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avchenko_m\Desktop\Додатки\"/>
    </mc:Choice>
  </mc:AlternateContent>
  <bookViews>
    <workbookView xWindow="0" yWindow="0" windowWidth="28800" windowHeight="11835" tabRatio="495" activeTab="1"/>
  </bookViews>
  <sheets>
    <sheet name="дод 3" sheetId="1" r:id="rId1"/>
    <sheet name="дод 8" sheetId="3" r:id="rId2"/>
  </sheets>
  <definedNames>
    <definedName name="_xlnm.Print_Titles" localSheetId="0">'дод 3'!$14:$16</definedName>
    <definedName name="_xlnm.Print_Titles" localSheetId="1">'дод 8'!$14:$16</definedName>
    <definedName name="_xlnm.Print_Area" localSheetId="0">'дод 3'!$A$1:$P$330</definedName>
    <definedName name="_xlnm.Print_Area" localSheetId="1">'дод 8'!$A$1:$O$266</definedName>
  </definedNames>
  <calcPr calcId="162913"/>
</workbook>
</file>

<file path=xl/calcChain.xml><?xml version="1.0" encoding="utf-8"?>
<calcChain xmlns="http://schemas.openxmlformats.org/spreadsheetml/2006/main">
  <c r="E317" i="1" l="1"/>
  <c r="F41" i="1"/>
  <c r="O275" i="1"/>
  <c r="K275" i="1"/>
  <c r="O279" i="1"/>
  <c r="K279" i="1"/>
  <c r="E253" i="3" l="1"/>
  <c r="F253" i="3"/>
  <c r="G253" i="3"/>
  <c r="H253" i="3"/>
  <c r="I253" i="3"/>
  <c r="J253" i="3"/>
  <c r="K253" i="3"/>
  <c r="L253" i="3"/>
  <c r="M253" i="3"/>
  <c r="N253" i="3"/>
  <c r="O253" i="3"/>
  <c r="D253" i="3"/>
  <c r="F18" i="1"/>
  <c r="G18" i="1"/>
  <c r="H18" i="1"/>
  <c r="I18" i="1"/>
  <c r="J18" i="1"/>
  <c r="K18" i="1"/>
  <c r="L18" i="1"/>
  <c r="M18" i="1"/>
  <c r="N18" i="1"/>
  <c r="O18" i="1"/>
  <c r="J60" i="1"/>
  <c r="J61" i="1"/>
  <c r="P61" i="1" s="1"/>
  <c r="E61" i="1"/>
  <c r="O154" i="1"/>
  <c r="K154" i="1"/>
  <c r="O241" i="1"/>
  <c r="K241" i="1"/>
  <c r="J240" i="1"/>
  <c r="I236" i="1"/>
  <c r="G38" i="1" l="1"/>
  <c r="F237" i="1" l="1"/>
  <c r="O278" i="1"/>
  <c r="K278" i="1"/>
  <c r="O246" i="1"/>
  <c r="H311" i="1" l="1"/>
  <c r="F311" i="1"/>
  <c r="H300" i="1"/>
  <c r="F300" i="1"/>
  <c r="H290" i="1"/>
  <c r="F290" i="1"/>
  <c r="H267" i="1"/>
  <c r="F267" i="1"/>
  <c r="H229" i="1"/>
  <c r="F229" i="1"/>
  <c r="H216" i="1"/>
  <c r="F216" i="1"/>
  <c r="H214" i="1"/>
  <c r="F214" i="1"/>
  <c r="H213" i="1"/>
  <c r="F213" i="1"/>
  <c r="H212" i="1"/>
  <c r="F212" i="1"/>
  <c r="H205" i="1"/>
  <c r="F205" i="1"/>
  <c r="H197" i="1"/>
  <c r="F197" i="1"/>
  <c r="H180" i="1"/>
  <c r="F180" i="1"/>
  <c r="H168" i="1"/>
  <c r="F168" i="1"/>
  <c r="H136" i="1"/>
  <c r="H114" i="1"/>
  <c r="F114" i="1"/>
  <c r="H100" i="1"/>
  <c r="F100" i="1"/>
  <c r="H97" i="1"/>
  <c r="F97" i="1"/>
  <c r="H95" i="1"/>
  <c r="F95" i="1"/>
  <c r="H94" i="1"/>
  <c r="F94" i="1"/>
  <c r="H81" i="1"/>
  <c r="F81" i="1"/>
  <c r="H80" i="1"/>
  <c r="F80" i="1"/>
  <c r="H79" i="1"/>
  <c r="F79" i="1"/>
  <c r="H78" i="1"/>
  <c r="F78" i="1"/>
  <c r="H58" i="1"/>
  <c r="F58" i="1"/>
  <c r="H40" i="1"/>
  <c r="F40" i="1"/>
  <c r="F39" i="1"/>
  <c r="H38" i="1"/>
  <c r="F38" i="1"/>
  <c r="H34" i="1"/>
  <c r="F34" i="1"/>
  <c r="H33" i="1"/>
  <c r="F33" i="1"/>
  <c r="H31" i="1"/>
  <c r="F31" i="1"/>
  <c r="H28" i="1"/>
  <c r="F28" i="1"/>
  <c r="H21" i="1"/>
  <c r="F21" i="1"/>
  <c r="O281" i="1"/>
  <c r="K281" i="1"/>
  <c r="O276" i="1"/>
  <c r="K276" i="1"/>
  <c r="O272" i="1"/>
  <c r="K272" i="1"/>
  <c r="K242" i="1"/>
  <c r="O242" i="1"/>
  <c r="O208" i="1"/>
  <c r="K208" i="1"/>
  <c r="O153" i="1"/>
  <c r="K153" i="1"/>
  <c r="O116" i="1"/>
  <c r="K116" i="1"/>
  <c r="O62" i="1"/>
  <c r="K62" i="1"/>
  <c r="O284" i="1"/>
  <c r="K284" i="1"/>
  <c r="G271" i="1"/>
  <c r="F271" i="1"/>
  <c r="K246" i="1"/>
  <c r="F215" i="1"/>
  <c r="F201" i="1"/>
  <c r="F198" i="1"/>
  <c r="F181" i="1"/>
  <c r="F174" i="1"/>
  <c r="F170" i="1"/>
  <c r="O152" i="1"/>
  <c r="K152" i="1"/>
  <c r="O137" i="1"/>
  <c r="K137" i="1"/>
  <c r="F126" i="1"/>
  <c r="G78" i="1"/>
  <c r="F313" i="1"/>
  <c r="F316" i="1"/>
  <c r="F312" i="1"/>
  <c r="F284" i="1"/>
  <c r="F263" i="1"/>
  <c r="F22" i="1"/>
  <c r="O237" i="1"/>
  <c r="K237" i="1"/>
  <c r="O232" i="1" l="1"/>
  <c r="K232" i="1"/>
  <c r="F240" i="1"/>
  <c r="O78" i="1" l="1"/>
  <c r="K78" i="1"/>
  <c r="F175" i="1"/>
  <c r="I46" i="1"/>
  <c r="F27" i="1"/>
  <c r="F26" i="1"/>
  <c r="G21" i="1"/>
  <c r="F172" i="1"/>
  <c r="G168" i="1"/>
  <c r="I256" i="1"/>
  <c r="F256" i="1"/>
  <c r="F230" i="1"/>
  <c r="O234" i="1"/>
  <c r="K234" i="1"/>
  <c r="H240" i="1"/>
  <c r="F305" i="1"/>
  <c r="F302" i="1"/>
  <c r="G300" i="1"/>
  <c r="G311" i="1"/>
  <c r="F186" i="1"/>
  <c r="F171" i="1"/>
  <c r="F187" i="1"/>
  <c r="G180" i="1"/>
  <c r="O197" i="1"/>
  <c r="K197" i="1"/>
  <c r="G197" i="1"/>
  <c r="F120" i="1"/>
  <c r="O107" i="1"/>
  <c r="K107" i="1"/>
  <c r="F107" i="1"/>
  <c r="O106" i="1" l="1"/>
  <c r="K106" i="1"/>
  <c r="F106" i="1"/>
  <c r="O104" i="1"/>
  <c r="K104" i="1"/>
  <c r="F104" i="1"/>
  <c r="O101" i="1"/>
  <c r="K101" i="1"/>
  <c r="O100" i="1"/>
  <c r="K100" i="1"/>
  <c r="F88" i="1"/>
  <c r="G88" i="1"/>
  <c r="G87" i="1"/>
  <c r="F87" i="1"/>
  <c r="G86" i="1"/>
  <c r="F86" i="1"/>
  <c r="G85" i="1"/>
  <c r="F85" i="1"/>
  <c r="G83" i="1"/>
  <c r="F83" i="1"/>
  <c r="G82" i="1"/>
  <c r="F82" i="1"/>
  <c r="G100" i="1"/>
  <c r="G77" i="1"/>
  <c r="G97" i="1"/>
  <c r="G94" i="1"/>
  <c r="G79" i="1"/>
  <c r="F60" i="1"/>
  <c r="F54" i="1"/>
  <c r="F35" i="1"/>
  <c r="O49" i="1"/>
  <c r="K49" i="1"/>
  <c r="F49" i="1"/>
  <c r="G34" i="1"/>
  <c r="O238" i="1" l="1"/>
  <c r="O239" i="1"/>
  <c r="K238" i="1"/>
  <c r="K239" i="1"/>
  <c r="O209" i="1"/>
  <c r="K209" i="1"/>
  <c r="G110" i="1" l="1"/>
  <c r="G111" i="1"/>
  <c r="F110" i="1"/>
  <c r="F111" i="1"/>
  <c r="D278" i="3" l="1"/>
  <c r="E278" i="3"/>
  <c r="F278" i="3"/>
  <c r="G278" i="3"/>
  <c r="H278" i="3"/>
  <c r="I278" i="3"/>
  <c r="J278" i="3"/>
  <c r="K278" i="3"/>
  <c r="L278" i="3"/>
  <c r="M278" i="3"/>
  <c r="N278" i="3"/>
  <c r="O278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M222" i="1"/>
  <c r="N222" i="1"/>
  <c r="F226" i="1"/>
  <c r="G226" i="1"/>
  <c r="H226" i="1"/>
  <c r="I226" i="1"/>
  <c r="K226" i="1"/>
  <c r="L226" i="1"/>
  <c r="M226" i="1"/>
  <c r="N226" i="1"/>
  <c r="O226" i="1"/>
  <c r="J239" i="1" l="1"/>
  <c r="E239" i="1"/>
  <c r="P239" i="1" s="1"/>
  <c r="J238" i="1"/>
  <c r="E238" i="1"/>
  <c r="P238" i="1" l="1"/>
  <c r="E226" i="1"/>
  <c r="P226" i="1"/>
  <c r="J226" i="1"/>
  <c r="F173" i="1"/>
  <c r="G267" i="1"/>
  <c r="O247" i="1" l="1"/>
  <c r="K247" i="1"/>
  <c r="F217" i="1" l="1"/>
  <c r="L262" i="1" l="1"/>
  <c r="F234" i="1" l="1"/>
  <c r="I302" i="1"/>
  <c r="G229" i="1"/>
  <c r="G222" i="1" s="1"/>
  <c r="F283" i="1"/>
  <c r="F233" i="1"/>
  <c r="O236" i="1"/>
  <c r="K236" i="1"/>
  <c r="O198" i="1"/>
  <c r="K198" i="1"/>
  <c r="O168" i="1"/>
  <c r="K168" i="1"/>
  <c r="N54" i="3" l="1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O65" i="1"/>
  <c r="N65" i="1"/>
  <c r="M65" i="1"/>
  <c r="L65" i="1"/>
  <c r="K65" i="1"/>
  <c r="I65" i="1"/>
  <c r="H65" i="1"/>
  <c r="G65" i="1"/>
  <c r="F65" i="1"/>
  <c r="O64" i="1"/>
  <c r="N64" i="1"/>
  <c r="M64" i="1"/>
  <c r="L64" i="1"/>
  <c r="K64" i="1"/>
  <c r="I64" i="1"/>
  <c r="H64" i="1"/>
  <c r="G64" i="1"/>
  <c r="F64" i="1"/>
  <c r="J88" i="1"/>
  <c r="I54" i="3" s="1"/>
  <c r="J87" i="1"/>
  <c r="I53" i="3" s="1"/>
  <c r="E88" i="1"/>
  <c r="E87" i="1"/>
  <c r="J81" i="1"/>
  <c r="I47" i="3" s="1"/>
  <c r="E81" i="1"/>
  <c r="P81" i="1" s="1"/>
  <c r="O47" i="3" s="1"/>
  <c r="P88" i="1" l="1"/>
  <c r="O54" i="3" s="1"/>
  <c r="P87" i="1"/>
  <c r="O53" i="3" s="1"/>
  <c r="D47" i="3"/>
  <c r="D53" i="3"/>
  <c r="D54" i="3"/>
  <c r="N209" i="3"/>
  <c r="N197" i="3" s="1"/>
  <c r="M209" i="3"/>
  <c r="M197" i="3" s="1"/>
  <c r="L209" i="3"/>
  <c r="L197" i="3" s="1"/>
  <c r="K209" i="3"/>
  <c r="K197" i="3" s="1"/>
  <c r="J209" i="3"/>
  <c r="J197" i="3" s="1"/>
  <c r="H209" i="3"/>
  <c r="H197" i="3" s="1"/>
  <c r="G209" i="3"/>
  <c r="G197" i="3" s="1"/>
  <c r="F209" i="3"/>
  <c r="F197" i="3" s="1"/>
  <c r="E209" i="3"/>
  <c r="E197" i="3" s="1"/>
  <c r="N208" i="3"/>
  <c r="M208" i="3"/>
  <c r="L208" i="3"/>
  <c r="K208" i="3"/>
  <c r="J208" i="3"/>
  <c r="H208" i="3"/>
  <c r="G208" i="3"/>
  <c r="F208" i="3"/>
  <c r="E208" i="3"/>
  <c r="N192" i="3"/>
  <c r="M192" i="3"/>
  <c r="L192" i="3"/>
  <c r="K192" i="3"/>
  <c r="J192" i="3"/>
  <c r="H192" i="3"/>
  <c r="G192" i="3"/>
  <c r="F192" i="3"/>
  <c r="E192" i="3"/>
  <c r="N191" i="3"/>
  <c r="M191" i="3"/>
  <c r="L191" i="3"/>
  <c r="K191" i="3"/>
  <c r="J191" i="3"/>
  <c r="H191" i="3"/>
  <c r="G191" i="3"/>
  <c r="F191" i="3"/>
  <c r="E191" i="3"/>
  <c r="O134" i="1" l="1"/>
  <c r="N134" i="1"/>
  <c r="M134" i="1"/>
  <c r="L134" i="1"/>
  <c r="K134" i="1"/>
  <c r="I134" i="1"/>
  <c r="H134" i="1"/>
  <c r="G134" i="1"/>
  <c r="F134" i="1"/>
  <c r="N87" i="3"/>
  <c r="M87" i="3"/>
  <c r="L87" i="3"/>
  <c r="K87" i="3"/>
  <c r="J87" i="3"/>
  <c r="H87" i="3"/>
  <c r="G87" i="3"/>
  <c r="F87" i="3"/>
  <c r="E87" i="3"/>
  <c r="N179" i="3"/>
  <c r="M179" i="3"/>
  <c r="L179" i="3"/>
  <c r="K179" i="3"/>
  <c r="J179" i="3"/>
  <c r="J176" i="3" s="1"/>
  <c r="H179" i="3"/>
  <c r="G179" i="3"/>
  <c r="F179" i="3"/>
  <c r="E179" i="3"/>
  <c r="N72" i="3"/>
  <c r="N35" i="3" s="1"/>
  <c r="M72" i="3"/>
  <c r="M35" i="3" s="1"/>
  <c r="L72" i="3"/>
  <c r="L35" i="3" s="1"/>
  <c r="K72" i="3"/>
  <c r="K35" i="3" s="1"/>
  <c r="J72" i="3"/>
  <c r="J35" i="3" s="1"/>
  <c r="H72" i="3"/>
  <c r="H35" i="3" s="1"/>
  <c r="G72" i="3"/>
  <c r="G35" i="3" s="1"/>
  <c r="F72" i="3"/>
  <c r="F35" i="3" s="1"/>
  <c r="E72" i="3"/>
  <c r="E35" i="3" s="1"/>
  <c r="O227" i="1"/>
  <c r="N227" i="1"/>
  <c r="M227" i="1"/>
  <c r="L227" i="1"/>
  <c r="K227" i="1"/>
  <c r="I227" i="1"/>
  <c r="H227" i="1"/>
  <c r="G227" i="1"/>
  <c r="F227" i="1"/>
  <c r="J249" i="1"/>
  <c r="I192" i="3" s="1"/>
  <c r="J248" i="1"/>
  <c r="I191" i="3" s="1"/>
  <c r="E249" i="1"/>
  <c r="E248" i="1"/>
  <c r="D191" i="3" s="1"/>
  <c r="J254" i="1"/>
  <c r="I209" i="3" s="1"/>
  <c r="I197" i="3" s="1"/>
  <c r="E254" i="1"/>
  <c r="D209" i="3" s="1"/>
  <c r="D197" i="3" s="1"/>
  <c r="J253" i="1"/>
  <c r="I208" i="3" s="1"/>
  <c r="E253" i="1"/>
  <c r="D208" i="3" s="1"/>
  <c r="O76" i="1"/>
  <c r="N76" i="1"/>
  <c r="M76" i="1"/>
  <c r="L76" i="1"/>
  <c r="K76" i="1"/>
  <c r="I76" i="1"/>
  <c r="H76" i="1"/>
  <c r="G76" i="1"/>
  <c r="F76" i="1"/>
  <c r="E117" i="1"/>
  <c r="D179" i="3" s="1"/>
  <c r="J117" i="1"/>
  <c r="I179" i="3" s="1"/>
  <c r="J105" i="1"/>
  <c r="I72" i="3" s="1"/>
  <c r="I35" i="3" s="1"/>
  <c r="E105" i="1"/>
  <c r="D72" i="3" s="1"/>
  <c r="D35" i="3" s="1"/>
  <c r="E227" i="1" l="1"/>
  <c r="D192" i="3"/>
  <c r="D176" i="3"/>
  <c r="D170" i="3" s="1"/>
  <c r="F176" i="3"/>
  <c r="F170" i="3" s="1"/>
  <c r="H176" i="3"/>
  <c r="H170" i="3" s="1"/>
  <c r="K176" i="3"/>
  <c r="K170" i="3" s="1"/>
  <c r="M176" i="3"/>
  <c r="M170" i="3" s="1"/>
  <c r="I176" i="3"/>
  <c r="I170" i="3" s="1"/>
  <c r="E176" i="3"/>
  <c r="E170" i="3" s="1"/>
  <c r="G176" i="3"/>
  <c r="G170" i="3" s="1"/>
  <c r="J170" i="3"/>
  <c r="L176" i="3"/>
  <c r="L170" i="3" s="1"/>
  <c r="N176" i="3"/>
  <c r="N170" i="3" s="1"/>
  <c r="P249" i="1"/>
  <c r="O192" i="3" s="1"/>
  <c r="J227" i="1"/>
  <c r="P253" i="1"/>
  <c r="O208" i="3" s="1"/>
  <c r="P254" i="1"/>
  <c r="O209" i="3" s="1"/>
  <c r="O197" i="3" s="1"/>
  <c r="P248" i="1"/>
  <c r="O191" i="3" s="1"/>
  <c r="P117" i="1"/>
  <c r="O179" i="3" s="1"/>
  <c r="P105" i="1"/>
  <c r="O72" i="3" s="1"/>
  <c r="O35" i="3" s="1"/>
  <c r="O176" i="3" l="1"/>
  <c r="O170" i="3" s="1"/>
  <c r="P227" i="1"/>
  <c r="F207" i="1"/>
  <c r="O200" i="1" l="1"/>
  <c r="K200" i="1"/>
  <c r="O167" i="1" l="1"/>
  <c r="N167" i="1"/>
  <c r="M167" i="1"/>
  <c r="L167" i="1"/>
  <c r="K167" i="1"/>
  <c r="I167" i="1"/>
  <c r="H167" i="1"/>
  <c r="G167" i="1"/>
  <c r="F167" i="1"/>
  <c r="O166" i="1"/>
  <c r="N166" i="1"/>
  <c r="M166" i="1"/>
  <c r="L166" i="1"/>
  <c r="K166" i="1"/>
  <c r="I166" i="1"/>
  <c r="H166" i="1"/>
  <c r="G166" i="1"/>
  <c r="F166" i="1"/>
  <c r="O165" i="1"/>
  <c r="N165" i="1"/>
  <c r="M165" i="1"/>
  <c r="L165" i="1"/>
  <c r="K165" i="1"/>
  <c r="I165" i="1"/>
  <c r="H165" i="1"/>
  <c r="G165" i="1"/>
  <c r="J125" i="1" l="1"/>
  <c r="E125" i="1"/>
  <c r="H237" i="1"/>
  <c r="P125" i="1" l="1"/>
  <c r="O257" i="1"/>
  <c r="K257" i="1"/>
  <c r="N200" i="3" l="1"/>
  <c r="M200" i="3"/>
  <c r="L200" i="3"/>
  <c r="K200" i="3"/>
  <c r="J200" i="3"/>
  <c r="H200" i="3"/>
  <c r="G200" i="3"/>
  <c r="F200" i="3"/>
  <c r="E200" i="3"/>
  <c r="N251" i="3"/>
  <c r="M251" i="3"/>
  <c r="L251" i="3"/>
  <c r="K251" i="3"/>
  <c r="J251" i="3"/>
  <c r="H251" i="3"/>
  <c r="G251" i="3"/>
  <c r="F251" i="3"/>
  <c r="E251" i="3"/>
  <c r="M182" i="3"/>
  <c r="L182" i="3"/>
  <c r="K182" i="3"/>
  <c r="H182" i="3"/>
  <c r="G182" i="3"/>
  <c r="F182" i="3"/>
  <c r="E182" i="3"/>
  <c r="N162" i="1"/>
  <c r="M162" i="1"/>
  <c r="L162" i="1"/>
  <c r="I162" i="1"/>
  <c r="G162" i="1"/>
  <c r="H297" i="1" l="1"/>
  <c r="F297" i="1"/>
  <c r="H222" i="1"/>
  <c r="H215" i="1"/>
  <c r="H162" i="1"/>
  <c r="O264" i="1"/>
  <c r="K264" i="1"/>
  <c r="F264" i="1"/>
  <c r="J263" i="1"/>
  <c r="I251" i="3" s="1"/>
  <c r="E263" i="1"/>
  <c r="D251" i="3" s="1"/>
  <c r="N71" i="3"/>
  <c r="M71" i="3"/>
  <c r="L71" i="3"/>
  <c r="K71" i="3"/>
  <c r="J71" i="3"/>
  <c r="H71" i="3"/>
  <c r="G71" i="3"/>
  <c r="F71" i="3"/>
  <c r="E71" i="3"/>
  <c r="N68" i="3"/>
  <c r="M68" i="3"/>
  <c r="L68" i="3"/>
  <c r="K68" i="3"/>
  <c r="J68" i="3"/>
  <c r="H68" i="3"/>
  <c r="G68" i="3"/>
  <c r="F68" i="3"/>
  <c r="E68" i="3"/>
  <c r="J104" i="1"/>
  <c r="E104" i="1"/>
  <c r="D71" i="3" s="1"/>
  <c r="J101" i="1"/>
  <c r="I68" i="3" s="1"/>
  <c r="E101" i="1"/>
  <c r="D68" i="3" s="1"/>
  <c r="J46" i="1"/>
  <c r="I200" i="3" s="1"/>
  <c r="E46" i="1"/>
  <c r="D200" i="3" s="1"/>
  <c r="O74" i="1"/>
  <c r="N74" i="1"/>
  <c r="M74" i="1"/>
  <c r="L74" i="1"/>
  <c r="K74" i="1"/>
  <c r="I74" i="1"/>
  <c r="H74" i="1"/>
  <c r="G74" i="1"/>
  <c r="F74" i="1"/>
  <c r="O73" i="1"/>
  <c r="N73" i="1"/>
  <c r="M73" i="1"/>
  <c r="L73" i="1"/>
  <c r="K73" i="1"/>
  <c r="I73" i="1"/>
  <c r="H73" i="1"/>
  <c r="G73" i="1"/>
  <c r="F73" i="1"/>
  <c r="N151" i="3"/>
  <c r="N147" i="3" s="1"/>
  <c r="M151" i="3"/>
  <c r="M147" i="3" s="1"/>
  <c r="L151" i="3"/>
  <c r="L147" i="3" s="1"/>
  <c r="K151" i="3"/>
  <c r="K147" i="3" s="1"/>
  <c r="J151" i="3"/>
  <c r="J147" i="3" s="1"/>
  <c r="H151" i="3"/>
  <c r="H147" i="3" s="1"/>
  <c r="G151" i="3"/>
  <c r="G147" i="3" s="1"/>
  <c r="F151" i="3"/>
  <c r="F147" i="3" s="1"/>
  <c r="E151" i="3"/>
  <c r="E147" i="3" s="1"/>
  <c r="N135" i="3"/>
  <c r="N105" i="3" s="1"/>
  <c r="M135" i="3"/>
  <c r="M105" i="3" s="1"/>
  <c r="L135" i="3"/>
  <c r="L105" i="3" s="1"/>
  <c r="K135" i="3"/>
  <c r="K105" i="3" s="1"/>
  <c r="J135" i="3"/>
  <c r="J105" i="3" s="1"/>
  <c r="H135" i="3"/>
  <c r="H105" i="3" s="1"/>
  <c r="G135" i="3"/>
  <c r="G105" i="3" s="1"/>
  <c r="F135" i="3"/>
  <c r="F105" i="3" s="1"/>
  <c r="E135" i="3"/>
  <c r="E105" i="3" s="1"/>
  <c r="N134" i="3"/>
  <c r="M134" i="3"/>
  <c r="L134" i="3"/>
  <c r="K134" i="3"/>
  <c r="J134" i="3"/>
  <c r="H134" i="3"/>
  <c r="G134" i="3"/>
  <c r="F134" i="3"/>
  <c r="E134" i="3"/>
  <c r="N269" i="1"/>
  <c r="M269" i="1"/>
  <c r="L269" i="1"/>
  <c r="I269" i="1"/>
  <c r="H269" i="1"/>
  <c r="G269" i="1"/>
  <c r="J277" i="1"/>
  <c r="E277" i="1"/>
  <c r="O218" i="1"/>
  <c r="N182" i="3" s="1"/>
  <c r="K218" i="1"/>
  <c r="J182" i="3" s="1"/>
  <c r="P104" i="1" l="1"/>
  <c r="O71" i="3" s="1"/>
  <c r="P263" i="1"/>
  <c r="O251" i="3" s="1"/>
  <c r="P277" i="1"/>
  <c r="P46" i="1"/>
  <c r="O200" i="3" s="1"/>
  <c r="I71" i="3"/>
  <c r="P101" i="1"/>
  <c r="O68" i="3" s="1"/>
  <c r="F269" i="1"/>
  <c r="J194" i="1"/>
  <c r="E194" i="1"/>
  <c r="J193" i="1"/>
  <c r="I134" i="3" s="1"/>
  <c r="E193" i="1"/>
  <c r="J115" i="1"/>
  <c r="J76" i="1" s="1"/>
  <c r="E115" i="1"/>
  <c r="E76" i="1" s="1"/>
  <c r="N74" i="3"/>
  <c r="N34" i="3" s="1"/>
  <c r="M74" i="3"/>
  <c r="M34" i="3" s="1"/>
  <c r="L74" i="3"/>
  <c r="L34" i="3" s="1"/>
  <c r="K74" i="3"/>
  <c r="K34" i="3" s="1"/>
  <c r="J74" i="3"/>
  <c r="J34" i="3" s="1"/>
  <c r="H74" i="3"/>
  <c r="H34" i="3" s="1"/>
  <c r="G74" i="3"/>
  <c r="G34" i="3" s="1"/>
  <c r="F74" i="3"/>
  <c r="F34" i="3" s="1"/>
  <c r="E74" i="3"/>
  <c r="E34" i="3" s="1"/>
  <c r="N73" i="3"/>
  <c r="M73" i="3"/>
  <c r="L73" i="3"/>
  <c r="K73" i="3"/>
  <c r="J73" i="3"/>
  <c r="H73" i="3"/>
  <c r="G73" i="3"/>
  <c r="F73" i="3"/>
  <c r="E73" i="3"/>
  <c r="N70" i="3"/>
  <c r="N33" i="3" s="1"/>
  <c r="M70" i="3"/>
  <c r="M33" i="3" s="1"/>
  <c r="L70" i="3"/>
  <c r="L33" i="3" s="1"/>
  <c r="K70" i="3"/>
  <c r="K33" i="3" s="1"/>
  <c r="J70" i="3"/>
  <c r="J33" i="3" s="1"/>
  <c r="H70" i="3"/>
  <c r="H33" i="3" s="1"/>
  <c r="G70" i="3"/>
  <c r="G33" i="3" s="1"/>
  <c r="F70" i="3"/>
  <c r="F33" i="3" s="1"/>
  <c r="E70" i="3"/>
  <c r="E33" i="3" s="1"/>
  <c r="N69" i="3"/>
  <c r="M69" i="3"/>
  <c r="L69" i="3"/>
  <c r="K69" i="3"/>
  <c r="J69" i="3"/>
  <c r="H69" i="3"/>
  <c r="G69" i="3"/>
  <c r="F69" i="3"/>
  <c r="E69" i="3"/>
  <c r="E107" i="1"/>
  <c r="E106" i="1"/>
  <c r="D73" i="3" s="1"/>
  <c r="E103" i="1"/>
  <c r="E102" i="1"/>
  <c r="D69" i="3" s="1"/>
  <c r="J107" i="1"/>
  <c r="J106" i="1"/>
  <c r="P106" i="1" s="1"/>
  <c r="O73" i="3" s="1"/>
  <c r="J103" i="1"/>
  <c r="J102" i="1"/>
  <c r="P102" i="1" s="1"/>
  <c r="O69" i="3" s="1"/>
  <c r="D135" i="3" l="1"/>
  <c r="D105" i="3" s="1"/>
  <c r="E167" i="1"/>
  <c r="I135" i="3"/>
  <c r="I105" i="3" s="1"/>
  <c r="J167" i="1"/>
  <c r="I151" i="3"/>
  <c r="I147" i="3" s="1"/>
  <c r="P103" i="1"/>
  <c r="J74" i="1"/>
  <c r="P107" i="1"/>
  <c r="J73" i="1"/>
  <c r="D70" i="3"/>
  <c r="D33" i="3" s="1"/>
  <c r="E74" i="1"/>
  <c r="D74" i="3"/>
  <c r="D34" i="3" s="1"/>
  <c r="E73" i="1"/>
  <c r="P115" i="1"/>
  <c r="P76" i="1" s="1"/>
  <c r="D151" i="3"/>
  <c r="D147" i="3" s="1"/>
  <c r="P193" i="1"/>
  <c r="O134" i="3" s="1"/>
  <c r="D134" i="3"/>
  <c r="P194" i="1"/>
  <c r="I69" i="3"/>
  <c r="I73" i="3"/>
  <c r="I70" i="3"/>
  <c r="I33" i="3" s="1"/>
  <c r="I74" i="3"/>
  <c r="I34" i="3" s="1"/>
  <c r="O135" i="3" l="1"/>
  <c r="O105" i="3" s="1"/>
  <c r="P167" i="1"/>
  <c r="O151" i="3"/>
  <c r="O147" i="3" s="1"/>
  <c r="O74" i="3"/>
  <c r="O34" i="3" s="1"/>
  <c r="P73" i="1"/>
  <c r="O70" i="3"/>
  <c r="O33" i="3" s="1"/>
  <c r="P74" i="1"/>
  <c r="E245" i="3"/>
  <c r="E244" i="3" s="1"/>
  <c r="F245" i="3"/>
  <c r="F244" i="3" s="1"/>
  <c r="G245" i="3"/>
  <c r="G244" i="3" s="1"/>
  <c r="H245" i="3"/>
  <c r="H244" i="3" s="1"/>
  <c r="J245" i="3"/>
  <c r="J244" i="3" s="1"/>
  <c r="K245" i="3"/>
  <c r="K244" i="3" s="1"/>
  <c r="L245" i="3"/>
  <c r="L244" i="3" s="1"/>
  <c r="M245" i="3"/>
  <c r="M244" i="3" s="1"/>
  <c r="N245" i="3"/>
  <c r="N244" i="3" s="1"/>
  <c r="E248" i="3"/>
  <c r="E246" i="3" s="1"/>
  <c r="F248" i="3"/>
  <c r="F246" i="3" s="1"/>
  <c r="G248" i="3"/>
  <c r="G246" i="3" s="1"/>
  <c r="H248" i="3"/>
  <c r="H246" i="3" s="1"/>
  <c r="J248" i="3"/>
  <c r="J246" i="3" s="1"/>
  <c r="K248" i="3"/>
  <c r="K246" i="3" s="1"/>
  <c r="L248" i="3"/>
  <c r="L246" i="3" s="1"/>
  <c r="M248" i="3"/>
  <c r="M246" i="3" s="1"/>
  <c r="N248" i="3"/>
  <c r="N246" i="3" s="1"/>
  <c r="E249" i="3"/>
  <c r="E247" i="3" s="1"/>
  <c r="E243" i="3" s="1"/>
  <c r="F249" i="3"/>
  <c r="F247" i="3" s="1"/>
  <c r="F243" i="3" s="1"/>
  <c r="G249" i="3"/>
  <c r="G247" i="3" s="1"/>
  <c r="G243" i="3" s="1"/>
  <c r="H249" i="3"/>
  <c r="H247" i="3" s="1"/>
  <c r="H243" i="3" s="1"/>
  <c r="J249" i="3"/>
  <c r="J247" i="3" s="1"/>
  <c r="J243" i="3" s="1"/>
  <c r="K249" i="3"/>
  <c r="K247" i="3" s="1"/>
  <c r="K243" i="3" s="1"/>
  <c r="L249" i="3"/>
  <c r="L247" i="3" s="1"/>
  <c r="L243" i="3" s="1"/>
  <c r="M249" i="3"/>
  <c r="M247" i="3" s="1"/>
  <c r="M243" i="3" s="1"/>
  <c r="N249" i="3"/>
  <c r="N247" i="3" s="1"/>
  <c r="N243" i="3" s="1"/>
  <c r="E252" i="3"/>
  <c r="F252" i="3"/>
  <c r="G252" i="3"/>
  <c r="H252" i="3"/>
  <c r="J252" i="3"/>
  <c r="K252" i="3"/>
  <c r="L252" i="3"/>
  <c r="M252" i="3"/>
  <c r="N252" i="3"/>
  <c r="F254" i="3"/>
  <c r="G254" i="3"/>
  <c r="H254" i="3"/>
  <c r="J254" i="3"/>
  <c r="K254" i="3"/>
  <c r="L254" i="3"/>
  <c r="M254" i="3"/>
  <c r="N254" i="3"/>
  <c r="L250" i="3" l="1"/>
  <c r="G250" i="3"/>
  <c r="G242" i="3" s="1"/>
  <c r="M250" i="3"/>
  <c r="K250" i="3"/>
  <c r="K242" i="3" s="1"/>
  <c r="H250" i="3"/>
  <c r="H242" i="3" s="1"/>
  <c r="F250" i="3"/>
  <c r="F242" i="3" s="1"/>
  <c r="L242" i="3"/>
  <c r="M242" i="3"/>
  <c r="F231" i="1" l="1"/>
  <c r="F222" i="1" s="1"/>
  <c r="L315" i="1" l="1"/>
  <c r="E254" i="3"/>
  <c r="F206" i="1"/>
  <c r="N193" i="3" l="1"/>
  <c r="M193" i="3"/>
  <c r="L193" i="3"/>
  <c r="K193" i="3"/>
  <c r="J193" i="3"/>
  <c r="H193" i="3"/>
  <c r="G193" i="3"/>
  <c r="F193" i="3"/>
  <c r="J189" i="3"/>
  <c r="O225" i="1"/>
  <c r="N225" i="1"/>
  <c r="M225" i="1"/>
  <c r="L225" i="1"/>
  <c r="K225" i="1"/>
  <c r="I225" i="1"/>
  <c r="H225" i="1"/>
  <c r="G225" i="1"/>
  <c r="F225" i="1"/>
  <c r="M189" i="3"/>
  <c r="L189" i="3"/>
  <c r="K189" i="3"/>
  <c r="H189" i="3"/>
  <c r="G189" i="3"/>
  <c r="F189" i="3"/>
  <c r="E189" i="3"/>
  <c r="N190" i="3"/>
  <c r="M190" i="3"/>
  <c r="L190" i="3"/>
  <c r="K190" i="3"/>
  <c r="J190" i="3"/>
  <c r="H190" i="3"/>
  <c r="G190" i="3"/>
  <c r="F190" i="3"/>
  <c r="E190" i="3"/>
  <c r="F293" i="1"/>
  <c r="E193" i="3" s="1"/>
  <c r="O292" i="1"/>
  <c r="O289" i="1" s="1"/>
  <c r="K292" i="1"/>
  <c r="K289" i="1" s="1"/>
  <c r="N289" i="1"/>
  <c r="M289" i="1"/>
  <c r="I289" i="1"/>
  <c r="H289" i="1"/>
  <c r="G289" i="1"/>
  <c r="J293" i="1"/>
  <c r="N189" i="3"/>
  <c r="O133" i="1"/>
  <c r="N133" i="1"/>
  <c r="M133" i="1"/>
  <c r="L133" i="1"/>
  <c r="K133" i="1"/>
  <c r="I133" i="1"/>
  <c r="H133" i="1"/>
  <c r="G133" i="1"/>
  <c r="F133" i="1"/>
  <c r="O75" i="1"/>
  <c r="N75" i="1"/>
  <c r="M75" i="1"/>
  <c r="L75" i="1"/>
  <c r="K75" i="1"/>
  <c r="I75" i="1"/>
  <c r="H75" i="1"/>
  <c r="G75" i="1"/>
  <c r="F75" i="1"/>
  <c r="E119" i="1"/>
  <c r="E75" i="1" s="1"/>
  <c r="E118" i="1"/>
  <c r="J119" i="1"/>
  <c r="J118" i="1"/>
  <c r="O214" i="1"/>
  <c r="K214" i="1"/>
  <c r="O233" i="1"/>
  <c r="K233" i="1"/>
  <c r="O162" i="1"/>
  <c r="K162" i="1"/>
  <c r="O300" i="1"/>
  <c r="K300" i="1"/>
  <c r="O267" i="1"/>
  <c r="K267" i="1"/>
  <c r="O215" i="1"/>
  <c r="K215" i="1"/>
  <c r="P119" i="1" l="1"/>
  <c r="P75" i="1" s="1"/>
  <c r="E293" i="1"/>
  <c r="P293" i="1"/>
  <c r="P118" i="1"/>
  <c r="F289" i="1"/>
  <c r="J75" i="1"/>
  <c r="N250" i="3" l="1"/>
  <c r="N242" i="3" s="1"/>
  <c r="J250" i="3"/>
  <c r="J242" i="3" s="1"/>
  <c r="F72" i="1"/>
  <c r="M19" i="3"/>
  <c r="L19" i="3"/>
  <c r="K19" i="3"/>
  <c r="H19" i="3"/>
  <c r="F19" i="3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67" i="1"/>
  <c r="N67" i="1"/>
  <c r="M67" i="1"/>
  <c r="L67" i="1"/>
  <c r="K67" i="1"/>
  <c r="I67" i="1"/>
  <c r="H67" i="1"/>
  <c r="G67" i="1"/>
  <c r="F67" i="1"/>
  <c r="J90" i="1"/>
  <c r="I56" i="3" s="1"/>
  <c r="I26" i="3" s="1"/>
  <c r="E90" i="1"/>
  <c r="D56" i="3" s="1"/>
  <c r="D26" i="3" s="1"/>
  <c r="N21" i="3"/>
  <c r="M21" i="3"/>
  <c r="L21" i="3"/>
  <c r="K21" i="3"/>
  <c r="J21" i="3"/>
  <c r="H21" i="3"/>
  <c r="G21" i="3"/>
  <c r="F21" i="3"/>
  <c r="E21" i="3"/>
  <c r="J230" i="1"/>
  <c r="E230" i="1"/>
  <c r="G19" i="3"/>
  <c r="O280" i="1"/>
  <c r="K280" i="1"/>
  <c r="O206" i="1"/>
  <c r="K206" i="1"/>
  <c r="O205" i="1"/>
  <c r="K205" i="1"/>
  <c r="F162" i="1"/>
  <c r="O273" i="1"/>
  <c r="K203" i="1" l="1"/>
  <c r="O269" i="1"/>
  <c r="N19" i="3"/>
  <c r="J19" i="3"/>
  <c r="K269" i="1"/>
  <c r="P230" i="1"/>
  <c r="P90" i="1"/>
  <c r="E67" i="1"/>
  <c r="J67" i="1"/>
  <c r="L294" i="1"/>
  <c r="L289" i="1" s="1"/>
  <c r="O259" i="1"/>
  <c r="L259" i="1"/>
  <c r="L222" i="1" s="1"/>
  <c r="N206" i="3"/>
  <c r="M206" i="3"/>
  <c r="L206" i="3"/>
  <c r="K206" i="3"/>
  <c r="J206" i="3"/>
  <c r="H206" i="3"/>
  <c r="G206" i="3"/>
  <c r="F206" i="3"/>
  <c r="E206" i="3"/>
  <c r="N207" i="3"/>
  <c r="N196" i="3" s="1"/>
  <c r="M207" i="3"/>
  <c r="M196" i="3" s="1"/>
  <c r="L207" i="3"/>
  <c r="L196" i="3" s="1"/>
  <c r="K207" i="3"/>
  <c r="K196" i="3" s="1"/>
  <c r="J207" i="3"/>
  <c r="J196" i="3" s="1"/>
  <c r="H207" i="3"/>
  <c r="H196" i="3" s="1"/>
  <c r="G207" i="3"/>
  <c r="G196" i="3" s="1"/>
  <c r="F207" i="3"/>
  <c r="F196" i="3" s="1"/>
  <c r="E207" i="3"/>
  <c r="E196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2" i="1"/>
  <c r="M72" i="1"/>
  <c r="L72" i="1"/>
  <c r="I72" i="1"/>
  <c r="H72" i="1"/>
  <c r="G72" i="1"/>
  <c r="J124" i="1"/>
  <c r="I249" i="3" s="1"/>
  <c r="I247" i="3" s="1"/>
  <c r="I243" i="3" s="1"/>
  <c r="J123" i="1"/>
  <c r="I248" i="3" s="1"/>
  <c r="I246" i="3" s="1"/>
  <c r="E124" i="1"/>
  <c r="E123" i="1"/>
  <c r="J93" i="1"/>
  <c r="I59" i="3" s="1"/>
  <c r="J92" i="1"/>
  <c r="I58" i="3" s="1"/>
  <c r="E93" i="1"/>
  <c r="P93" i="1" s="1"/>
  <c r="O59" i="3" s="1"/>
  <c r="E92" i="1"/>
  <c r="P92" i="1" s="1"/>
  <c r="O58" i="3" s="1"/>
  <c r="O72" i="1"/>
  <c r="K72" i="1"/>
  <c r="P123" i="1" l="1"/>
  <c r="O248" i="3" s="1"/>
  <c r="O246" i="3" s="1"/>
  <c r="P124" i="1"/>
  <c r="O249" i="3" s="1"/>
  <c r="O247" i="3" s="1"/>
  <c r="O243" i="3" s="1"/>
  <c r="D249" i="3"/>
  <c r="D247" i="3" s="1"/>
  <c r="D243" i="3" s="1"/>
  <c r="D59" i="3"/>
  <c r="O56" i="3"/>
  <c r="O26" i="3" s="1"/>
  <c r="P67" i="1"/>
  <c r="D58" i="3"/>
  <c r="D248" i="3"/>
  <c r="D246" i="3" s="1"/>
  <c r="J169" i="1" l="1"/>
  <c r="E169" i="1" l="1"/>
  <c r="P169" i="1" s="1"/>
  <c r="E19" i="3" l="1"/>
  <c r="K128" i="1"/>
  <c r="N57" i="3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1" i="1"/>
  <c r="J72" i="1" s="1"/>
  <c r="E91" i="1"/>
  <c r="E72" i="1" s="1"/>
  <c r="E250" i="3" l="1"/>
  <c r="E242" i="3" s="1"/>
  <c r="P91" i="1"/>
  <c r="P72" i="1" s="1"/>
  <c r="D57" i="3"/>
  <c r="D32" i="3" s="1"/>
  <c r="I57" i="3"/>
  <c r="I32" i="3" s="1"/>
  <c r="O243" i="1"/>
  <c r="O222" i="1" s="1"/>
  <c r="K243" i="1"/>
  <c r="K222" i="1" s="1"/>
  <c r="O57" i="3" l="1"/>
  <c r="O32" i="3" s="1"/>
  <c r="F199" i="1"/>
  <c r="F165" i="1" s="1"/>
  <c r="I233" i="1" l="1"/>
  <c r="I222" i="1" s="1"/>
  <c r="F301" i="1"/>
  <c r="N178" i="3" l="1"/>
  <c r="M178" i="3"/>
  <c r="L178" i="3"/>
  <c r="K178" i="3"/>
  <c r="J178" i="3"/>
  <c r="H178" i="3"/>
  <c r="G178" i="3"/>
  <c r="F178" i="3"/>
  <c r="E178" i="3"/>
  <c r="K132" i="1" l="1"/>
  <c r="N55" i="3" l="1"/>
  <c r="M55" i="3"/>
  <c r="L55" i="3"/>
  <c r="K55" i="3"/>
  <c r="J55" i="3"/>
  <c r="H55" i="3"/>
  <c r="G55" i="3"/>
  <c r="F55" i="3"/>
  <c r="E55" i="3"/>
  <c r="J89" i="1"/>
  <c r="I55" i="3" s="1"/>
  <c r="E89" i="1"/>
  <c r="J287" i="1"/>
  <c r="I252" i="3" s="1"/>
  <c r="E287" i="1"/>
  <c r="D252" i="3" s="1"/>
  <c r="D55" i="3" l="1"/>
  <c r="P287" i="1"/>
  <c r="O252" i="3" s="1"/>
  <c r="P89" i="1"/>
  <c r="O55" i="3" s="1"/>
  <c r="J126" i="1"/>
  <c r="E126" i="1" l="1"/>
  <c r="N78" i="3"/>
  <c r="N31" i="3" s="1"/>
  <c r="M78" i="3"/>
  <c r="M31" i="3" s="1"/>
  <c r="L78" i="3"/>
  <c r="L31" i="3" s="1"/>
  <c r="K78" i="3"/>
  <c r="K31" i="3" s="1"/>
  <c r="J78" i="3"/>
  <c r="J31" i="3" s="1"/>
  <c r="H78" i="3"/>
  <c r="H31" i="3" s="1"/>
  <c r="G78" i="3"/>
  <c r="G31" i="3" s="1"/>
  <c r="F78" i="3"/>
  <c r="F31" i="3" s="1"/>
  <c r="E78" i="3"/>
  <c r="E31" i="3" s="1"/>
  <c r="N77" i="3"/>
  <c r="M77" i="3"/>
  <c r="L77" i="3"/>
  <c r="K77" i="3"/>
  <c r="J77" i="3"/>
  <c r="H77" i="3"/>
  <c r="G77" i="3"/>
  <c r="F77" i="3"/>
  <c r="E77" i="3"/>
  <c r="O71" i="1"/>
  <c r="N71" i="1"/>
  <c r="M71" i="1"/>
  <c r="L71" i="1"/>
  <c r="K71" i="1"/>
  <c r="I71" i="1"/>
  <c r="H71" i="1"/>
  <c r="G71" i="1"/>
  <c r="F71" i="1"/>
  <c r="J111" i="1"/>
  <c r="I78" i="3" s="1"/>
  <c r="I31" i="3" s="1"/>
  <c r="J110" i="1"/>
  <c r="I77" i="3" s="1"/>
  <c r="E111" i="1"/>
  <c r="P111" i="1" s="1"/>
  <c r="O78" i="3" s="1"/>
  <c r="O31" i="3" s="1"/>
  <c r="E110" i="1"/>
  <c r="P110" i="1" s="1"/>
  <c r="O77" i="3" s="1"/>
  <c r="D78" i="3" l="1"/>
  <c r="D31" i="3" s="1"/>
  <c r="E71" i="1"/>
  <c r="P126" i="1"/>
  <c r="D77" i="3"/>
  <c r="J71" i="1"/>
  <c r="P71" i="1"/>
  <c r="N237" i="3" l="1"/>
  <c r="M237" i="3"/>
  <c r="L237" i="3"/>
  <c r="K237" i="3"/>
  <c r="J237" i="3"/>
  <c r="H237" i="3"/>
  <c r="G237" i="3"/>
  <c r="F237" i="3"/>
  <c r="E237" i="3"/>
  <c r="M215" i="3"/>
  <c r="L215" i="3"/>
  <c r="K215" i="3"/>
  <c r="H215" i="3"/>
  <c r="G215" i="3"/>
  <c r="F215" i="3"/>
  <c r="N61" i="3"/>
  <c r="M61" i="3"/>
  <c r="L61" i="3"/>
  <c r="K61" i="3"/>
  <c r="J61" i="3"/>
  <c r="H61" i="3"/>
  <c r="G61" i="3"/>
  <c r="F61" i="3"/>
  <c r="E61" i="3"/>
  <c r="E213" i="1"/>
  <c r="J213" i="1"/>
  <c r="I61" i="3" s="1"/>
  <c r="D61" i="3" l="1"/>
  <c r="P213" i="1"/>
  <c r="O61" i="3" s="1"/>
  <c r="N225" i="3" l="1"/>
  <c r="M225" i="3"/>
  <c r="L225" i="3"/>
  <c r="K225" i="3"/>
  <c r="J225" i="3"/>
  <c r="H225" i="3"/>
  <c r="G225" i="3"/>
  <c r="F225" i="3"/>
  <c r="E225" i="3"/>
  <c r="E121" i="1"/>
  <c r="D225" i="3" s="1"/>
  <c r="J121" i="1"/>
  <c r="I225" i="3" s="1"/>
  <c r="N150" i="3"/>
  <c r="M150" i="3"/>
  <c r="L150" i="3"/>
  <c r="K150" i="3"/>
  <c r="J150" i="3"/>
  <c r="H150" i="3"/>
  <c r="G150" i="3"/>
  <c r="F150" i="3"/>
  <c r="E150" i="3"/>
  <c r="N139" i="3"/>
  <c r="M139" i="3"/>
  <c r="L139" i="3"/>
  <c r="K139" i="3"/>
  <c r="J139" i="3"/>
  <c r="H139" i="3"/>
  <c r="G139" i="3"/>
  <c r="F139" i="3"/>
  <c r="N121" i="3"/>
  <c r="M121" i="3"/>
  <c r="L121" i="3"/>
  <c r="K121" i="3"/>
  <c r="J121" i="3"/>
  <c r="H121" i="3"/>
  <c r="G121" i="3"/>
  <c r="F121" i="3"/>
  <c r="E121" i="3"/>
  <c r="N76" i="3"/>
  <c r="N29" i="3" s="1"/>
  <c r="M76" i="3"/>
  <c r="M29" i="3" s="1"/>
  <c r="L76" i="3"/>
  <c r="L29" i="3" s="1"/>
  <c r="K76" i="3"/>
  <c r="K29" i="3" s="1"/>
  <c r="J76" i="3"/>
  <c r="J29" i="3" s="1"/>
  <c r="H76" i="3"/>
  <c r="H29" i="3" s="1"/>
  <c r="G76" i="3"/>
  <c r="G29" i="3" s="1"/>
  <c r="F76" i="3"/>
  <c r="F29" i="3" s="1"/>
  <c r="E76" i="3"/>
  <c r="E29" i="3" s="1"/>
  <c r="N75" i="3"/>
  <c r="M75" i="3"/>
  <c r="L75" i="3"/>
  <c r="K75" i="3"/>
  <c r="J75" i="3"/>
  <c r="H75" i="3"/>
  <c r="G75" i="3"/>
  <c r="F75" i="3"/>
  <c r="E75" i="3"/>
  <c r="N67" i="3"/>
  <c r="M67" i="3"/>
  <c r="L67" i="3"/>
  <c r="K67" i="3"/>
  <c r="J67" i="3"/>
  <c r="H67" i="3"/>
  <c r="G67" i="3"/>
  <c r="F67" i="3"/>
  <c r="E67" i="3"/>
  <c r="B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4" i="3"/>
  <c r="M64" i="3"/>
  <c r="L64" i="3"/>
  <c r="K64" i="3"/>
  <c r="J64" i="3"/>
  <c r="H64" i="3"/>
  <c r="G64" i="3"/>
  <c r="F64" i="3"/>
  <c r="E64" i="3"/>
  <c r="N63" i="3"/>
  <c r="M63" i="3"/>
  <c r="L63" i="3"/>
  <c r="K63" i="3"/>
  <c r="J63" i="3"/>
  <c r="H63" i="3"/>
  <c r="G63" i="3"/>
  <c r="F63" i="3"/>
  <c r="E63" i="3"/>
  <c r="N62" i="3"/>
  <c r="M62" i="3"/>
  <c r="L62" i="3"/>
  <c r="K62" i="3"/>
  <c r="J62" i="3"/>
  <c r="H62" i="3"/>
  <c r="G62" i="3"/>
  <c r="F62" i="3"/>
  <c r="E62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N45" i="3"/>
  <c r="M45" i="3"/>
  <c r="L45" i="3"/>
  <c r="K45" i="3"/>
  <c r="J45" i="3"/>
  <c r="H45" i="3"/>
  <c r="G45" i="3"/>
  <c r="F45" i="3"/>
  <c r="E45" i="3"/>
  <c r="N38" i="3"/>
  <c r="M38" i="3"/>
  <c r="L38" i="3"/>
  <c r="K38" i="3"/>
  <c r="J38" i="3"/>
  <c r="H38" i="3"/>
  <c r="G38" i="3"/>
  <c r="F38" i="3"/>
  <c r="E38" i="3"/>
  <c r="N36" i="3"/>
  <c r="M36" i="3"/>
  <c r="L36" i="3"/>
  <c r="K36" i="3"/>
  <c r="J36" i="3"/>
  <c r="H36" i="3"/>
  <c r="G36" i="3"/>
  <c r="F36" i="3"/>
  <c r="E36" i="3"/>
  <c r="N25" i="3" l="1"/>
  <c r="E25" i="3"/>
  <c r="J25" i="3"/>
  <c r="G24" i="3"/>
  <c r="L24" i="3"/>
  <c r="G25" i="3"/>
  <c r="L25" i="3"/>
  <c r="F24" i="3"/>
  <c r="H24" i="3"/>
  <c r="K24" i="3"/>
  <c r="M24" i="3"/>
  <c r="F25" i="3"/>
  <c r="H25" i="3"/>
  <c r="K25" i="3"/>
  <c r="M25" i="3"/>
  <c r="J24" i="3"/>
  <c r="E24" i="3"/>
  <c r="N24" i="3"/>
  <c r="N215" i="3"/>
  <c r="P121" i="1"/>
  <c r="O225" i="3" s="1"/>
  <c r="J122" i="1"/>
  <c r="J120" i="1"/>
  <c r="J116" i="1"/>
  <c r="J114" i="1"/>
  <c r="J113" i="1"/>
  <c r="J112" i="1"/>
  <c r="E122" i="1"/>
  <c r="E120" i="1"/>
  <c r="E116" i="1"/>
  <c r="E114" i="1"/>
  <c r="E113" i="1"/>
  <c r="E112" i="1"/>
  <c r="P112" i="1" l="1"/>
  <c r="P114" i="1"/>
  <c r="P120" i="1"/>
  <c r="P116" i="1"/>
  <c r="P122" i="1"/>
  <c r="P113" i="1"/>
  <c r="O70" i="1"/>
  <c r="N70" i="1"/>
  <c r="M70" i="1"/>
  <c r="L70" i="1"/>
  <c r="K70" i="1"/>
  <c r="I70" i="1"/>
  <c r="H70" i="1"/>
  <c r="G70" i="1"/>
  <c r="F70" i="1"/>
  <c r="O68" i="1"/>
  <c r="N68" i="1"/>
  <c r="M68" i="1"/>
  <c r="L68" i="1"/>
  <c r="K68" i="1"/>
  <c r="I68" i="1"/>
  <c r="H68" i="1"/>
  <c r="G68" i="1"/>
  <c r="F68" i="1"/>
  <c r="J99" i="1"/>
  <c r="I66" i="3" s="1"/>
  <c r="E99" i="1"/>
  <c r="D66" i="3" s="1"/>
  <c r="J86" i="1"/>
  <c r="I52" i="3" s="1"/>
  <c r="E86" i="1"/>
  <c r="D52" i="3" s="1"/>
  <c r="P99" i="1" l="1"/>
  <c r="O66" i="3" s="1"/>
  <c r="P86" i="1"/>
  <c r="O52" i="3" s="1"/>
  <c r="J215" i="3" l="1"/>
  <c r="E139" i="3" l="1"/>
  <c r="D215" i="1" l="1"/>
  <c r="E215" i="3" l="1"/>
  <c r="D56" i="1" l="1"/>
  <c r="N222" i="3" l="1"/>
  <c r="M222" i="3"/>
  <c r="L222" i="3"/>
  <c r="K222" i="3"/>
  <c r="J222" i="3"/>
  <c r="H222" i="3"/>
  <c r="G222" i="3"/>
  <c r="F222" i="3"/>
  <c r="E222" i="3"/>
  <c r="N183" i="3"/>
  <c r="N186" i="3"/>
  <c r="M186" i="3"/>
  <c r="L186" i="3"/>
  <c r="K186" i="3"/>
  <c r="J186" i="3"/>
  <c r="H186" i="3"/>
  <c r="G186" i="3"/>
  <c r="F186" i="3"/>
  <c r="E186" i="3"/>
  <c r="O211" i="1"/>
  <c r="N211" i="1"/>
  <c r="M211" i="1"/>
  <c r="L211" i="1"/>
  <c r="K211" i="1"/>
  <c r="I211" i="1"/>
  <c r="H211" i="1"/>
  <c r="G211" i="1"/>
  <c r="F211" i="1"/>
  <c r="N220" i="3"/>
  <c r="M220" i="3"/>
  <c r="L220" i="3"/>
  <c r="K220" i="3"/>
  <c r="J220" i="3"/>
  <c r="H220" i="3"/>
  <c r="G220" i="3"/>
  <c r="F220" i="3"/>
  <c r="E220" i="3"/>
  <c r="O228" i="1"/>
  <c r="N228" i="1"/>
  <c r="M228" i="1"/>
  <c r="L228" i="1"/>
  <c r="K228" i="1"/>
  <c r="I228" i="1"/>
  <c r="H228" i="1"/>
  <c r="G228" i="1"/>
  <c r="F228" i="1"/>
  <c r="J292" i="1"/>
  <c r="E292" i="1"/>
  <c r="E258" i="1"/>
  <c r="D220" i="3" s="1"/>
  <c r="J258" i="1"/>
  <c r="I220" i="3" s="1"/>
  <c r="E218" i="1"/>
  <c r="D182" i="3" s="1"/>
  <c r="J218" i="1"/>
  <c r="I182" i="3" s="1"/>
  <c r="D186" i="3" l="1"/>
  <c r="I186" i="3"/>
  <c r="P218" i="1"/>
  <c r="O182" i="3" s="1"/>
  <c r="P258" i="1"/>
  <c r="E228" i="1"/>
  <c r="P292" i="1"/>
  <c r="J228" i="1"/>
  <c r="E20" i="3"/>
  <c r="F20" i="3"/>
  <c r="G20" i="3"/>
  <c r="H20" i="3"/>
  <c r="J20" i="3"/>
  <c r="K20" i="3"/>
  <c r="L20" i="3"/>
  <c r="M20" i="3"/>
  <c r="N20" i="3"/>
  <c r="O186" i="3" l="1"/>
  <c r="O220" i="3"/>
  <c r="P228" i="1"/>
  <c r="N205" i="3"/>
  <c r="M205" i="3"/>
  <c r="L205" i="3"/>
  <c r="K205" i="3"/>
  <c r="J205" i="3"/>
  <c r="H205" i="3"/>
  <c r="G205" i="3"/>
  <c r="F205" i="3"/>
  <c r="E205" i="3"/>
  <c r="J48" i="1" l="1"/>
  <c r="I205" i="3" s="1"/>
  <c r="E48" i="1"/>
  <c r="J22" i="1"/>
  <c r="I20" i="3" s="1"/>
  <c r="E22" i="1"/>
  <c r="D205" i="3" l="1"/>
  <c r="P48" i="1"/>
  <c r="O205" i="3" s="1"/>
  <c r="P22" i="1"/>
  <c r="O20" i="3" s="1"/>
  <c r="D20" i="3"/>
  <c r="F204" i="1" l="1"/>
  <c r="G204" i="1"/>
  <c r="H204" i="1"/>
  <c r="I204" i="1"/>
  <c r="K204" i="1"/>
  <c r="L204" i="1"/>
  <c r="M204" i="1"/>
  <c r="N204" i="1"/>
  <c r="O204" i="1"/>
  <c r="E88" i="3" l="1"/>
  <c r="F88" i="3"/>
  <c r="G88" i="3"/>
  <c r="H88" i="3"/>
  <c r="J88" i="3"/>
  <c r="K88" i="3"/>
  <c r="L88" i="3"/>
  <c r="M88" i="3"/>
  <c r="N88" i="3"/>
  <c r="F128" i="1" l="1"/>
  <c r="G128" i="1"/>
  <c r="H128" i="1"/>
  <c r="I128" i="1"/>
  <c r="L128" i="1"/>
  <c r="M128" i="1"/>
  <c r="N128" i="1"/>
  <c r="O128" i="1"/>
  <c r="E141" i="1"/>
  <c r="J141" i="1"/>
  <c r="I88" i="3" s="1"/>
  <c r="D141" i="1"/>
  <c r="P141" i="1" l="1"/>
  <c r="O88" i="3" s="1"/>
  <c r="D88" i="3"/>
  <c r="E204" i="3"/>
  <c r="F204" i="3"/>
  <c r="G204" i="3"/>
  <c r="H204" i="3"/>
  <c r="J204" i="3"/>
  <c r="K204" i="3"/>
  <c r="L204" i="3"/>
  <c r="M204" i="3"/>
  <c r="N204" i="3"/>
  <c r="E252" i="1"/>
  <c r="J252" i="1"/>
  <c r="F224" i="1"/>
  <c r="F320" i="1" s="1"/>
  <c r="G224" i="1"/>
  <c r="G320" i="1" s="1"/>
  <c r="H224" i="1"/>
  <c r="H320" i="1" s="1"/>
  <c r="I224" i="1"/>
  <c r="I320" i="1" s="1"/>
  <c r="K224" i="1"/>
  <c r="K320" i="1" s="1"/>
  <c r="L224" i="1"/>
  <c r="L320" i="1" s="1"/>
  <c r="M224" i="1"/>
  <c r="M320" i="1" s="1"/>
  <c r="N224" i="1"/>
  <c r="N320" i="1" s="1"/>
  <c r="O224" i="1"/>
  <c r="O320" i="1" s="1"/>
  <c r="D204" i="3" l="1"/>
  <c r="D207" i="3"/>
  <c r="D196" i="3" s="1"/>
  <c r="J224" i="1"/>
  <c r="I207" i="3"/>
  <c r="I196" i="3" s="1"/>
  <c r="E224" i="1"/>
  <c r="P252" i="1"/>
  <c r="O207" i="3" s="1"/>
  <c r="O196" i="3" s="1"/>
  <c r="I204" i="3"/>
  <c r="E209" i="1"/>
  <c r="J209" i="1"/>
  <c r="I164" i="3" s="1"/>
  <c r="L163" i="1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6" i="3"/>
  <c r="F136" i="3"/>
  <c r="G136" i="3"/>
  <c r="H136" i="3"/>
  <c r="J136" i="3"/>
  <c r="K136" i="3"/>
  <c r="L136" i="3"/>
  <c r="M136" i="3"/>
  <c r="N136" i="3"/>
  <c r="E137" i="3"/>
  <c r="E102" i="3" s="1"/>
  <c r="F137" i="3"/>
  <c r="F102" i="3" s="1"/>
  <c r="G137" i="3"/>
  <c r="G102" i="3" s="1"/>
  <c r="H137" i="3"/>
  <c r="H102" i="3" s="1"/>
  <c r="J137" i="3"/>
  <c r="J102" i="3" s="1"/>
  <c r="K137" i="3"/>
  <c r="K102" i="3" s="1"/>
  <c r="L137" i="3"/>
  <c r="L102" i="3" s="1"/>
  <c r="M137" i="3"/>
  <c r="M102" i="3" s="1"/>
  <c r="N137" i="3"/>
  <c r="N102" i="3" s="1"/>
  <c r="E192" i="1"/>
  <c r="E191" i="1"/>
  <c r="D132" i="3" s="1"/>
  <c r="J192" i="1"/>
  <c r="J166" i="1" s="1"/>
  <c r="J191" i="1"/>
  <c r="I132" i="3" s="1"/>
  <c r="E156" i="3"/>
  <c r="F156" i="3"/>
  <c r="G156" i="3"/>
  <c r="H156" i="3"/>
  <c r="J156" i="3"/>
  <c r="K156" i="3"/>
  <c r="L156" i="3"/>
  <c r="M156" i="3"/>
  <c r="N156" i="3"/>
  <c r="J195" i="1"/>
  <c r="I136" i="3" s="1"/>
  <c r="J196" i="1"/>
  <c r="J164" i="1" s="1"/>
  <c r="E195" i="1"/>
  <c r="D136" i="3" s="1"/>
  <c r="E196" i="1"/>
  <c r="F164" i="1"/>
  <c r="G164" i="1"/>
  <c r="H164" i="1"/>
  <c r="I164" i="1"/>
  <c r="K164" i="1"/>
  <c r="L164" i="1"/>
  <c r="M164" i="1"/>
  <c r="N164" i="1"/>
  <c r="O164" i="1"/>
  <c r="F163" i="1"/>
  <c r="G163" i="1"/>
  <c r="H163" i="1"/>
  <c r="I163" i="1"/>
  <c r="K163" i="1"/>
  <c r="M163" i="1"/>
  <c r="N163" i="1"/>
  <c r="O163" i="1"/>
  <c r="D163" i="1"/>
  <c r="D196" i="1"/>
  <c r="D164" i="1"/>
  <c r="D195" i="1"/>
  <c r="J23" i="1"/>
  <c r="I21" i="3" s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E204" i="1" l="1"/>
  <c r="D164" i="3"/>
  <c r="D156" i="3"/>
  <c r="D133" i="3"/>
  <c r="D104" i="3" s="1"/>
  <c r="E166" i="1"/>
  <c r="N101" i="3"/>
  <c r="N104" i="3"/>
  <c r="L101" i="3"/>
  <c r="L104" i="3"/>
  <c r="J101" i="3"/>
  <c r="J104" i="3"/>
  <c r="G101" i="3"/>
  <c r="G104" i="3"/>
  <c r="E101" i="3"/>
  <c r="E104" i="3"/>
  <c r="M101" i="3"/>
  <c r="M104" i="3"/>
  <c r="K101" i="3"/>
  <c r="K104" i="3"/>
  <c r="H101" i="3"/>
  <c r="H104" i="3"/>
  <c r="F101" i="3"/>
  <c r="F104" i="3"/>
  <c r="P224" i="1"/>
  <c r="O204" i="3"/>
  <c r="P209" i="1"/>
  <c r="J204" i="1"/>
  <c r="P192" i="1"/>
  <c r="I156" i="3"/>
  <c r="D137" i="3"/>
  <c r="D102" i="3" s="1"/>
  <c r="I133" i="3"/>
  <c r="J163" i="1"/>
  <c r="I137" i="3"/>
  <c r="I102" i="3" s="1"/>
  <c r="P191" i="1"/>
  <c r="P195" i="1"/>
  <c r="O136" i="3" s="1"/>
  <c r="E163" i="1"/>
  <c r="P196" i="1"/>
  <c r="E164" i="1"/>
  <c r="P25" i="1"/>
  <c r="P20" i="1" s="1"/>
  <c r="E20" i="1"/>
  <c r="P204" i="1" l="1"/>
  <c r="O164" i="3"/>
  <c r="D101" i="3"/>
  <c r="O133" i="3"/>
  <c r="O104" i="3" s="1"/>
  <c r="P166" i="1"/>
  <c r="I101" i="3"/>
  <c r="I104" i="3"/>
  <c r="O101" i="3"/>
  <c r="P163" i="1"/>
  <c r="O132" i="3"/>
  <c r="P164" i="1"/>
  <c r="O137" i="3"/>
  <c r="O102" i="3" s="1"/>
  <c r="O23" i="3"/>
  <c r="O18" i="3" s="1"/>
  <c r="O156" i="3" l="1"/>
  <c r="O203" i="1"/>
  <c r="N203" i="1"/>
  <c r="M203" i="1"/>
  <c r="L203" i="1"/>
  <c r="I203" i="1"/>
  <c r="H203" i="1"/>
  <c r="J208" i="1"/>
  <c r="I163" i="3" s="1"/>
  <c r="E208" i="1"/>
  <c r="D163" i="3" s="1"/>
  <c r="E285" i="1"/>
  <c r="E283" i="1"/>
  <c r="D193" i="3" s="1"/>
  <c r="N22" i="3"/>
  <c r="M22" i="3"/>
  <c r="L22" i="3"/>
  <c r="K22" i="3"/>
  <c r="J22" i="3"/>
  <c r="H22" i="3"/>
  <c r="G22" i="3"/>
  <c r="F22" i="3"/>
  <c r="E22" i="3"/>
  <c r="I22" i="3"/>
  <c r="E24" i="1"/>
  <c r="P208" i="1" l="1"/>
  <c r="O163" i="3" s="1"/>
  <c r="P24" i="1"/>
  <c r="D22" i="3"/>
  <c r="J160" i="1"/>
  <c r="E160" i="1"/>
  <c r="O22" i="3" l="1"/>
  <c r="P160" i="1"/>
  <c r="J283" i="1" l="1"/>
  <c r="I193" i="3" s="1"/>
  <c r="P283" i="1" l="1"/>
  <c r="O193" i="3" s="1"/>
  <c r="N69" i="1" l="1"/>
  <c r="M69" i="1"/>
  <c r="L69" i="1"/>
  <c r="I69" i="1"/>
  <c r="H69" i="1"/>
  <c r="G69" i="1"/>
  <c r="J96" i="1"/>
  <c r="I63" i="3" s="1"/>
  <c r="E96" i="1"/>
  <c r="D63" i="3" s="1"/>
  <c r="P96" i="1" l="1"/>
  <c r="O63" i="3" s="1"/>
  <c r="J308" i="1"/>
  <c r="M211" i="3" l="1"/>
  <c r="M210" i="3" s="1"/>
  <c r="L211" i="3"/>
  <c r="L210" i="3" s="1"/>
  <c r="K211" i="3"/>
  <c r="K210" i="3" s="1"/>
  <c r="H211" i="3"/>
  <c r="H210" i="3" s="1"/>
  <c r="G211" i="3"/>
  <c r="G210" i="3" s="1"/>
  <c r="F211" i="3"/>
  <c r="F210" i="3" s="1"/>
  <c r="J255" i="1" l="1"/>
  <c r="E255" i="1"/>
  <c r="P255" i="1" l="1"/>
  <c r="N185" i="3" l="1"/>
  <c r="M185" i="3"/>
  <c r="L185" i="3"/>
  <c r="K185" i="3"/>
  <c r="J185" i="3"/>
  <c r="H185" i="3"/>
  <c r="G185" i="3"/>
  <c r="F185" i="3"/>
  <c r="E185" i="3"/>
  <c r="J280" i="1"/>
  <c r="E280" i="1"/>
  <c r="E278" i="1"/>
  <c r="O307" i="1"/>
  <c r="O306" i="1" s="1"/>
  <c r="N307" i="1"/>
  <c r="N306" i="1" s="1"/>
  <c r="M307" i="1"/>
  <c r="M306" i="1" s="1"/>
  <c r="L307" i="1"/>
  <c r="L306" i="1" s="1"/>
  <c r="K307" i="1"/>
  <c r="K306" i="1" s="1"/>
  <c r="J307" i="1"/>
  <c r="J306" i="1" s="1"/>
  <c r="I307" i="1"/>
  <c r="I306" i="1" s="1"/>
  <c r="H307" i="1"/>
  <c r="H306" i="1" s="1"/>
  <c r="G307" i="1"/>
  <c r="G306" i="1" s="1"/>
  <c r="F307" i="1"/>
  <c r="F306" i="1" s="1"/>
  <c r="E308" i="1"/>
  <c r="P308" i="1" s="1"/>
  <c r="P307" i="1" s="1"/>
  <c r="P306" i="1" s="1"/>
  <c r="N211" i="3"/>
  <c r="N210" i="3" s="1"/>
  <c r="J211" i="3"/>
  <c r="J210" i="3" s="1"/>
  <c r="E307" i="1" l="1"/>
  <c r="E306" i="1" s="1"/>
  <c r="P280" i="1"/>
  <c r="O69" i="1"/>
  <c r="K69" i="1"/>
  <c r="F69" i="1"/>
  <c r="O130" i="1" l="1"/>
  <c r="N130" i="1"/>
  <c r="M130" i="1"/>
  <c r="L130" i="1"/>
  <c r="K130" i="1"/>
  <c r="I130" i="1"/>
  <c r="H130" i="1"/>
  <c r="G130" i="1"/>
  <c r="F130" i="1"/>
  <c r="J155" i="1"/>
  <c r="J156" i="1"/>
  <c r="E155" i="1"/>
  <c r="E156" i="1"/>
  <c r="J133" i="1" l="1"/>
  <c r="E130" i="1"/>
  <c r="E133" i="1"/>
  <c r="P156" i="1"/>
  <c r="P155" i="1"/>
  <c r="J130" i="1"/>
  <c r="P130" i="1" l="1"/>
  <c r="P133" i="1"/>
  <c r="D243" i="1"/>
  <c r="N216" i="3" l="1"/>
  <c r="M216" i="3"/>
  <c r="L216" i="3"/>
  <c r="K216" i="3"/>
  <c r="J216" i="3"/>
  <c r="H216" i="3"/>
  <c r="G216" i="3"/>
  <c r="F216" i="3"/>
  <c r="E216" i="3"/>
  <c r="F213" i="3" l="1"/>
  <c r="F171" i="3" s="1"/>
  <c r="F258" i="3" s="1"/>
  <c r="H213" i="3"/>
  <c r="H171" i="3" s="1"/>
  <c r="H258" i="3" s="1"/>
  <c r="K213" i="3"/>
  <c r="K171" i="3" s="1"/>
  <c r="K258" i="3" s="1"/>
  <c r="M213" i="3"/>
  <c r="M171" i="3" s="1"/>
  <c r="M258" i="3" s="1"/>
  <c r="E213" i="3"/>
  <c r="E171" i="3" s="1"/>
  <c r="E258" i="3" s="1"/>
  <c r="G213" i="3"/>
  <c r="G171" i="3" s="1"/>
  <c r="G258" i="3" s="1"/>
  <c r="L213" i="3"/>
  <c r="L171" i="3" s="1"/>
  <c r="L258" i="3" s="1"/>
  <c r="N213" i="3"/>
  <c r="N171" i="3" s="1"/>
  <c r="N258" i="3" s="1"/>
  <c r="J213" i="3"/>
  <c r="J171" i="3" s="1"/>
  <c r="J258" i="3" s="1"/>
  <c r="O135" i="1"/>
  <c r="N135" i="1"/>
  <c r="M135" i="1"/>
  <c r="L135" i="1"/>
  <c r="K135" i="1"/>
  <c r="I135" i="1"/>
  <c r="H135" i="1"/>
  <c r="G135" i="1"/>
  <c r="F135" i="1"/>
  <c r="O270" i="1"/>
  <c r="N270" i="1"/>
  <c r="M270" i="1"/>
  <c r="L270" i="1"/>
  <c r="K270" i="1"/>
  <c r="I270" i="1"/>
  <c r="H270" i="1"/>
  <c r="G270" i="1"/>
  <c r="F270" i="1"/>
  <c r="E270" i="1"/>
  <c r="F322" i="1" l="1"/>
  <c r="E277" i="3" s="1"/>
  <c r="H322" i="1"/>
  <c r="G277" i="3" s="1"/>
  <c r="K322" i="1"/>
  <c r="J277" i="3" s="1"/>
  <c r="M322" i="1"/>
  <c r="L277" i="3" s="1"/>
  <c r="O322" i="1"/>
  <c r="N277" i="3" s="1"/>
  <c r="G322" i="1"/>
  <c r="F277" i="3" s="1"/>
  <c r="I322" i="1"/>
  <c r="H277" i="3" s="1"/>
  <c r="L322" i="1"/>
  <c r="K277" i="3" s="1"/>
  <c r="N322" i="1"/>
  <c r="M277" i="3" s="1"/>
  <c r="E211" i="3" l="1"/>
  <c r="E210" i="3" s="1"/>
  <c r="M183" i="3" l="1"/>
  <c r="L183" i="3"/>
  <c r="K183" i="3"/>
  <c r="H183" i="3"/>
  <c r="G183" i="3"/>
  <c r="F183" i="3"/>
  <c r="E183" i="3"/>
  <c r="N181" i="3" l="1"/>
  <c r="M181" i="3"/>
  <c r="L181" i="3"/>
  <c r="K181" i="3"/>
  <c r="J181" i="3"/>
  <c r="H181" i="3"/>
  <c r="G181" i="3"/>
  <c r="F181" i="3"/>
  <c r="E181" i="3"/>
  <c r="M180" i="3"/>
  <c r="L180" i="3"/>
  <c r="K180" i="3"/>
  <c r="H180" i="3"/>
  <c r="G180" i="3"/>
  <c r="F180" i="3"/>
  <c r="E180" i="3"/>
  <c r="M184" i="3"/>
  <c r="L184" i="3"/>
  <c r="K184" i="3"/>
  <c r="H184" i="3"/>
  <c r="G184" i="3"/>
  <c r="F184" i="3"/>
  <c r="E184" i="3"/>
  <c r="J200" i="1" l="1"/>
  <c r="E200" i="1"/>
  <c r="D181" i="3" s="1"/>
  <c r="J153" i="1"/>
  <c r="E153" i="1"/>
  <c r="E43" i="1"/>
  <c r="E42" i="1"/>
  <c r="D183" i="3" s="1"/>
  <c r="J43" i="1"/>
  <c r="P43" i="1" s="1"/>
  <c r="J42" i="1"/>
  <c r="P42" i="1" l="1"/>
  <c r="P153" i="1"/>
  <c r="P200" i="1"/>
  <c r="O181" i="3" s="1"/>
  <c r="I181" i="3"/>
  <c r="N184" i="3"/>
  <c r="J184" i="3"/>
  <c r="E158" i="1" l="1"/>
  <c r="J158" i="1"/>
  <c r="J135" i="1" l="1"/>
  <c r="D216" i="3"/>
  <c r="E135" i="1"/>
  <c r="E322" i="1" s="1"/>
  <c r="P158" i="1"/>
  <c r="J285" i="1"/>
  <c r="J270" i="1" s="1"/>
  <c r="J322" i="1" l="1"/>
  <c r="D213" i="3"/>
  <c r="I216" i="3"/>
  <c r="P135" i="1"/>
  <c r="P285" i="1"/>
  <c r="P270" i="1" s="1"/>
  <c r="N203" i="3"/>
  <c r="M203" i="3"/>
  <c r="L203" i="3"/>
  <c r="K203" i="3"/>
  <c r="J203" i="3"/>
  <c r="H203" i="3"/>
  <c r="G203" i="3"/>
  <c r="F203" i="3"/>
  <c r="E203" i="3"/>
  <c r="N140" i="3"/>
  <c r="M140" i="3"/>
  <c r="L140" i="3"/>
  <c r="K140" i="3"/>
  <c r="J140" i="3"/>
  <c r="H140" i="3"/>
  <c r="G140" i="3"/>
  <c r="F140" i="3"/>
  <c r="N126" i="3"/>
  <c r="M126" i="3"/>
  <c r="L126" i="3"/>
  <c r="K126" i="3"/>
  <c r="J126" i="3"/>
  <c r="H126" i="3"/>
  <c r="G126" i="3"/>
  <c r="F126" i="3"/>
  <c r="E126" i="3"/>
  <c r="N124" i="3"/>
  <c r="M124" i="3"/>
  <c r="L124" i="3"/>
  <c r="K124" i="3"/>
  <c r="J124" i="3"/>
  <c r="H124" i="3"/>
  <c r="G124" i="3"/>
  <c r="F124" i="3"/>
  <c r="E124" i="3"/>
  <c r="N115" i="3"/>
  <c r="M115" i="3"/>
  <c r="L115" i="3"/>
  <c r="K115" i="3"/>
  <c r="J115" i="3"/>
  <c r="H115" i="3"/>
  <c r="G115" i="3"/>
  <c r="F115" i="3"/>
  <c r="E115" i="3"/>
  <c r="N113" i="3"/>
  <c r="M113" i="3"/>
  <c r="L113" i="3"/>
  <c r="K113" i="3"/>
  <c r="J113" i="3"/>
  <c r="H113" i="3"/>
  <c r="G113" i="3"/>
  <c r="F113" i="3"/>
  <c r="E113" i="3"/>
  <c r="N109" i="3"/>
  <c r="M109" i="3"/>
  <c r="L109" i="3"/>
  <c r="K109" i="3"/>
  <c r="J109" i="3"/>
  <c r="H109" i="3"/>
  <c r="G109" i="3"/>
  <c r="F109" i="3"/>
  <c r="N97" i="3"/>
  <c r="M97" i="3"/>
  <c r="L97" i="3"/>
  <c r="K97" i="3"/>
  <c r="J97" i="3"/>
  <c r="H97" i="3"/>
  <c r="G97" i="3"/>
  <c r="F97" i="3"/>
  <c r="E97" i="3"/>
  <c r="N96" i="3"/>
  <c r="M96" i="3"/>
  <c r="L96" i="3"/>
  <c r="K96" i="3"/>
  <c r="J96" i="3"/>
  <c r="H96" i="3"/>
  <c r="G96" i="3"/>
  <c r="F96" i="3"/>
  <c r="E96" i="3"/>
  <c r="N94" i="3"/>
  <c r="M94" i="3"/>
  <c r="L94" i="3"/>
  <c r="K94" i="3"/>
  <c r="J94" i="3"/>
  <c r="H94" i="3"/>
  <c r="G94" i="3"/>
  <c r="F94" i="3"/>
  <c r="E94" i="3"/>
  <c r="N92" i="3"/>
  <c r="M92" i="3"/>
  <c r="L92" i="3"/>
  <c r="K92" i="3"/>
  <c r="J92" i="3"/>
  <c r="H92" i="3"/>
  <c r="G92" i="3"/>
  <c r="F92" i="3"/>
  <c r="E92" i="3"/>
  <c r="N90" i="3"/>
  <c r="M90" i="3"/>
  <c r="L90" i="3"/>
  <c r="K90" i="3"/>
  <c r="J90" i="3"/>
  <c r="I90" i="3"/>
  <c r="H90" i="3"/>
  <c r="G90" i="3"/>
  <c r="F90" i="3"/>
  <c r="E90" i="3"/>
  <c r="N86" i="3"/>
  <c r="M86" i="3"/>
  <c r="L86" i="3"/>
  <c r="K86" i="3"/>
  <c r="J86" i="3"/>
  <c r="H86" i="3"/>
  <c r="G86" i="3"/>
  <c r="F86" i="3"/>
  <c r="N85" i="3"/>
  <c r="M85" i="3"/>
  <c r="L85" i="3"/>
  <c r="K85" i="3"/>
  <c r="J85" i="3"/>
  <c r="H85" i="3"/>
  <c r="G85" i="3"/>
  <c r="F85" i="3"/>
  <c r="E85" i="3"/>
  <c r="J69" i="1"/>
  <c r="E69" i="1"/>
  <c r="O129" i="1"/>
  <c r="N129" i="1"/>
  <c r="M129" i="1"/>
  <c r="L129" i="1"/>
  <c r="K129" i="1"/>
  <c r="I129" i="1"/>
  <c r="H129" i="1"/>
  <c r="G129" i="1"/>
  <c r="F129" i="1"/>
  <c r="F103" i="3" l="1"/>
  <c r="H103" i="3"/>
  <c r="K103" i="3"/>
  <c r="M103" i="3"/>
  <c r="G103" i="3"/>
  <c r="J103" i="3"/>
  <c r="L103" i="3"/>
  <c r="N103" i="3"/>
  <c r="D171" i="3"/>
  <c r="D258" i="3" s="1"/>
  <c r="P322" i="1"/>
  <c r="I213" i="3"/>
  <c r="I171" i="3" s="1"/>
  <c r="I258" i="3" s="1"/>
  <c r="I277" i="3" s="1"/>
  <c r="O216" i="3"/>
  <c r="P69" i="1"/>
  <c r="E326" i="1" l="1"/>
  <c r="D277" i="3"/>
  <c r="O213" i="3"/>
  <c r="O171" i="3" s="1"/>
  <c r="O258" i="3" s="1"/>
  <c r="O277" i="3" s="1"/>
  <c r="O223" i="1"/>
  <c r="N223" i="1"/>
  <c r="M223" i="1"/>
  <c r="L223" i="1"/>
  <c r="K223" i="1"/>
  <c r="I223" i="1"/>
  <c r="H223" i="1"/>
  <c r="G223" i="1"/>
  <c r="F223" i="1"/>
  <c r="O131" i="1" l="1"/>
  <c r="N131" i="1"/>
  <c r="M131" i="1"/>
  <c r="L131" i="1"/>
  <c r="K131" i="1"/>
  <c r="I131" i="1"/>
  <c r="H131" i="1"/>
  <c r="G131" i="1"/>
  <c r="O132" i="1" l="1"/>
  <c r="N132" i="1"/>
  <c r="M132" i="1"/>
  <c r="L132" i="1"/>
  <c r="I132" i="1"/>
  <c r="H132" i="1"/>
  <c r="G132" i="1"/>
  <c r="F132" i="1"/>
  <c r="J140" i="1"/>
  <c r="E140" i="1"/>
  <c r="J139" i="1"/>
  <c r="I86" i="3" s="1"/>
  <c r="J138" i="1"/>
  <c r="I85" i="3" s="1"/>
  <c r="E138" i="1"/>
  <c r="D85" i="3" s="1"/>
  <c r="J145" i="1"/>
  <c r="I92" i="3" s="1"/>
  <c r="E145" i="1"/>
  <c r="D92" i="3" s="1"/>
  <c r="E143" i="1"/>
  <c r="E134" i="1" l="1"/>
  <c r="D87" i="3"/>
  <c r="D83" i="3" s="1"/>
  <c r="J134" i="1"/>
  <c r="I87" i="3"/>
  <c r="F131" i="1"/>
  <c r="E86" i="3"/>
  <c r="P143" i="1"/>
  <c r="O90" i="3" s="1"/>
  <c r="D90" i="3"/>
  <c r="E129" i="1"/>
  <c r="J129" i="1"/>
  <c r="E139" i="1"/>
  <c r="P145" i="1"/>
  <c r="O92" i="3" s="1"/>
  <c r="P138" i="1"/>
  <c r="O85" i="3" s="1"/>
  <c r="P140" i="1"/>
  <c r="P134" i="1" l="1"/>
  <c r="O87" i="3"/>
  <c r="P139" i="1"/>
  <c r="O86" i="3" s="1"/>
  <c r="D86" i="3"/>
  <c r="P129" i="1"/>
  <c r="N195" i="3"/>
  <c r="N169" i="3" s="1"/>
  <c r="M195" i="3"/>
  <c r="M169" i="3" s="1"/>
  <c r="L195" i="3"/>
  <c r="L169" i="3" s="1"/>
  <c r="K195" i="3"/>
  <c r="K169" i="3" s="1"/>
  <c r="J195" i="3"/>
  <c r="J169" i="3" s="1"/>
  <c r="H195" i="3"/>
  <c r="H169" i="3" s="1"/>
  <c r="G195" i="3"/>
  <c r="G169" i="3" s="1"/>
  <c r="F195" i="3"/>
  <c r="F169" i="3" s="1"/>
  <c r="E195" i="3"/>
  <c r="E169" i="3" s="1"/>
  <c r="N175" i="3"/>
  <c r="N256" i="3" s="1"/>
  <c r="M175" i="3"/>
  <c r="M256" i="3" s="1"/>
  <c r="L175" i="3"/>
  <c r="L256" i="3" s="1"/>
  <c r="K175" i="3"/>
  <c r="K256" i="3" s="1"/>
  <c r="J175" i="3"/>
  <c r="J256" i="3" s="1"/>
  <c r="H175" i="3"/>
  <c r="H256" i="3" s="1"/>
  <c r="G175" i="3"/>
  <c r="G256" i="3" s="1"/>
  <c r="F175" i="3"/>
  <c r="F256" i="3" s="1"/>
  <c r="E175" i="3"/>
  <c r="E256" i="3" s="1"/>
  <c r="N82" i="3"/>
  <c r="M82" i="3"/>
  <c r="L82" i="3"/>
  <c r="K82" i="3"/>
  <c r="J82" i="3"/>
  <c r="H82" i="3"/>
  <c r="G82" i="3"/>
  <c r="F82" i="3"/>
  <c r="E82" i="3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H80" i="3"/>
  <c r="G80" i="3"/>
  <c r="F80" i="3"/>
  <c r="E80" i="3"/>
  <c r="L275" i="3" l="1"/>
  <c r="H275" i="3"/>
  <c r="J275" i="3"/>
  <c r="G275" i="3"/>
  <c r="M275" i="3"/>
  <c r="N275" i="3"/>
  <c r="K275" i="3"/>
  <c r="F275" i="3"/>
  <c r="E275" i="3"/>
  <c r="F168" i="3"/>
  <c r="H168" i="3"/>
  <c r="K168" i="3"/>
  <c r="M168" i="3"/>
  <c r="E168" i="3"/>
  <c r="G168" i="3"/>
  <c r="J168" i="3"/>
  <c r="L168" i="3"/>
  <c r="N168" i="3"/>
  <c r="K80" i="3"/>
  <c r="M80" i="3"/>
  <c r="J80" i="3"/>
  <c r="L80" i="3"/>
  <c r="N80" i="3"/>
  <c r="J251" i="1"/>
  <c r="E251" i="1"/>
  <c r="D203" i="3" s="1"/>
  <c r="J247" i="1"/>
  <c r="E247" i="1"/>
  <c r="J199" i="1"/>
  <c r="I140" i="3" s="1"/>
  <c r="J185" i="1"/>
  <c r="I126" i="3" s="1"/>
  <c r="E185" i="1"/>
  <c r="D126" i="3" s="1"/>
  <c r="J183" i="1"/>
  <c r="I124" i="3" s="1"/>
  <c r="E183" i="1"/>
  <c r="D124" i="3" s="1"/>
  <c r="J179" i="1"/>
  <c r="I115" i="3" s="1"/>
  <c r="E179" i="1"/>
  <c r="D115" i="3" s="1"/>
  <c r="J177" i="1"/>
  <c r="I113" i="3" s="1"/>
  <c r="E177" i="1"/>
  <c r="D113" i="3" s="1"/>
  <c r="J173" i="1"/>
  <c r="J150" i="1"/>
  <c r="I97" i="3" s="1"/>
  <c r="E150" i="1"/>
  <c r="J149" i="1"/>
  <c r="E149" i="1"/>
  <c r="J147" i="1"/>
  <c r="I94" i="3" s="1"/>
  <c r="E147" i="1"/>
  <c r="J109" i="1"/>
  <c r="E109" i="1"/>
  <c r="J95" i="1"/>
  <c r="I62" i="3" s="1"/>
  <c r="E95" i="1"/>
  <c r="D62" i="3" s="1"/>
  <c r="J84" i="1"/>
  <c r="I50" i="3" s="1"/>
  <c r="I27" i="3" s="1"/>
  <c r="E84" i="1"/>
  <c r="D50" i="3" s="1"/>
  <c r="D27" i="3" s="1"/>
  <c r="J83" i="1"/>
  <c r="E83" i="1"/>
  <c r="J80" i="1"/>
  <c r="I45" i="3" s="1"/>
  <c r="I49" i="3" l="1"/>
  <c r="I25" i="3" s="1"/>
  <c r="J65" i="1"/>
  <c r="D49" i="3"/>
  <c r="D25" i="3" s="1"/>
  <c r="E65" i="1"/>
  <c r="J165" i="1"/>
  <c r="J225" i="1"/>
  <c r="I190" i="3"/>
  <c r="E225" i="1"/>
  <c r="D190" i="3"/>
  <c r="D175" i="3" s="1"/>
  <c r="D97" i="3"/>
  <c r="E132" i="1"/>
  <c r="D94" i="3"/>
  <c r="J70" i="1"/>
  <c r="I76" i="3"/>
  <c r="I29" i="3" s="1"/>
  <c r="E70" i="1"/>
  <c r="D76" i="3"/>
  <c r="D29" i="3" s="1"/>
  <c r="J68" i="1"/>
  <c r="E68" i="1"/>
  <c r="E173" i="1"/>
  <c r="E109" i="3"/>
  <c r="E199" i="1"/>
  <c r="E140" i="3"/>
  <c r="I109" i="3"/>
  <c r="I103" i="3" s="1"/>
  <c r="J223" i="1"/>
  <c r="I203" i="3"/>
  <c r="E131" i="1"/>
  <c r="D96" i="3"/>
  <c r="J131" i="1"/>
  <c r="I96" i="3"/>
  <c r="P251" i="1"/>
  <c r="E223" i="1"/>
  <c r="P247" i="1"/>
  <c r="J132" i="1"/>
  <c r="E80" i="1"/>
  <c r="P177" i="1"/>
  <c r="O113" i="3" s="1"/>
  <c r="P179" i="1"/>
  <c r="O115" i="3" s="1"/>
  <c r="P183" i="1"/>
  <c r="O124" i="3" s="1"/>
  <c r="P185" i="1"/>
  <c r="O126" i="3" s="1"/>
  <c r="P147" i="1"/>
  <c r="O94" i="3" s="1"/>
  <c r="P149" i="1"/>
  <c r="P150" i="1"/>
  <c r="O97" i="3" s="1"/>
  <c r="P83" i="1"/>
  <c r="P84" i="1"/>
  <c r="O50" i="3" s="1"/>
  <c r="O27" i="3" s="1"/>
  <c r="P95" i="1"/>
  <c r="O62" i="3" s="1"/>
  <c r="P109" i="1"/>
  <c r="D82" i="3" l="1"/>
  <c r="E320" i="1"/>
  <c r="J320" i="1"/>
  <c r="D256" i="3"/>
  <c r="O49" i="3"/>
  <c r="O25" i="3" s="1"/>
  <c r="P65" i="1"/>
  <c r="E165" i="1"/>
  <c r="E103" i="3"/>
  <c r="D109" i="3"/>
  <c r="P225" i="1"/>
  <c r="O190" i="3"/>
  <c r="P199" i="1"/>
  <c r="O140" i="3" s="1"/>
  <c r="P70" i="1"/>
  <c r="O76" i="3"/>
  <c r="O29" i="3" s="1"/>
  <c r="D45" i="3"/>
  <c r="P68" i="1"/>
  <c r="D140" i="3"/>
  <c r="P173" i="1"/>
  <c r="P223" i="1"/>
  <c r="O203" i="3"/>
  <c r="P131" i="1"/>
  <c r="O96" i="3"/>
  <c r="P80" i="1"/>
  <c r="P132" i="1"/>
  <c r="D275" i="3" l="1"/>
  <c r="P320" i="1"/>
  <c r="P165" i="1"/>
  <c r="D103" i="3"/>
  <c r="O109" i="3"/>
  <c r="O103" i="3" s="1"/>
  <c r="O45" i="3"/>
  <c r="C229" i="3"/>
  <c r="N232" i="3"/>
  <c r="N257" i="3" s="1"/>
  <c r="M232" i="3"/>
  <c r="M257" i="3" s="1"/>
  <c r="L232" i="3"/>
  <c r="L257" i="3" s="1"/>
  <c r="K232" i="3"/>
  <c r="K257" i="3" s="1"/>
  <c r="J232" i="3"/>
  <c r="J257" i="3" s="1"/>
  <c r="H232" i="3"/>
  <c r="H257" i="3" s="1"/>
  <c r="G232" i="3"/>
  <c r="G257" i="3" s="1"/>
  <c r="F232" i="3"/>
  <c r="F257" i="3" s="1"/>
  <c r="E232" i="3"/>
  <c r="E229" i="3" s="1"/>
  <c r="E227" i="3" s="1"/>
  <c r="D57" i="1"/>
  <c r="O19" i="1"/>
  <c r="O321" i="1" s="1"/>
  <c r="N19" i="1"/>
  <c r="N321" i="1" s="1"/>
  <c r="M19" i="1"/>
  <c r="M321" i="1" s="1"/>
  <c r="L19" i="1"/>
  <c r="L321" i="1" s="1"/>
  <c r="K19" i="1"/>
  <c r="K321" i="1" s="1"/>
  <c r="I19" i="1"/>
  <c r="I321" i="1" s="1"/>
  <c r="H19" i="1"/>
  <c r="H321" i="1" s="1"/>
  <c r="G19" i="1"/>
  <c r="G321" i="1" s="1"/>
  <c r="F19" i="1"/>
  <c r="F321" i="1" s="1"/>
  <c r="J57" i="1"/>
  <c r="J19" i="1" s="1"/>
  <c r="J321" i="1" s="1"/>
  <c r="E57" i="1"/>
  <c r="E19" i="1" s="1"/>
  <c r="E321" i="1" s="1"/>
  <c r="F276" i="3" l="1"/>
  <c r="K276" i="3"/>
  <c r="G276" i="3"/>
  <c r="L276" i="3"/>
  <c r="H276" i="3"/>
  <c r="M276" i="3"/>
  <c r="J276" i="3"/>
  <c r="N276" i="3"/>
  <c r="H325" i="1"/>
  <c r="M325" i="1"/>
  <c r="I325" i="1"/>
  <c r="N325" i="1"/>
  <c r="E257" i="3"/>
  <c r="E276" i="3" s="1"/>
  <c r="K325" i="1"/>
  <c r="O325" i="1"/>
  <c r="G325" i="1"/>
  <c r="L325" i="1"/>
  <c r="F325" i="1"/>
  <c r="F229" i="3"/>
  <c r="F227" i="3" s="1"/>
  <c r="K229" i="3"/>
  <c r="K227" i="3" s="1"/>
  <c r="M229" i="3"/>
  <c r="M227" i="3" s="1"/>
  <c r="H229" i="3"/>
  <c r="H227" i="3" s="1"/>
  <c r="G229" i="3"/>
  <c r="G227" i="3" s="1"/>
  <c r="J229" i="3"/>
  <c r="J227" i="3" s="1"/>
  <c r="L229" i="3"/>
  <c r="L227" i="3" s="1"/>
  <c r="N229" i="3"/>
  <c r="N227" i="3" s="1"/>
  <c r="I232" i="3"/>
  <c r="P57" i="1"/>
  <c r="D232" i="3"/>
  <c r="D257" i="3" l="1"/>
  <c r="D276" i="3" s="1"/>
  <c r="I229" i="3"/>
  <c r="I227" i="3" s="1"/>
  <c r="D229" i="3"/>
  <c r="D227" i="3" s="1"/>
  <c r="P19" i="1"/>
  <c r="P321" i="1" s="1"/>
  <c r="O232" i="3"/>
  <c r="E325" i="1" l="1"/>
  <c r="O229" i="3"/>
  <c r="O227" i="3" s="1"/>
  <c r="E152" i="1"/>
  <c r="J62" i="1"/>
  <c r="E62" i="1"/>
  <c r="I254" i="3" l="1"/>
  <c r="D254" i="3"/>
  <c r="P62" i="1"/>
  <c r="O254" i="3" l="1"/>
  <c r="J243" i="1"/>
  <c r="I185" i="3" s="1"/>
  <c r="E243" i="1"/>
  <c r="D185" i="3" s="1"/>
  <c r="C243" i="1"/>
  <c r="P243" i="1" l="1"/>
  <c r="O185" i="3" s="1"/>
  <c r="J183" i="3" l="1"/>
  <c r="G203" i="1"/>
  <c r="F203" i="1" l="1"/>
  <c r="E230" i="3" l="1"/>
  <c r="F230" i="3"/>
  <c r="G230" i="3"/>
  <c r="H230" i="3"/>
  <c r="J230" i="3"/>
  <c r="K230" i="3"/>
  <c r="L230" i="3"/>
  <c r="M230" i="3"/>
  <c r="N230" i="3"/>
  <c r="J260" i="1"/>
  <c r="E260" i="1"/>
  <c r="C260" i="1"/>
  <c r="D260" i="1"/>
  <c r="B260" i="1"/>
  <c r="P260" i="1" l="1"/>
  <c r="E234" i="3" l="1"/>
  <c r="F234" i="3"/>
  <c r="G234" i="3"/>
  <c r="H234" i="3"/>
  <c r="J234" i="3"/>
  <c r="K234" i="3"/>
  <c r="L234" i="3"/>
  <c r="M234" i="3"/>
  <c r="N234" i="3"/>
  <c r="J261" i="1"/>
  <c r="E261" i="1"/>
  <c r="C261" i="1"/>
  <c r="D261" i="1"/>
  <c r="B261" i="1"/>
  <c r="P261" i="1" l="1"/>
  <c r="E199" i="3" l="1"/>
  <c r="F199" i="3"/>
  <c r="G199" i="3"/>
  <c r="H199" i="3"/>
  <c r="J199" i="3"/>
  <c r="K199" i="3"/>
  <c r="L199" i="3"/>
  <c r="M199" i="3"/>
  <c r="N199" i="3"/>
  <c r="E201" i="3"/>
  <c r="F201" i="3"/>
  <c r="G201" i="3"/>
  <c r="H201" i="3"/>
  <c r="J201" i="3"/>
  <c r="K201" i="3"/>
  <c r="L201" i="3"/>
  <c r="M201" i="3"/>
  <c r="N201" i="3"/>
  <c r="E45" i="1"/>
  <c r="E47" i="1"/>
  <c r="J44" i="1"/>
  <c r="J45" i="1"/>
  <c r="I199" i="3" s="1"/>
  <c r="J47" i="1"/>
  <c r="I201" i="3" s="1"/>
  <c r="C45" i="1"/>
  <c r="D45" i="1"/>
  <c r="D47" i="1"/>
  <c r="B47" i="1"/>
  <c r="B45" i="1"/>
  <c r="D201" i="3" l="1"/>
  <c r="P47" i="1"/>
  <c r="O201" i="3" s="1"/>
  <c r="P45" i="1"/>
  <c r="O199" i="3" s="1"/>
  <c r="D199" i="3"/>
  <c r="N180" i="3" l="1"/>
  <c r="J180" i="3" l="1"/>
  <c r="E202" i="3" l="1"/>
  <c r="F202" i="3"/>
  <c r="G202" i="3"/>
  <c r="H202" i="3"/>
  <c r="J202" i="3"/>
  <c r="K202" i="3"/>
  <c r="L202" i="3"/>
  <c r="M202" i="3"/>
  <c r="N202" i="3"/>
  <c r="J250" i="1"/>
  <c r="E250" i="1"/>
  <c r="D206" i="3" s="1"/>
  <c r="B250" i="1"/>
  <c r="I202" i="3" l="1"/>
  <c r="I206" i="3"/>
  <c r="P250" i="1"/>
  <c r="D202" i="3"/>
  <c r="N187" i="3"/>
  <c r="M187" i="3"/>
  <c r="L187" i="3"/>
  <c r="K187" i="3"/>
  <c r="J187" i="3"/>
  <c r="H187" i="3"/>
  <c r="G187" i="3"/>
  <c r="F187" i="3"/>
  <c r="E187" i="3"/>
  <c r="J154" i="1"/>
  <c r="E154" i="1"/>
  <c r="D154" i="1"/>
  <c r="C154" i="1"/>
  <c r="B154" i="1"/>
  <c r="D281" i="1"/>
  <c r="C281" i="1"/>
  <c r="B281" i="1"/>
  <c r="D244" i="1"/>
  <c r="C244" i="1"/>
  <c r="B244" i="1"/>
  <c r="O202" i="3" l="1"/>
  <c r="O206" i="3"/>
  <c r="P154" i="1"/>
  <c r="J281" i="1"/>
  <c r="E281" i="1"/>
  <c r="J244" i="1"/>
  <c r="E244" i="1"/>
  <c r="D187" i="3" l="1"/>
  <c r="P281" i="1"/>
  <c r="I187" i="3"/>
  <c r="P244" i="1"/>
  <c r="O187" i="3" l="1"/>
  <c r="K299" i="1"/>
  <c r="J286" i="1" l="1"/>
  <c r="E286" i="1"/>
  <c r="E246" i="1"/>
  <c r="D189" i="3" s="1"/>
  <c r="J246" i="1" l="1"/>
  <c r="P286" i="1"/>
  <c r="P246" i="1" l="1"/>
  <c r="O189" i="3" s="1"/>
  <c r="I189" i="3"/>
  <c r="J282" i="1"/>
  <c r="E282" i="1"/>
  <c r="P282" i="1" l="1"/>
  <c r="N224" i="3" l="1"/>
  <c r="M224" i="3"/>
  <c r="L224" i="3"/>
  <c r="K224" i="3"/>
  <c r="J224" i="3"/>
  <c r="H224" i="3"/>
  <c r="G224" i="3"/>
  <c r="F224" i="3"/>
  <c r="E224" i="3"/>
  <c r="J159" i="1"/>
  <c r="I224" i="3" s="1"/>
  <c r="E159" i="1"/>
  <c r="D224" i="3" s="1"/>
  <c r="P159" i="1" l="1"/>
  <c r="D171" i="1"/>
  <c r="O224" i="3" l="1"/>
  <c r="B278" i="1" l="1"/>
  <c r="J278" i="1"/>
  <c r="I183" i="3" s="1"/>
  <c r="P278" i="1" l="1"/>
  <c r="O183" i="3" s="1"/>
  <c r="D201" i="1" l="1"/>
  <c r="F223" i="3"/>
  <c r="G223" i="3"/>
  <c r="H223" i="3"/>
  <c r="J223" i="3"/>
  <c r="K223" i="3"/>
  <c r="L223" i="3"/>
  <c r="M223" i="3"/>
  <c r="N223" i="3"/>
  <c r="F166" i="3"/>
  <c r="G166" i="3"/>
  <c r="H166" i="3"/>
  <c r="J166" i="3"/>
  <c r="K166" i="3"/>
  <c r="L166" i="3"/>
  <c r="M166" i="3"/>
  <c r="N166" i="3"/>
  <c r="G310" i="1"/>
  <c r="H310" i="1"/>
  <c r="I310" i="1"/>
  <c r="K310" i="1"/>
  <c r="L310" i="1"/>
  <c r="M310" i="1"/>
  <c r="N310" i="1"/>
  <c r="O310" i="1"/>
  <c r="G299" i="1"/>
  <c r="H299" i="1"/>
  <c r="L299" i="1"/>
  <c r="M299" i="1"/>
  <c r="N299" i="1"/>
  <c r="O299" i="1"/>
  <c r="G127" i="1"/>
  <c r="H127" i="1"/>
  <c r="I127" i="1"/>
  <c r="L127" i="1"/>
  <c r="M127" i="1"/>
  <c r="N127" i="1"/>
  <c r="I299" i="1" l="1"/>
  <c r="E223" i="3" l="1"/>
  <c r="F299" i="1" l="1"/>
  <c r="F127" i="1"/>
  <c r="D264" i="1" l="1"/>
  <c r="F310" i="1" l="1"/>
  <c r="O127" i="1" l="1"/>
  <c r="K127" i="1"/>
  <c r="J220" i="1"/>
  <c r="E220" i="1"/>
  <c r="C220" i="1"/>
  <c r="D220" i="1"/>
  <c r="B220" i="1"/>
  <c r="P220" i="1" l="1"/>
  <c r="E17" i="3"/>
  <c r="F17" i="3"/>
  <c r="G17" i="3"/>
  <c r="H17" i="3"/>
  <c r="J17" i="3"/>
  <c r="K17" i="3"/>
  <c r="L17" i="3"/>
  <c r="M17" i="3"/>
  <c r="N17" i="3"/>
  <c r="E84" i="3"/>
  <c r="F84" i="3"/>
  <c r="G84" i="3"/>
  <c r="H84" i="3"/>
  <c r="J84" i="3"/>
  <c r="K84" i="3"/>
  <c r="L84" i="3"/>
  <c r="M84" i="3"/>
  <c r="N84" i="3"/>
  <c r="E89" i="3"/>
  <c r="F89" i="3"/>
  <c r="G89" i="3"/>
  <c r="H89" i="3"/>
  <c r="J89" i="3"/>
  <c r="K89" i="3"/>
  <c r="L89" i="3"/>
  <c r="M89" i="3"/>
  <c r="N89" i="3"/>
  <c r="E91" i="3"/>
  <c r="F91" i="3"/>
  <c r="G91" i="3"/>
  <c r="H91" i="3"/>
  <c r="J91" i="3"/>
  <c r="K91" i="3"/>
  <c r="L91" i="3"/>
  <c r="M91" i="3"/>
  <c r="N91" i="3"/>
  <c r="E93" i="3"/>
  <c r="F93" i="3"/>
  <c r="G93" i="3"/>
  <c r="H93" i="3"/>
  <c r="J93" i="3"/>
  <c r="K93" i="3"/>
  <c r="L93" i="3"/>
  <c r="M93" i="3"/>
  <c r="N93" i="3"/>
  <c r="E95" i="3"/>
  <c r="F95" i="3"/>
  <c r="G95" i="3"/>
  <c r="H95" i="3"/>
  <c r="J95" i="3"/>
  <c r="K95" i="3"/>
  <c r="L95" i="3"/>
  <c r="M95" i="3"/>
  <c r="N95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6" i="3"/>
  <c r="F106" i="3"/>
  <c r="G106" i="3"/>
  <c r="H106" i="3"/>
  <c r="K106" i="3"/>
  <c r="L106" i="3"/>
  <c r="M106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4" i="3"/>
  <c r="F114" i="3"/>
  <c r="G114" i="3"/>
  <c r="H114" i="3"/>
  <c r="J114" i="3"/>
  <c r="K114" i="3"/>
  <c r="L114" i="3"/>
  <c r="M114" i="3"/>
  <c r="N114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5" i="3"/>
  <c r="F125" i="3"/>
  <c r="G125" i="3"/>
  <c r="H125" i="3"/>
  <c r="J125" i="3"/>
  <c r="K125" i="3"/>
  <c r="L125" i="3"/>
  <c r="M125" i="3"/>
  <c r="N125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8" i="3"/>
  <c r="F138" i="3"/>
  <c r="G138" i="3"/>
  <c r="H138" i="3"/>
  <c r="J138" i="3"/>
  <c r="K138" i="3"/>
  <c r="L138" i="3"/>
  <c r="M138" i="3"/>
  <c r="N138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8" i="3"/>
  <c r="F148" i="3"/>
  <c r="G148" i="3"/>
  <c r="H148" i="3"/>
  <c r="J148" i="3"/>
  <c r="K148" i="3"/>
  <c r="L148" i="3"/>
  <c r="M148" i="3"/>
  <c r="N148" i="3"/>
  <c r="E149" i="3"/>
  <c r="F149" i="3"/>
  <c r="G149" i="3"/>
  <c r="H149" i="3"/>
  <c r="J149" i="3"/>
  <c r="K149" i="3"/>
  <c r="L149" i="3"/>
  <c r="M149" i="3"/>
  <c r="N149" i="3"/>
  <c r="E152" i="3"/>
  <c r="F152" i="3"/>
  <c r="G152" i="3"/>
  <c r="H152" i="3"/>
  <c r="J152" i="3"/>
  <c r="K152" i="3"/>
  <c r="L152" i="3"/>
  <c r="M152" i="3"/>
  <c r="N152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5" i="3"/>
  <c r="F165" i="3"/>
  <c r="G165" i="3"/>
  <c r="H165" i="3"/>
  <c r="J165" i="3"/>
  <c r="K165" i="3"/>
  <c r="L165" i="3"/>
  <c r="M165" i="3"/>
  <c r="N165" i="3"/>
  <c r="E173" i="3"/>
  <c r="E172" i="3" s="1"/>
  <c r="F173" i="3"/>
  <c r="F172" i="3" s="1"/>
  <c r="G173" i="3"/>
  <c r="G172" i="3" s="1"/>
  <c r="H173" i="3"/>
  <c r="H172" i="3" s="1"/>
  <c r="J173" i="3"/>
  <c r="J172" i="3" s="1"/>
  <c r="K173" i="3"/>
  <c r="K172" i="3" s="1"/>
  <c r="L173" i="3"/>
  <c r="L172" i="3" s="1"/>
  <c r="M173" i="3"/>
  <c r="M172" i="3" s="1"/>
  <c r="N173" i="3"/>
  <c r="N172" i="3" s="1"/>
  <c r="E177" i="3"/>
  <c r="E174" i="3" s="1"/>
  <c r="F177" i="3"/>
  <c r="F174" i="3" s="1"/>
  <c r="G177" i="3"/>
  <c r="G174" i="3" s="1"/>
  <c r="H177" i="3"/>
  <c r="H174" i="3" s="1"/>
  <c r="J177" i="3"/>
  <c r="J174" i="3" s="1"/>
  <c r="K177" i="3"/>
  <c r="K174" i="3" s="1"/>
  <c r="L177" i="3"/>
  <c r="L174" i="3" s="1"/>
  <c r="M177" i="3"/>
  <c r="M174" i="3" s="1"/>
  <c r="N177" i="3"/>
  <c r="N174" i="3" s="1"/>
  <c r="E188" i="3"/>
  <c r="F188" i="3"/>
  <c r="G188" i="3"/>
  <c r="H188" i="3"/>
  <c r="J188" i="3"/>
  <c r="K188" i="3"/>
  <c r="L188" i="3"/>
  <c r="M188" i="3"/>
  <c r="N188" i="3"/>
  <c r="E198" i="3"/>
  <c r="E194" i="3" s="1"/>
  <c r="F198" i="3"/>
  <c r="F194" i="3" s="1"/>
  <c r="G198" i="3"/>
  <c r="G194" i="3" s="1"/>
  <c r="H198" i="3"/>
  <c r="H194" i="3" s="1"/>
  <c r="J198" i="3"/>
  <c r="J194" i="3" s="1"/>
  <c r="K198" i="3"/>
  <c r="K194" i="3" s="1"/>
  <c r="L198" i="3"/>
  <c r="L194" i="3" s="1"/>
  <c r="M198" i="3"/>
  <c r="M194" i="3" s="1"/>
  <c r="N198" i="3"/>
  <c r="N194" i="3" s="1"/>
  <c r="E214" i="3"/>
  <c r="F214" i="3"/>
  <c r="G214" i="3"/>
  <c r="H214" i="3"/>
  <c r="J214" i="3"/>
  <c r="K214" i="3"/>
  <c r="L214" i="3"/>
  <c r="M214" i="3"/>
  <c r="N214" i="3"/>
  <c r="E217" i="3"/>
  <c r="F217" i="3"/>
  <c r="G217" i="3"/>
  <c r="H217" i="3"/>
  <c r="J217" i="3"/>
  <c r="K217" i="3"/>
  <c r="L217" i="3"/>
  <c r="M217" i="3"/>
  <c r="N217" i="3"/>
  <c r="E218" i="3"/>
  <c r="F218" i="3"/>
  <c r="G218" i="3"/>
  <c r="H218" i="3"/>
  <c r="J218" i="3"/>
  <c r="K218" i="3"/>
  <c r="L218" i="3"/>
  <c r="M218" i="3"/>
  <c r="N218" i="3"/>
  <c r="E219" i="3"/>
  <c r="F219" i="3"/>
  <c r="G219" i="3"/>
  <c r="H219" i="3"/>
  <c r="J219" i="3"/>
  <c r="K219" i="3"/>
  <c r="L219" i="3"/>
  <c r="M219" i="3"/>
  <c r="N219" i="3"/>
  <c r="F221" i="3"/>
  <c r="G221" i="3"/>
  <c r="H221" i="3"/>
  <c r="J221" i="3"/>
  <c r="K221" i="3"/>
  <c r="L221" i="3"/>
  <c r="M221" i="3"/>
  <c r="N221" i="3"/>
  <c r="E231" i="3"/>
  <c r="F231" i="3"/>
  <c r="G231" i="3"/>
  <c r="H231" i="3"/>
  <c r="J231" i="3"/>
  <c r="K231" i="3"/>
  <c r="L231" i="3"/>
  <c r="M231" i="3"/>
  <c r="N231" i="3"/>
  <c r="E233" i="3"/>
  <c r="F233" i="3"/>
  <c r="G233" i="3"/>
  <c r="H233" i="3"/>
  <c r="J233" i="3"/>
  <c r="K233" i="3"/>
  <c r="L233" i="3"/>
  <c r="M233" i="3"/>
  <c r="N233" i="3"/>
  <c r="E236" i="3"/>
  <c r="E235" i="3" s="1"/>
  <c r="F236" i="3"/>
  <c r="F235" i="3" s="1"/>
  <c r="G236" i="3"/>
  <c r="H236" i="3"/>
  <c r="J236" i="3"/>
  <c r="K236" i="3"/>
  <c r="K235" i="3" s="1"/>
  <c r="L236" i="3"/>
  <c r="M236" i="3"/>
  <c r="M235" i="3" s="1"/>
  <c r="N236" i="3"/>
  <c r="E239" i="3"/>
  <c r="E238" i="3" s="1"/>
  <c r="F239" i="3"/>
  <c r="F238" i="3" s="1"/>
  <c r="G239" i="3"/>
  <c r="G238" i="3" s="1"/>
  <c r="H239" i="3"/>
  <c r="H238" i="3" s="1"/>
  <c r="J239" i="3"/>
  <c r="J238" i="3" s="1"/>
  <c r="K239" i="3"/>
  <c r="K238" i="3" s="1"/>
  <c r="L239" i="3"/>
  <c r="L238" i="3" s="1"/>
  <c r="M239" i="3"/>
  <c r="M238" i="3" s="1"/>
  <c r="N239" i="3"/>
  <c r="N238" i="3" s="1"/>
  <c r="E240" i="3"/>
  <c r="F240" i="3"/>
  <c r="G240" i="3"/>
  <c r="H240" i="3"/>
  <c r="J240" i="3"/>
  <c r="K240" i="3"/>
  <c r="L240" i="3"/>
  <c r="M240" i="3"/>
  <c r="N240" i="3"/>
  <c r="D241" i="3"/>
  <c r="E241" i="3"/>
  <c r="F241" i="3"/>
  <c r="G241" i="3"/>
  <c r="H241" i="3"/>
  <c r="J241" i="3"/>
  <c r="K241" i="3"/>
  <c r="L241" i="3"/>
  <c r="M241" i="3"/>
  <c r="N241" i="3"/>
  <c r="J78" i="1"/>
  <c r="J312" i="1"/>
  <c r="J313" i="1"/>
  <c r="J314" i="1"/>
  <c r="I236" i="3" s="1"/>
  <c r="J315" i="1"/>
  <c r="J316" i="1"/>
  <c r="I240" i="3" s="1"/>
  <c r="J317" i="1"/>
  <c r="I241" i="3" s="1"/>
  <c r="J318" i="1"/>
  <c r="I245" i="3" s="1"/>
  <c r="I244" i="3" s="1"/>
  <c r="J311" i="1"/>
  <c r="J301" i="1"/>
  <c r="I173" i="3" s="1"/>
  <c r="I172" i="3" s="1"/>
  <c r="J302" i="1"/>
  <c r="J303" i="1"/>
  <c r="I217" i="3" s="1"/>
  <c r="J304" i="1"/>
  <c r="I218" i="3" s="1"/>
  <c r="J305" i="1"/>
  <c r="J300" i="1"/>
  <c r="J297" i="1"/>
  <c r="J272" i="1"/>
  <c r="J273" i="1"/>
  <c r="I165" i="3" s="1"/>
  <c r="J274" i="1"/>
  <c r="J275" i="1"/>
  <c r="I178" i="3" s="1"/>
  <c r="J276" i="1"/>
  <c r="I180" i="3" s="1"/>
  <c r="J279" i="1"/>
  <c r="J290" i="1"/>
  <c r="J291" i="1"/>
  <c r="J294" i="1"/>
  <c r="J271" i="1"/>
  <c r="J267" i="1"/>
  <c r="J231" i="1"/>
  <c r="J232" i="1"/>
  <c r="J233" i="1"/>
  <c r="I158" i="3" s="1"/>
  <c r="J234" i="1"/>
  <c r="I159" i="3" s="1"/>
  <c r="J235" i="1"/>
  <c r="I160" i="3" s="1"/>
  <c r="J236" i="1"/>
  <c r="J237" i="1"/>
  <c r="J241" i="1"/>
  <c r="J242" i="1"/>
  <c r="J245" i="1"/>
  <c r="I188" i="3" s="1"/>
  <c r="J256" i="1"/>
  <c r="J257" i="1"/>
  <c r="J262" i="1"/>
  <c r="J264" i="1"/>
  <c r="J229" i="1"/>
  <c r="J214" i="1"/>
  <c r="I142" i="3" s="1"/>
  <c r="J215" i="1"/>
  <c r="J216" i="1"/>
  <c r="J217" i="1"/>
  <c r="J219" i="1"/>
  <c r="J212" i="1"/>
  <c r="J206" i="1"/>
  <c r="I117" i="3" s="1"/>
  <c r="J207" i="1"/>
  <c r="I118" i="3" s="1"/>
  <c r="J205" i="1"/>
  <c r="J171" i="1"/>
  <c r="J172" i="1"/>
  <c r="J174" i="1"/>
  <c r="I110" i="3" s="1"/>
  <c r="J175" i="1"/>
  <c r="J176" i="1"/>
  <c r="I112" i="3" s="1"/>
  <c r="J178" i="1"/>
  <c r="I114" i="3" s="1"/>
  <c r="J180" i="1"/>
  <c r="I116" i="3" s="1"/>
  <c r="J181" i="1"/>
  <c r="I122" i="3" s="1"/>
  <c r="J182" i="1"/>
  <c r="I123" i="3" s="1"/>
  <c r="J184" i="1"/>
  <c r="I125" i="3" s="1"/>
  <c r="J186" i="1"/>
  <c r="I127" i="3" s="1"/>
  <c r="J187" i="1"/>
  <c r="I128" i="3" s="1"/>
  <c r="J188" i="1"/>
  <c r="I129" i="3" s="1"/>
  <c r="J189" i="1"/>
  <c r="I130" i="3" s="1"/>
  <c r="J190" i="1"/>
  <c r="J197" i="1"/>
  <c r="J198" i="1"/>
  <c r="J201" i="1"/>
  <c r="J168" i="1"/>
  <c r="J137" i="1"/>
  <c r="J142" i="1"/>
  <c r="J144" i="1"/>
  <c r="I91" i="3" s="1"/>
  <c r="J146" i="1"/>
  <c r="I93" i="3" s="1"/>
  <c r="J148" i="1"/>
  <c r="I95" i="3" s="1"/>
  <c r="J151" i="1"/>
  <c r="I98" i="3" s="1"/>
  <c r="J152" i="1"/>
  <c r="I99" i="3" s="1"/>
  <c r="J136" i="1"/>
  <c r="J82" i="1"/>
  <c r="I48" i="3" s="1"/>
  <c r="J85" i="1"/>
  <c r="I51" i="3" s="1"/>
  <c r="J94" i="1"/>
  <c r="I60" i="3" s="1"/>
  <c r="J97" i="1"/>
  <c r="I64" i="3" s="1"/>
  <c r="J98" i="1"/>
  <c r="I65" i="3" s="1"/>
  <c r="J100" i="1"/>
  <c r="I67" i="3" s="1"/>
  <c r="J108" i="1"/>
  <c r="I75" i="3" s="1"/>
  <c r="J77" i="1"/>
  <c r="J26" i="1"/>
  <c r="J27" i="1"/>
  <c r="J28" i="1"/>
  <c r="I119" i="3" s="1"/>
  <c r="J29" i="1"/>
  <c r="I120" i="3" s="1"/>
  <c r="J30" i="1"/>
  <c r="I121" i="3" s="1"/>
  <c r="J31" i="1"/>
  <c r="J32" i="1"/>
  <c r="J33" i="1"/>
  <c r="J34" i="1"/>
  <c r="J35" i="1"/>
  <c r="J36" i="1"/>
  <c r="I148" i="3" s="1"/>
  <c r="J37" i="1"/>
  <c r="I149" i="3" s="1"/>
  <c r="J38" i="1"/>
  <c r="I150" i="3" s="1"/>
  <c r="J39" i="1"/>
  <c r="I152" i="3" s="1"/>
  <c r="J40" i="1"/>
  <c r="I153" i="3" s="1"/>
  <c r="J41" i="1"/>
  <c r="I154" i="3" s="1"/>
  <c r="I198" i="3"/>
  <c r="I194" i="3" s="1"/>
  <c r="J49" i="1"/>
  <c r="J50" i="1"/>
  <c r="J51" i="1"/>
  <c r="J52" i="1"/>
  <c r="I221" i="3" s="1"/>
  <c r="J53" i="1"/>
  <c r="J54" i="1"/>
  <c r="J55" i="1"/>
  <c r="I230" i="3" s="1"/>
  <c r="J56" i="1"/>
  <c r="I231" i="3" s="1"/>
  <c r="J58" i="1"/>
  <c r="J59" i="1"/>
  <c r="I239" i="3"/>
  <c r="I238" i="3" s="1"/>
  <c r="J21" i="1"/>
  <c r="M100" i="3" l="1"/>
  <c r="K100" i="3"/>
  <c r="G100" i="3"/>
  <c r="L100" i="3"/>
  <c r="H100" i="3"/>
  <c r="F100" i="3"/>
  <c r="J289" i="1"/>
  <c r="J288" i="1" s="1"/>
  <c r="N155" i="3"/>
  <c r="L155" i="3"/>
  <c r="J155" i="3"/>
  <c r="G155" i="3"/>
  <c r="M155" i="3"/>
  <c r="K155" i="3"/>
  <c r="H155" i="3"/>
  <c r="F155" i="3"/>
  <c r="I19" i="3"/>
  <c r="I36" i="3"/>
  <c r="I237" i="3"/>
  <c r="I235" i="3" s="1"/>
  <c r="I139" i="3"/>
  <c r="M212" i="3"/>
  <c r="M167" i="3" s="1"/>
  <c r="K212" i="3"/>
  <c r="K167" i="3" s="1"/>
  <c r="H212" i="3"/>
  <c r="H167" i="3" s="1"/>
  <c r="F212" i="3"/>
  <c r="F167" i="3" s="1"/>
  <c r="N212" i="3"/>
  <c r="N167" i="3" s="1"/>
  <c r="L212" i="3"/>
  <c r="L167" i="3" s="1"/>
  <c r="J212" i="3"/>
  <c r="J167" i="3" s="1"/>
  <c r="G212" i="3"/>
  <c r="G167" i="3" s="1"/>
  <c r="H79" i="3"/>
  <c r="M79" i="3"/>
  <c r="K79" i="3"/>
  <c r="L79" i="3"/>
  <c r="F79" i="3"/>
  <c r="G79" i="3"/>
  <c r="E79" i="3"/>
  <c r="N79" i="3"/>
  <c r="J79" i="3"/>
  <c r="J203" i="1"/>
  <c r="I211" i="3"/>
  <c r="I210" i="3" s="1"/>
  <c r="I184" i="3"/>
  <c r="I84" i="3"/>
  <c r="I107" i="3"/>
  <c r="I89" i="3"/>
  <c r="I234" i="3"/>
  <c r="I233" i="3" s="1"/>
  <c r="I161" i="3"/>
  <c r="I157" i="3"/>
  <c r="I166" i="3"/>
  <c r="J310" i="1"/>
  <c r="I223" i="3"/>
  <c r="J299" i="1"/>
  <c r="J284" i="1"/>
  <c r="J269" i="1" s="1"/>
  <c r="I145" i="3"/>
  <c r="I143" i="3"/>
  <c r="I219" i="3"/>
  <c r="I144" i="3"/>
  <c r="E153" i="3"/>
  <c r="E146" i="3" s="1"/>
  <c r="I177" i="3"/>
  <c r="L228" i="3"/>
  <c r="J228" i="3"/>
  <c r="G228" i="3"/>
  <c r="I108" i="3"/>
  <c r="I214" i="3"/>
  <c r="I146" i="3"/>
  <c r="I131" i="3"/>
  <c r="N228" i="3"/>
  <c r="H228" i="3"/>
  <c r="M228" i="3"/>
  <c r="M226" i="3" s="1"/>
  <c r="K228" i="3"/>
  <c r="K226" i="3" s="1"/>
  <c r="F228" i="3"/>
  <c r="F226" i="3" s="1"/>
  <c r="E228" i="3"/>
  <c r="E226" i="3" s="1"/>
  <c r="I162" i="3"/>
  <c r="I228" i="3"/>
  <c r="M146" i="3"/>
  <c r="F146" i="3"/>
  <c r="I138" i="3"/>
  <c r="I111" i="3"/>
  <c r="N235" i="3"/>
  <c r="L235" i="3"/>
  <c r="J235" i="3"/>
  <c r="H235" i="3"/>
  <c r="G235" i="3"/>
  <c r="K146" i="3"/>
  <c r="L141" i="3"/>
  <c r="H141" i="3"/>
  <c r="N141" i="3"/>
  <c r="J141" i="3"/>
  <c r="G141" i="3"/>
  <c r="M141" i="3"/>
  <c r="K141" i="3"/>
  <c r="F141" i="3"/>
  <c r="E141" i="3"/>
  <c r="N146" i="3"/>
  <c r="L146" i="3"/>
  <c r="J146" i="3"/>
  <c r="H146" i="3"/>
  <c r="G146" i="3"/>
  <c r="J259" i="1"/>
  <c r="J222" i="1" s="1"/>
  <c r="I174" i="3" l="1"/>
  <c r="I250" i="3"/>
  <c r="I242" i="3" s="1"/>
  <c r="M255" i="3"/>
  <c r="F255" i="3"/>
  <c r="K255" i="3"/>
  <c r="I155" i="3"/>
  <c r="I222" i="3"/>
  <c r="I17" i="3"/>
  <c r="I79" i="3"/>
  <c r="I141" i="3"/>
  <c r="L226" i="3"/>
  <c r="L255" i="3" s="1"/>
  <c r="G226" i="3"/>
  <c r="G255" i="3" s="1"/>
  <c r="N226" i="3"/>
  <c r="J226" i="3"/>
  <c r="I226" i="3"/>
  <c r="H226" i="3"/>
  <c r="H255" i="3" s="1"/>
  <c r="E314" i="1"/>
  <c r="D236" i="3" s="1"/>
  <c r="D314" i="1"/>
  <c r="B314" i="1"/>
  <c r="E166" i="3" l="1"/>
  <c r="E155" i="3" s="1"/>
  <c r="E221" i="3"/>
  <c r="J157" i="1"/>
  <c r="P314" i="1"/>
  <c r="O236" i="3" s="1"/>
  <c r="J128" i="1" l="1"/>
  <c r="J127" i="1" s="1"/>
  <c r="I215" i="3"/>
  <c r="I212" i="3" s="1"/>
  <c r="I167" i="3" s="1"/>
  <c r="E212" i="3"/>
  <c r="E167" i="3" s="1"/>
  <c r="E245" i="1" l="1"/>
  <c r="C245" i="1"/>
  <c r="D245" i="1"/>
  <c r="B245" i="1"/>
  <c r="D188" i="3" l="1"/>
  <c r="P245" i="1"/>
  <c r="O188" i="3" s="1"/>
  <c r="E127" i="3" l="1"/>
  <c r="E100" i="3" s="1"/>
  <c r="E255" i="3" l="1"/>
  <c r="J79" i="1"/>
  <c r="J64" i="1" s="1"/>
  <c r="I38" i="3" l="1"/>
  <c r="I24" i="3" s="1"/>
  <c r="J211" i="1"/>
  <c r="D53" i="1"/>
  <c r="D294" i="1"/>
  <c r="D259" i="1"/>
  <c r="C215" i="1"/>
  <c r="B215" i="1"/>
  <c r="D206" i="1"/>
  <c r="P317" i="1"/>
  <c r="O241" i="3" s="1"/>
  <c r="E312" i="1"/>
  <c r="E313" i="1"/>
  <c r="E315" i="1"/>
  <c r="E316" i="1"/>
  <c r="D240" i="3" s="1"/>
  <c r="E318" i="1"/>
  <c r="D245" i="3" s="1"/>
  <c r="D244" i="3" s="1"/>
  <c r="E311" i="1"/>
  <c r="K309" i="1"/>
  <c r="L309" i="1"/>
  <c r="M309" i="1"/>
  <c r="N309" i="1"/>
  <c r="O309" i="1"/>
  <c r="F309" i="1"/>
  <c r="G309" i="1"/>
  <c r="H309" i="1"/>
  <c r="I309" i="1"/>
  <c r="E301" i="1"/>
  <c r="D173" i="3" s="1"/>
  <c r="D172" i="3" s="1"/>
  <c r="E302" i="1"/>
  <c r="E303" i="1"/>
  <c r="D217" i="3" s="1"/>
  <c r="E304" i="1"/>
  <c r="D218" i="3" s="1"/>
  <c r="E305" i="1"/>
  <c r="E300" i="1"/>
  <c r="K298" i="1"/>
  <c r="L298" i="1"/>
  <c r="M298" i="1"/>
  <c r="N298" i="1"/>
  <c r="O298" i="1"/>
  <c r="F298" i="1"/>
  <c r="G298" i="1"/>
  <c r="H298" i="1"/>
  <c r="I298" i="1"/>
  <c r="J296" i="1"/>
  <c r="J295" i="1" s="1"/>
  <c r="E297" i="1"/>
  <c r="E296" i="1" s="1"/>
  <c r="E295" i="1" s="1"/>
  <c r="K296" i="1"/>
  <c r="K295" i="1" s="1"/>
  <c r="L296" i="1"/>
  <c r="L295" i="1" s="1"/>
  <c r="M296" i="1"/>
  <c r="M295" i="1" s="1"/>
  <c r="N296" i="1"/>
  <c r="N295" i="1" s="1"/>
  <c r="O296" i="1"/>
  <c r="O295" i="1" s="1"/>
  <c r="F296" i="1"/>
  <c r="F295" i="1" s="1"/>
  <c r="G296" i="1"/>
  <c r="G295" i="1" s="1"/>
  <c r="H296" i="1"/>
  <c r="H295" i="1" s="1"/>
  <c r="I296" i="1"/>
  <c r="I295" i="1" s="1"/>
  <c r="E291" i="1"/>
  <c r="E294" i="1"/>
  <c r="E290" i="1"/>
  <c r="K288" i="1"/>
  <c r="L288" i="1"/>
  <c r="M288" i="1"/>
  <c r="N288" i="1"/>
  <c r="O288" i="1"/>
  <c r="F288" i="1"/>
  <c r="G288" i="1"/>
  <c r="H288" i="1"/>
  <c r="I288" i="1"/>
  <c r="E272" i="1"/>
  <c r="E273" i="1"/>
  <c r="D165" i="3" s="1"/>
  <c r="E274" i="1"/>
  <c r="E275" i="1"/>
  <c r="D178" i="3" s="1"/>
  <c r="E276" i="1"/>
  <c r="D180" i="3" s="1"/>
  <c r="E279" i="1"/>
  <c r="E284" i="1"/>
  <c r="E271" i="1"/>
  <c r="K268" i="1"/>
  <c r="M268" i="1"/>
  <c r="N268" i="1"/>
  <c r="O268" i="1"/>
  <c r="F268" i="1"/>
  <c r="G268" i="1"/>
  <c r="H268" i="1"/>
  <c r="I268" i="1"/>
  <c r="J266" i="1"/>
  <c r="J265" i="1" s="1"/>
  <c r="E267" i="1"/>
  <c r="E266" i="1" s="1"/>
  <c r="E265" i="1" s="1"/>
  <c r="K266" i="1"/>
  <c r="K265" i="1" s="1"/>
  <c r="L266" i="1"/>
  <c r="L265" i="1" s="1"/>
  <c r="M266" i="1"/>
  <c r="M265" i="1" s="1"/>
  <c r="N266" i="1"/>
  <c r="N265" i="1" s="1"/>
  <c r="O266" i="1"/>
  <c r="O265" i="1" s="1"/>
  <c r="F266" i="1"/>
  <c r="F265" i="1" s="1"/>
  <c r="G266" i="1"/>
  <c r="G265" i="1" s="1"/>
  <c r="H266" i="1"/>
  <c r="H265" i="1" s="1"/>
  <c r="I266" i="1"/>
  <c r="I265" i="1" s="1"/>
  <c r="E231" i="1"/>
  <c r="E232" i="1"/>
  <c r="D157" i="3" s="1"/>
  <c r="E233" i="1"/>
  <c r="E234" i="1"/>
  <c r="D159" i="3" s="1"/>
  <c r="E235" i="1"/>
  <c r="E236" i="1"/>
  <c r="E237" i="1"/>
  <c r="E240" i="1"/>
  <c r="E241" i="1"/>
  <c r="E242" i="1"/>
  <c r="P242" i="1" s="1"/>
  <c r="E256" i="1"/>
  <c r="E257" i="1"/>
  <c r="P257" i="1" s="1"/>
  <c r="E259" i="1"/>
  <c r="P259" i="1" s="1"/>
  <c r="E262" i="1"/>
  <c r="P262" i="1" s="1"/>
  <c r="E264" i="1"/>
  <c r="E229" i="1"/>
  <c r="K221" i="1"/>
  <c r="L221" i="1"/>
  <c r="M221" i="1"/>
  <c r="N221" i="1"/>
  <c r="O221" i="1"/>
  <c r="F221" i="1"/>
  <c r="G221" i="1"/>
  <c r="H221" i="1"/>
  <c r="I221" i="1"/>
  <c r="E214" i="1"/>
  <c r="E215" i="1"/>
  <c r="E216" i="1"/>
  <c r="E217" i="1"/>
  <c r="E219" i="1"/>
  <c r="E212" i="1"/>
  <c r="K210" i="1"/>
  <c r="L210" i="1"/>
  <c r="M210" i="1"/>
  <c r="N210" i="1"/>
  <c r="F210" i="1"/>
  <c r="G210" i="1"/>
  <c r="H210" i="1"/>
  <c r="I210" i="1"/>
  <c r="E206" i="1"/>
  <c r="D117" i="3" s="1"/>
  <c r="E207" i="1"/>
  <c r="D118" i="3" s="1"/>
  <c r="E205" i="1"/>
  <c r="K202" i="1"/>
  <c r="L202" i="1"/>
  <c r="M202" i="1"/>
  <c r="N202" i="1"/>
  <c r="O202" i="1"/>
  <c r="F202" i="1"/>
  <c r="G202" i="1"/>
  <c r="H202" i="1"/>
  <c r="I202" i="1"/>
  <c r="E170" i="1"/>
  <c r="D106" i="3" s="1"/>
  <c r="E171" i="1"/>
  <c r="E172" i="1"/>
  <c r="E174" i="1"/>
  <c r="D110" i="3" s="1"/>
  <c r="E175" i="1"/>
  <c r="E176" i="1"/>
  <c r="D112" i="3" s="1"/>
  <c r="E178" i="1"/>
  <c r="D114" i="3" s="1"/>
  <c r="E180" i="1"/>
  <c r="E181" i="1"/>
  <c r="D122" i="3" s="1"/>
  <c r="E182" i="1"/>
  <c r="E184" i="1"/>
  <c r="D125" i="3" s="1"/>
  <c r="E186" i="1"/>
  <c r="D127" i="3" s="1"/>
  <c r="E187" i="1"/>
  <c r="D128" i="3" s="1"/>
  <c r="E188" i="1"/>
  <c r="D129" i="3" s="1"/>
  <c r="E189" i="1"/>
  <c r="D130" i="3" s="1"/>
  <c r="E190" i="1"/>
  <c r="E197" i="1"/>
  <c r="E198" i="1"/>
  <c r="E201" i="1"/>
  <c r="E168" i="1"/>
  <c r="L161" i="1"/>
  <c r="M161" i="1"/>
  <c r="N161" i="1"/>
  <c r="F161" i="1"/>
  <c r="G161" i="1"/>
  <c r="H161" i="1"/>
  <c r="I161" i="1"/>
  <c r="E137" i="1"/>
  <c r="E142" i="1"/>
  <c r="E144" i="1"/>
  <c r="D91" i="3" s="1"/>
  <c r="E146" i="1"/>
  <c r="D93" i="3" s="1"/>
  <c r="E148" i="1"/>
  <c r="D95" i="3" s="1"/>
  <c r="E151" i="1"/>
  <c r="D98" i="3" s="1"/>
  <c r="D99" i="3"/>
  <c r="E157" i="1"/>
  <c r="E136" i="1"/>
  <c r="K63" i="1"/>
  <c r="L63" i="1"/>
  <c r="M63" i="1"/>
  <c r="N63" i="1"/>
  <c r="O63" i="1"/>
  <c r="F63" i="1"/>
  <c r="G63" i="1"/>
  <c r="H63" i="1"/>
  <c r="I63" i="1"/>
  <c r="E78" i="1"/>
  <c r="E79" i="1"/>
  <c r="E82" i="1"/>
  <c r="D48" i="3" s="1"/>
  <c r="E85" i="1"/>
  <c r="D51" i="3" s="1"/>
  <c r="E94" i="1"/>
  <c r="D60" i="3" s="1"/>
  <c r="E97" i="1"/>
  <c r="D64" i="3" s="1"/>
  <c r="E98" i="1"/>
  <c r="D65" i="3" s="1"/>
  <c r="E100" i="1"/>
  <c r="D67" i="3" s="1"/>
  <c r="E108" i="1"/>
  <c r="D75" i="3" s="1"/>
  <c r="E77" i="1"/>
  <c r="E23" i="1"/>
  <c r="D21" i="3" s="1"/>
  <c r="E26" i="1"/>
  <c r="E27" i="1"/>
  <c r="E28" i="1"/>
  <c r="D119" i="3" s="1"/>
  <c r="E29" i="1"/>
  <c r="D120" i="3" s="1"/>
  <c r="E30" i="1"/>
  <c r="D121" i="3" s="1"/>
  <c r="E31" i="1"/>
  <c r="E32" i="1"/>
  <c r="E33" i="1"/>
  <c r="E34" i="1"/>
  <c r="E35" i="1"/>
  <c r="E36" i="1"/>
  <c r="D148" i="3" s="1"/>
  <c r="E37" i="1"/>
  <c r="D149" i="3" s="1"/>
  <c r="E38" i="1"/>
  <c r="E39" i="1"/>
  <c r="D152" i="3" s="1"/>
  <c r="E40" i="1"/>
  <c r="E41" i="1"/>
  <c r="E44" i="1"/>
  <c r="D198" i="3" s="1"/>
  <c r="D194" i="3" s="1"/>
  <c r="E49" i="1"/>
  <c r="E50" i="1"/>
  <c r="E51" i="1"/>
  <c r="E52" i="1"/>
  <c r="D221" i="3" s="1"/>
  <c r="E53" i="1"/>
  <c r="E54" i="1"/>
  <c r="E55" i="1"/>
  <c r="D230" i="3" s="1"/>
  <c r="E56" i="1"/>
  <c r="D231" i="3" s="1"/>
  <c r="E58" i="1"/>
  <c r="E59" i="1"/>
  <c r="E60" i="1"/>
  <c r="D239" i="3" s="1"/>
  <c r="D238" i="3" s="1"/>
  <c r="E21" i="1"/>
  <c r="K17" i="1"/>
  <c r="M17" i="1"/>
  <c r="N17" i="1"/>
  <c r="O17" i="1"/>
  <c r="F17" i="1"/>
  <c r="G17" i="1"/>
  <c r="H17" i="1"/>
  <c r="I17" i="1"/>
  <c r="L17" i="1"/>
  <c r="D154" i="3" l="1"/>
  <c r="E18" i="1"/>
  <c r="E222" i="1"/>
  <c r="E269" i="1"/>
  <c r="E268" i="1" s="1"/>
  <c r="E299" i="1"/>
  <c r="E298" i="1" s="1"/>
  <c r="E64" i="1"/>
  <c r="E63" i="1" s="1"/>
  <c r="E221" i="1"/>
  <c r="E128" i="1"/>
  <c r="E127" i="1" s="1"/>
  <c r="E162" i="1"/>
  <c r="E161" i="1" s="1"/>
  <c r="E211" i="1"/>
  <c r="E210" i="1" s="1"/>
  <c r="E203" i="1"/>
  <c r="E202" i="1" s="1"/>
  <c r="E289" i="1"/>
  <c r="E288" i="1" s="1"/>
  <c r="E310" i="1"/>
  <c r="E309" i="1" s="1"/>
  <c r="D36" i="3"/>
  <c r="E17" i="1"/>
  <c r="D150" i="3"/>
  <c r="D142" i="3"/>
  <c r="I319" i="1"/>
  <c r="G319" i="1"/>
  <c r="M319" i="1"/>
  <c r="D19" i="3"/>
  <c r="D17" i="3" s="1"/>
  <c r="H319" i="1"/>
  <c r="N319" i="1"/>
  <c r="F319" i="1"/>
  <c r="D116" i="3"/>
  <c r="D38" i="3"/>
  <c r="D237" i="3"/>
  <c r="D235" i="3" s="1"/>
  <c r="D215" i="3"/>
  <c r="D139" i="3"/>
  <c r="D222" i="3"/>
  <c r="D153" i="3"/>
  <c r="D211" i="3"/>
  <c r="D210" i="3" s="1"/>
  <c r="D184" i="3"/>
  <c r="P198" i="1"/>
  <c r="D84" i="3"/>
  <c r="P231" i="1"/>
  <c r="D107" i="3"/>
  <c r="D89" i="3"/>
  <c r="D160" i="3"/>
  <c r="D234" i="3"/>
  <c r="D233" i="3" s="1"/>
  <c r="D161" i="3"/>
  <c r="D166" i="3"/>
  <c r="D223" i="3"/>
  <c r="P264" i="1"/>
  <c r="D158" i="3"/>
  <c r="D162" i="3"/>
  <c r="D219" i="3"/>
  <c r="D123" i="3"/>
  <c r="D214" i="3"/>
  <c r="P229" i="1"/>
  <c r="O210" i="1"/>
  <c r="D144" i="3"/>
  <c r="D131" i="3"/>
  <c r="D177" i="3"/>
  <c r="D145" i="3"/>
  <c r="D143" i="3"/>
  <c r="J210" i="1"/>
  <c r="D228" i="3"/>
  <c r="P201" i="1"/>
  <c r="D138" i="3"/>
  <c r="D111" i="3"/>
  <c r="D108" i="3"/>
  <c r="P21" i="1"/>
  <c r="P59" i="1"/>
  <c r="P56" i="1"/>
  <c r="O231" i="3" s="1"/>
  <c r="P54" i="1"/>
  <c r="P52" i="1"/>
  <c r="O221" i="3" s="1"/>
  <c r="P50" i="1"/>
  <c r="P108" i="1"/>
  <c r="O75" i="3" s="1"/>
  <c r="P100" i="1"/>
  <c r="O67" i="3" s="1"/>
  <c r="P98" i="1"/>
  <c r="O65" i="3" s="1"/>
  <c r="P85" i="1"/>
  <c r="O51" i="3" s="1"/>
  <c r="P82" i="1"/>
  <c r="O48" i="3" s="1"/>
  <c r="P79" i="1"/>
  <c r="P136" i="1"/>
  <c r="P189" i="1"/>
  <c r="O130" i="3" s="1"/>
  <c r="P187" i="1"/>
  <c r="O128" i="3" s="1"/>
  <c r="P184" i="1"/>
  <c r="O125" i="3" s="1"/>
  <c r="P181" i="1"/>
  <c r="O122" i="3" s="1"/>
  <c r="P178" i="1"/>
  <c r="O114" i="3" s="1"/>
  <c r="P175" i="1"/>
  <c r="P172" i="1"/>
  <c r="P240" i="1"/>
  <c r="P236" i="1"/>
  <c r="P233" i="1"/>
  <c r="O158" i="3" s="1"/>
  <c r="P275" i="1"/>
  <c r="O178" i="3" s="1"/>
  <c r="P318" i="1"/>
  <c r="O245" i="3" s="1"/>
  <c r="O244" i="3" s="1"/>
  <c r="P60" i="1"/>
  <c r="O239" i="3" s="1"/>
  <c r="O238" i="3" s="1"/>
  <c r="P58" i="1"/>
  <c r="P55" i="1"/>
  <c r="O230" i="3" s="1"/>
  <c r="P53" i="1"/>
  <c r="P51" i="1"/>
  <c r="O219" i="3" s="1"/>
  <c r="P49" i="1"/>
  <c r="P97" i="1"/>
  <c r="O64" i="3" s="1"/>
  <c r="P94" i="1"/>
  <c r="O60" i="3" s="1"/>
  <c r="P168" i="1"/>
  <c r="P190" i="1"/>
  <c r="P188" i="1"/>
  <c r="O129" i="3" s="1"/>
  <c r="P186" i="1"/>
  <c r="O127" i="3" s="1"/>
  <c r="P182" i="1"/>
  <c r="O123" i="3" s="1"/>
  <c r="P180" i="1"/>
  <c r="O116" i="3" s="1"/>
  <c r="P176" i="1"/>
  <c r="O112" i="3" s="1"/>
  <c r="P174" i="1"/>
  <c r="O110" i="3" s="1"/>
  <c r="P171" i="1"/>
  <c r="P237" i="1"/>
  <c r="P235" i="1"/>
  <c r="P234" i="1"/>
  <c r="O159" i="3" s="1"/>
  <c r="P276" i="1"/>
  <c r="O180" i="3" s="1"/>
  <c r="P311" i="1"/>
  <c r="J221" i="1"/>
  <c r="P256" i="1"/>
  <c r="P290" i="1"/>
  <c r="P291" i="1"/>
  <c r="P303" i="1"/>
  <c r="O217" i="3" s="1"/>
  <c r="J298" i="1"/>
  <c r="P315" i="1"/>
  <c r="P312" i="1"/>
  <c r="P207" i="1"/>
  <c r="O118" i="3" s="1"/>
  <c r="P206" i="1"/>
  <c r="O117" i="3" s="1"/>
  <c r="P44" i="1"/>
  <c r="O198" i="3" s="1"/>
  <c r="O194" i="3" s="1"/>
  <c r="P38" i="1"/>
  <c r="O150" i="3" s="1"/>
  <c r="P36" i="1"/>
  <c r="O148" i="3" s="1"/>
  <c r="P34" i="1"/>
  <c r="P32" i="1"/>
  <c r="P30" i="1"/>
  <c r="O121" i="3" s="1"/>
  <c r="P28" i="1"/>
  <c r="O119" i="3" s="1"/>
  <c r="P26" i="1"/>
  <c r="P212" i="1"/>
  <c r="P284" i="1"/>
  <c r="P297" i="1"/>
  <c r="P296" i="1" s="1"/>
  <c r="P295" i="1" s="1"/>
  <c r="P304" i="1"/>
  <c r="O218" i="3" s="1"/>
  <c r="P302" i="1"/>
  <c r="P301" i="1"/>
  <c r="O173" i="3" s="1"/>
  <c r="O172" i="3" s="1"/>
  <c r="P305" i="1"/>
  <c r="P241" i="1"/>
  <c r="P41" i="1"/>
  <c r="P39" i="1"/>
  <c r="O152" i="3" s="1"/>
  <c r="P37" i="1"/>
  <c r="O149" i="3" s="1"/>
  <c r="P35" i="1"/>
  <c r="P31" i="1"/>
  <c r="P29" i="1"/>
  <c r="O120" i="3" s="1"/>
  <c r="P27" i="1"/>
  <c r="P157" i="1"/>
  <c r="P152" i="1"/>
  <c r="O99" i="3" s="1"/>
  <c r="P151" i="1"/>
  <c r="O98" i="3" s="1"/>
  <c r="P148" i="1"/>
  <c r="O95" i="3" s="1"/>
  <c r="P146" i="1"/>
  <c r="O93" i="3" s="1"/>
  <c r="P144" i="1"/>
  <c r="O91" i="3" s="1"/>
  <c r="P142" i="1"/>
  <c r="P137" i="1"/>
  <c r="J202" i="1"/>
  <c r="P217" i="1"/>
  <c r="P219" i="1"/>
  <c r="P214" i="1"/>
  <c r="P279" i="1"/>
  <c r="O184" i="3" s="1"/>
  <c r="P274" i="1"/>
  <c r="P23" i="1"/>
  <c r="O21" i="3" s="1"/>
  <c r="P33" i="1"/>
  <c r="P232" i="1"/>
  <c r="O157" i="3" s="1"/>
  <c r="P294" i="1"/>
  <c r="P40" i="1"/>
  <c r="O153" i="3" s="1"/>
  <c r="P78" i="1"/>
  <c r="O36" i="3" s="1"/>
  <c r="P205" i="1"/>
  <c r="P216" i="1"/>
  <c r="P215" i="1"/>
  <c r="P313" i="1"/>
  <c r="P271" i="1"/>
  <c r="P272" i="1"/>
  <c r="P316" i="1"/>
  <c r="O240" i="3" s="1"/>
  <c r="J309" i="1"/>
  <c r="J63" i="1"/>
  <c r="P300" i="1"/>
  <c r="P267" i="1"/>
  <c r="P266" i="1" s="1"/>
  <c r="P265" i="1" s="1"/>
  <c r="P77" i="1"/>
  <c r="J17" i="1"/>
  <c r="P197" i="1"/>
  <c r="O154" i="3" l="1"/>
  <c r="P18" i="1"/>
  <c r="D174" i="3"/>
  <c r="M324" i="1"/>
  <c r="L279" i="3" s="1"/>
  <c r="L274" i="3"/>
  <c r="N324" i="1"/>
  <c r="M279" i="3" s="1"/>
  <c r="M274" i="3"/>
  <c r="I324" i="1"/>
  <c r="H279" i="3" s="1"/>
  <c r="H274" i="3"/>
  <c r="P222" i="1"/>
  <c r="H324" i="1"/>
  <c r="G279" i="3" s="1"/>
  <c r="G274" i="3"/>
  <c r="F324" i="1"/>
  <c r="E279" i="3" s="1"/>
  <c r="E274" i="3"/>
  <c r="G324" i="1"/>
  <c r="F279" i="3" s="1"/>
  <c r="F274" i="3"/>
  <c r="D24" i="3"/>
  <c r="P64" i="1"/>
  <c r="P63" i="1" s="1"/>
  <c r="D226" i="3"/>
  <c r="O250" i="3"/>
  <c r="O242" i="3" s="1"/>
  <c r="D250" i="3"/>
  <c r="D242" i="3" s="1"/>
  <c r="D100" i="3"/>
  <c r="P289" i="1"/>
  <c r="D155" i="3"/>
  <c r="E319" i="1"/>
  <c r="O19" i="3"/>
  <c r="O17" i="3" s="1"/>
  <c r="O139" i="3"/>
  <c r="O38" i="3"/>
  <c r="O24" i="3" s="1"/>
  <c r="D79" i="3"/>
  <c r="O215" i="3"/>
  <c r="O237" i="3"/>
  <c r="O235" i="3" s="1"/>
  <c r="D212" i="3"/>
  <c r="P211" i="1"/>
  <c r="O222" i="3"/>
  <c r="D146" i="3"/>
  <c r="P128" i="1"/>
  <c r="P127" i="1" s="1"/>
  <c r="P203" i="1"/>
  <c r="O211" i="3"/>
  <c r="O210" i="3" s="1"/>
  <c r="O142" i="3"/>
  <c r="O131" i="3"/>
  <c r="O84" i="3"/>
  <c r="O107" i="3"/>
  <c r="O89" i="3"/>
  <c r="O160" i="3"/>
  <c r="O234" i="3"/>
  <c r="O233" i="3" s="1"/>
  <c r="O161" i="3"/>
  <c r="O223" i="3"/>
  <c r="O166" i="3"/>
  <c r="P310" i="1"/>
  <c r="P299" i="1"/>
  <c r="O177" i="3"/>
  <c r="O174" i="3" s="1"/>
  <c r="O138" i="3"/>
  <c r="D141" i="3"/>
  <c r="O214" i="3"/>
  <c r="O228" i="3"/>
  <c r="O162" i="3"/>
  <c r="O145" i="3"/>
  <c r="O144" i="3"/>
  <c r="O111" i="3"/>
  <c r="O146" i="3"/>
  <c r="O143" i="3"/>
  <c r="O108" i="3"/>
  <c r="L268" i="1"/>
  <c r="L319" i="1" s="1"/>
  <c r="L324" i="1" l="1"/>
  <c r="K279" i="3" s="1"/>
  <c r="K274" i="3"/>
  <c r="D167" i="3"/>
  <c r="D255" i="3" s="1"/>
  <c r="E324" i="1" s="1"/>
  <c r="D279" i="3" s="1"/>
  <c r="O212" i="3"/>
  <c r="O167" i="3" s="1"/>
  <c r="O79" i="3"/>
  <c r="O226" i="3"/>
  <c r="O141" i="3"/>
  <c r="P273" i="1"/>
  <c r="P269" i="1" s="1"/>
  <c r="J268" i="1"/>
  <c r="D274" i="3" l="1"/>
  <c r="O165" i="3"/>
  <c r="O155" i="3" s="1"/>
  <c r="J106" i="3" l="1"/>
  <c r="J100" i="3" s="1"/>
  <c r="K161" i="1"/>
  <c r="K319" i="1" s="1"/>
  <c r="N106" i="3"/>
  <c r="N100" i="3" s="1"/>
  <c r="O161" i="1"/>
  <c r="O319" i="1" s="1"/>
  <c r="J170" i="1"/>
  <c r="J162" i="1" s="1"/>
  <c r="N255" i="3" l="1"/>
  <c r="O324" i="1" s="1"/>
  <c r="N279" i="3" s="1"/>
  <c r="J255" i="3"/>
  <c r="K324" i="1" s="1"/>
  <c r="J279" i="3" s="1"/>
  <c r="I106" i="3"/>
  <c r="I100" i="3" s="1"/>
  <c r="P170" i="1"/>
  <c r="P162" i="1" s="1"/>
  <c r="P17" i="1"/>
  <c r="P288" i="1"/>
  <c r="P309" i="1"/>
  <c r="N274" i="3" l="1"/>
  <c r="J274" i="3"/>
  <c r="I255" i="3"/>
  <c r="O106" i="3"/>
  <c r="O100" i="3" s="1"/>
  <c r="P161" i="1"/>
  <c r="J161" i="1"/>
  <c r="J319" i="1" s="1"/>
  <c r="P298" i="1"/>
  <c r="P268" i="1"/>
  <c r="P221" i="1"/>
  <c r="P210" i="1"/>
  <c r="P202" i="1"/>
  <c r="I274" i="3" l="1"/>
  <c r="J324" i="1"/>
  <c r="I279" i="3" s="1"/>
  <c r="O255" i="3"/>
  <c r="P319" i="1"/>
  <c r="C56" i="1"/>
  <c r="O274" i="3" l="1"/>
  <c r="P324" i="1"/>
  <c r="O279" i="3" s="1"/>
  <c r="C313" i="1"/>
  <c r="D313" i="1"/>
  <c r="B313" i="1"/>
  <c r="C257" i="1"/>
  <c r="D257" i="1"/>
  <c r="B257" i="1"/>
  <c r="C174" i="1" l="1"/>
  <c r="D174" i="1"/>
  <c r="B174" i="1"/>
  <c r="C33" i="1"/>
  <c r="B33" i="1"/>
  <c r="B148" i="1"/>
  <c r="C148" i="1"/>
  <c r="D148" i="1"/>
  <c r="B182" i="1"/>
  <c r="C182" i="1"/>
  <c r="D182" i="1"/>
  <c r="B184" i="1"/>
  <c r="C184" i="1"/>
  <c r="C178" i="1"/>
  <c r="D178" i="1"/>
  <c r="B178" i="1"/>
  <c r="C294" i="1"/>
  <c r="B294" i="1"/>
  <c r="C291" i="1"/>
  <c r="D291" i="1"/>
  <c r="B291" i="1"/>
  <c r="D152" i="1"/>
  <c r="C152" i="1"/>
  <c r="B152" i="1"/>
  <c r="C151" i="1"/>
  <c r="D151" i="1"/>
  <c r="B151" i="1"/>
  <c r="C53" i="1"/>
  <c r="B53" i="1"/>
  <c r="C201" i="1"/>
  <c r="B201" i="1"/>
  <c r="C197" i="1"/>
  <c r="D197" i="1"/>
  <c r="C198" i="1"/>
  <c r="B198" i="1"/>
  <c r="B197" i="1"/>
  <c r="C190" i="1"/>
  <c r="D190" i="1"/>
  <c r="B190" i="1"/>
  <c r="C189" i="1"/>
  <c r="D189" i="1"/>
  <c r="B189" i="1"/>
  <c r="C188" i="1"/>
  <c r="B188" i="1"/>
  <c r="C187" i="1"/>
  <c r="D187" i="1"/>
  <c r="B187" i="1"/>
  <c r="C186" i="1"/>
  <c r="D186" i="1"/>
  <c r="B186" i="1"/>
  <c r="C181" i="1"/>
  <c r="D181" i="1"/>
  <c r="B181" i="1"/>
  <c r="C180" i="1"/>
  <c r="D180" i="1"/>
  <c r="B180" i="1"/>
  <c r="C176" i="1"/>
  <c r="D176" i="1"/>
  <c r="B176" i="1"/>
  <c r="C175" i="1"/>
  <c r="D175" i="1"/>
  <c r="B175" i="1"/>
  <c r="C172" i="1"/>
  <c r="D172" i="1"/>
  <c r="B172" i="1"/>
  <c r="C171" i="1"/>
  <c r="B171" i="1"/>
  <c r="C170" i="1"/>
  <c r="D170" i="1"/>
  <c r="B170" i="1"/>
  <c r="C157" i="1"/>
  <c r="B157" i="1"/>
  <c r="C146" i="1"/>
  <c r="D146" i="1"/>
  <c r="B146" i="1"/>
  <c r="C144" i="1"/>
  <c r="D144" i="1"/>
  <c r="B144" i="1"/>
  <c r="C142" i="1"/>
  <c r="B142" i="1"/>
  <c r="C137" i="1"/>
  <c r="B137" i="1"/>
  <c r="C98" i="1"/>
  <c r="C100" i="1"/>
  <c r="C79" i="1"/>
  <c r="B79" i="1"/>
  <c r="C78" i="1"/>
  <c r="B78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4" i="1"/>
  <c r="D44" i="1"/>
  <c r="B44" i="1"/>
  <c r="C31" i="1"/>
  <c r="D31" i="1"/>
  <c r="C32" i="1"/>
  <c r="B32" i="1"/>
  <c r="B31" i="1"/>
  <c r="C34" i="1"/>
  <c r="C35" i="1"/>
  <c r="B35" i="1"/>
  <c r="B34" i="1"/>
  <c r="C41" i="1"/>
  <c r="D41" i="1"/>
  <c r="B41" i="1"/>
  <c r="C40" i="1"/>
  <c r="D40" i="1"/>
  <c r="B40" i="1"/>
  <c r="C39" i="1"/>
  <c r="B39" i="1"/>
  <c r="C38" i="1"/>
  <c r="B38" i="1"/>
  <c r="C37" i="1"/>
  <c r="B37" i="1"/>
  <c r="C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07" i="1"/>
  <c r="C207" i="1"/>
  <c r="B207" i="1"/>
  <c r="C214" i="1"/>
  <c r="D214" i="1"/>
  <c r="B214" i="1"/>
  <c r="C216" i="1"/>
  <c r="D216" i="1"/>
  <c r="C217" i="1"/>
  <c r="D217" i="1"/>
  <c r="B217" i="1"/>
  <c r="B216" i="1"/>
  <c r="C219" i="1"/>
  <c r="B219" i="1"/>
  <c r="C231" i="1"/>
  <c r="D231" i="1"/>
  <c r="B231" i="1"/>
  <c r="C235" i="1"/>
  <c r="D235" i="1"/>
  <c r="B235" i="1"/>
  <c r="C234" i="1"/>
  <c r="D234" i="1"/>
  <c r="B234" i="1"/>
  <c r="C233" i="1"/>
  <c r="D233" i="1"/>
  <c r="B233" i="1"/>
  <c r="C232" i="1"/>
  <c r="D232" i="1"/>
  <c r="B232" i="1"/>
  <c r="C236" i="1"/>
  <c r="D236" i="1"/>
  <c r="B236" i="1"/>
  <c r="C237" i="1"/>
  <c r="D237" i="1"/>
  <c r="B237" i="1"/>
  <c r="C240" i="1"/>
  <c r="D240" i="1"/>
  <c r="B240" i="1"/>
  <c r="C241" i="1"/>
  <c r="B241" i="1"/>
  <c r="C242" i="1"/>
  <c r="B242" i="1"/>
  <c r="C256" i="1"/>
  <c r="B256" i="1"/>
  <c r="C262" i="1"/>
  <c r="D262" i="1"/>
  <c r="B262" i="1"/>
  <c r="C264" i="1"/>
  <c r="B264" i="1"/>
  <c r="C272" i="1"/>
  <c r="D272" i="1"/>
  <c r="B272" i="1"/>
  <c r="C273" i="1"/>
  <c r="B273" i="1"/>
  <c r="C274" i="1"/>
  <c r="D274" i="1"/>
  <c r="B274" i="1"/>
  <c r="C276" i="1"/>
  <c r="B276" i="1"/>
  <c r="C275" i="1"/>
  <c r="B275" i="1"/>
  <c r="C279" i="1"/>
  <c r="B279" i="1"/>
  <c r="C284" i="1"/>
  <c r="B284" i="1"/>
  <c r="C301" i="1"/>
  <c r="D301" i="1"/>
  <c r="B301" i="1"/>
  <c r="C302" i="1"/>
  <c r="D302" i="1"/>
  <c r="B302" i="1"/>
  <c r="C303" i="1"/>
  <c r="D303" i="1"/>
  <c r="B303" i="1"/>
  <c r="C304" i="1"/>
  <c r="D304" i="1"/>
  <c r="B304" i="1"/>
  <c r="C305" i="1"/>
  <c r="D305" i="1"/>
  <c r="B305" i="1"/>
  <c r="C312" i="1"/>
  <c r="B312" i="1"/>
  <c r="C315" i="1"/>
  <c r="D315" i="1"/>
  <c r="B315" i="1"/>
  <c r="C316" i="1"/>
  <c r="D316" i="1"/>
  <c r="B316" i="1"/>
  <c r="C317" i="1"/>
  <c r="D317" i="1"/>
  <c r="C318" i="1"/>
  <c r="D318" i="1"/>
  <c r="B318" i="1"/>
  <c r="C311" i="1"/>
  <c r="B311" i="1"/>
  <c r="C300" i="1"/>
  <c r="B300" i="1"/>
  <c r="C297" i="1"/>
  <c r="B297" i="1"/>
  <c r="C290" i="1"/>
  <c r="B290" i="1"/>
  <c r="C271" i="1"/>
  <c r="B271" i="1"/>
  <c r="C267" i="1"/>
  <c r="B267" i="1"/>
  <c r="C229" i="1"/>
  <c r="B229" i="1"/>
  <c r="C212" i="1"/>
  <c r="B212" i="1"/>
  <c r="C205" i="1"/>
  <c r="B205" i="1"/>
  <c r="C168" i="1"/>
  <c r="B168" i="1"/>
  <c r="C136" i="1"/>
  <c r="B136" i="1"/>
  <c r="C77" i="1"/>
  <c r="B77" i="1"/>
  <c r="C21" i="1"/>
  <c r="B21" i="1"/>
  <c r="E81" i="3" l="1"/>
  <c r="D81" i="3" l="1"/>
  <c r="I81" i="3"/>
  <c r="O81" i="3" l="1"/>
  <c r="D80" i="3" l="1"/>
  <c r="I83" i="3"/>
  <c r="I82" i="3"/>
  <c r="I257" i="3" s="1"/>
  <c r="I276" i="3" s="1"/>
  <c r="O83" i="3"/>
  <c r="J325" i="1" l="1"/>
  <c r="O82" i="3"/>
  <c r="I80" i="3"/>
  <c r="O257" i="3" l="1"/>
  <c r="O276" i="3" s="1"/>
  <c r="O80" i="3"/>
  <c r="P325" i="1" l="1"/>
  <c r="I195" i="3"/>
  <c r="I169" i="3" s="1"/>
  <c r="D195" i="3"/>
  <c r="D169" i="3" s="1"/>
  <c r="O195" i="3" l="1"/>
  <c r="O169" i="3" s="1"/>
  <c r="D168" i="3" l="1"/>
  <c r="I175" i="3" l="1"/>
  <c r="I256" i="3" s="1"/>
  <c r="O175" i="3"/>
  <c r="O256" i="3" s="1"/>
  <c r="I275" i="3" l="1"/>
  <c r="O275" i="3"/>
  <c r="O168" i="3"/>
  <c r="I168" i="3"/>
</calcChain>
</file>

<file path=xl/sharedStrings.xml><?xml version="1.0" encoding="utf-8"?>
<sst xmlns="http://schemas.openxmlformats.org/spreadsheetml/2006/main" count="1069" uniqueCount="627">
  <si>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</si>
  <si>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</si>
  <si>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</si>
  <si>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</si>
  <si>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</si>
  <si>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</si>
  <si>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</si>
  <si>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</si>
  <si>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</si>
  <si>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</si>
  <si>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</si>
  <si>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</si>
  <si>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</si>
  <si>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</si>
  <si>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</si>
  <si>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</si>
  <si>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</si>
  <si>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</si>
  <si>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</si>
  <si>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</si>
  <si>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</si>
  <si>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</si>
  <si>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</si>
  <si>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</si>
  <si>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</si>
  <si>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</si>
  <si>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</si>
  <si>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</si>
  <si>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</si>
  <si>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</si>
  <si>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</si>
  <si>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</si>
  <si>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</si>
  <si>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</si>
  <si>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</si>
  <si>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</si>
  <si>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</si>
  <si>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</si>
  <si>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</si>
  <si>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</si>
  <si>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</si>
  <si>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</si>
  <si>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</si>
  <si>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</si>
  <si>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</si>
  <si>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</si>
  <si>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</si>
  <si>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</si>
  <si>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</si>
  <si>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</si>
  <si>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</si>
  <si>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</si>
  <si>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</si>
  <si>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</si>
  <si>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</si>
  <si>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</si>
  <si>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</si>
  <si>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</si>
  <si>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</si>
  <si>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</si>
  <si>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</si>
  <si>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</si>
  <si>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</si>
  <si>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</si>
  <si>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</si>
  <si>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</si>
  <si>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</si>
  <si>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</si>
  <si>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</si>
  <si>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</si>
  <si>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</si>
  <si>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</si>
  <si>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</si>
  <si>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</si>
  <si>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</si>
  <si>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</si>
  <si>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</si>
  <si>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</si>
  <si>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</si>
  <si>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</si>
  <si>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</si>
  <si>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</si>
  <si>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</si>
  <si>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</si>
  <si>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</si>
  <si>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</si>
  <si>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</si>
  <si>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</si>
  <si>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</si>
  <si>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</si>
  <si>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</si>
  <si>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</si>
  <si>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</si>
  <si>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</si>
  <si>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</si>
  <si>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</si>
  <si>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</si>
  <si>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</si>
  <si>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</si>
  <si>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</si>
  <si>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</si>
  <si>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</si>
  <si>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</si>
  <si>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</si>
  <si>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</si>
  <si>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</si>
  <si>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</si>
  <si>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</si>
  <si>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</si>
  <si>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</si>
  <si>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</si>
  <si>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</si>
  <si>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</si>
  <si>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</si>
  <si>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</si>
  <si>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</si>
  <si>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</si>
  <si>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</si>
  <si>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</si>
  <si>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</si>
  <si>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</si>
  <si>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</si>
  <si>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</si>
  <si>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</si>
  <si>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</si>
  <si>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</si>
  <si>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</si>
  <si>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</si>
  <si>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</si>
  <si>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</si>
  <si>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</si>
  <si>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</si>
  <si>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</si>
  <si>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</si>
  <si>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</si>
  <si>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</si>
  <si>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</si>
  <si>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</si>
  <si>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</si>
  <si>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</si>
  <si>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</si>
  <si>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</si>
  <si>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</si>
  <si>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</si>
  <si>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</si>
  <si>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</si>
  <si>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</si>
  <si>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</si>
  <si>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</si>
  <si>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</si>
  <si>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</si>
  <si>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</si>
  <si>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</si>
  <si>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</si>
  <si>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</si>
  <si>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</si>
  <si>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</si>
  <si>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</si>
  <si>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</si>
  <si>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</si>
  <si>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</si>
  <si>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</si>
  <si>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</si>
  <si>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</si>
  <si>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</si>
  <si>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</si>
  <si>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</si>
  <si>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</si>
  <si>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</si>
  <si>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</si>
  <si>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</si>
  <si>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</si>
  <si>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</si>
  <si>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</si>
  <si>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</si>
  <si>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</si>
  <si>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</si>
  <si>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</si>
  <si>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</si>
  <si>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</si>
  <si>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</si>
  <si>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</si>
  <si>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</si>
  <si>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</si>
  <si>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</si>
  <si>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</si>
  <si>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</si>
  <si>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</si>
  <si>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</si>
  <si>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</si>
  <si>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</si>
  <si>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</si>
  <si>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</si>
  <si>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</si>
  <si>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</si>
  <si>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</si>
  <si>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</si>
  <si>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</si>
  <si>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</si>
  <si>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</si>
  <si>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</si>
  <si>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</si>
  <si>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</si>
  <si>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</si>
  <si>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</si>
  <si>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</si>
  <si>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</si>
  <si>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</si>
  <si>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</si>
  <si>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</si>
  <si>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</si>
  <si>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</si>
  <si>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</si>
  <si>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</si>
  <si>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</si>
  <si>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</si>
  <si>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</si>
  <si>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</si>
  <si>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</si>
  <si>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</si>
  <si>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</si>
  <si>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</si>
  <si>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</si>
  <si>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</si>
  <si>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</si>
  <si>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</si>
  <si>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</si>
  <si>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</si>
  <si>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</si>
  <si>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</si>
  <si>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</si>
  <si>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</si>
  <si>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</si>
  <si>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</si>
  <si>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</si>
  <si>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</si>
  <si>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</si>
  <si>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</si>
  <si>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</si>
  <si>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</si>
  <si>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</si>
  <si>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</si>
  <si>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</si>
  <si>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</si>
  <si>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</si>
  <si>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</si>
  <si>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</si>
  <si>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</si>
  <si>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</si>
  <si>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</si>
  <si>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</si>
  <si>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</si>
  <si>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</si>
  <si>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</si>
  <si>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</si>
  <si>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</si>
  <si>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</si>
  <si>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</si>
  <si>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</si>
  <si>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</si>
  <si>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</si>
  <si>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</si>
  <si>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</si>
  <si>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</si>
  <si>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</si>
  <si>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</si>
  <si>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</si>
  <si>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</si>
  <si>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</si>
  <si>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</si>
  <si>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</si>
  <si>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</si>
  <si>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</si>
  <si>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</si>
  <si>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</si>
  <si>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</si>
  <si>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</si>
  <si>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</si>
  <si>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</si>
  <si>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</si>
  <si>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</si>
  <si>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</si>
  <si>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</si>
  <si>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</si>
  <si>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</si>
  <si>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</si>
  <si>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</si>
  <si>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</si>
  <si>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</si>
  <si>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</si>
  <si>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</si>
  <si>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</si>
  <si>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</si>
  <si>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</si>
  <si>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</si>
  <si>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</si>
  <si>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</si>
  <si>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</si>
  <si>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</si>
  <si>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</si>
  <si>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</si>
  <si>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</si>
  <si>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</si>
  <si>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</si>
  <si>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</si>
  <si>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</si>
  <si>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</si>
  <si>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</si>
  <si>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</si>
  <si>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</si>
  <si>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</si>
  <si>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</si>
  <si>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</si>
  <si>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</si>
  <si>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</si>
  <si>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</si>
  <si>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</si>
  <si>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</si>
  <si>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</si>
  <si>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</si>
  <si>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</si>
  <si>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</si>
  <si>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</si>
  <si>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</si>
  <si>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</si>
  <si>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</si>
  <si>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</si>
  <si>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</si>
  <si>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</si>
  <si>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</si>
  <si>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</si>
  <si>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</si>
  <si>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</si>
  <si>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</si>
  <si>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</si>
  <si>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</si>
  <si>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</si>
  <si>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</si>
  <si>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</si>
  <si>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</si>
  <si>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</si>
  <si>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</si>
  <si>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</si>
  <si>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</si>
  <si>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</si>
  <si>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</si>
  <si>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</si>
  <si>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</si>
  <si>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</si>
  <si>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</si>
  <si>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</si>
  <si>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</si>
  <si>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</si>
  <si>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</si>
  <si>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</si>
  <si>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</si>
  <si>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</si>
  <si>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</si>
  <si>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</si>
  <si>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</si>
  <si>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</si>
  <si>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</si>
  <si>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</si>
  <si>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</si>
  <si>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</si>
  <si>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</si>
  <si>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</si>
  <si>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</si>
  <si>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</si>
  <si>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</si>
  <si>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</si>
  <si>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</si>
  <si>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</si>
  <si>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</si>
  <si>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</si>
  <si>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</si>
  <si>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</si>
  <si>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</si>
  <si>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</si>
  <si>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</si>
  <si>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</si>
  <si>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</si>
  <si>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</si>
  <si>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</si>
  <si>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</si>
  <si>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</si>
  <si>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</si>
  <si>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</si>
  <si>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</si>
  <si>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</si>
  <si>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</si>
  <si>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</si>
  <si>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</si>
  <si>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</si>
  <si>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</si>
  <si>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</si>
  <si>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</si>
  <si>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</si>
  <si>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</si>
  <si>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</si>
  <si>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</si>
  <si>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</si>
  <si>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</si>
  <si>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</si>
  <si>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</si>
  <si>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</si>
  <si>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</si>
  <si>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</si>
  <si>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</si>
  <si>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</si>
  <si>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</si>
  <si>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</si>
  <si>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</si>
  <si>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</si>
  <si>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</si>
  <si>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</si>
  <si>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</si>
  <si>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</si>
  <si>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</si>
  <si>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</si>
  <si>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</si>
  <si>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</si>
  <si>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</si>
  <si>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</si>
  <si>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</si>
  <si>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</si>
  <si>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</si>
  <si>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</si>
  <si>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</si>
  <si>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</si>
  <si>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</si>
  <si>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</si>
  <si>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</si>
  <si>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</si>
  <si>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</si>
  <si>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</si>
  <si>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</si>
  <si>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</si>
  <si>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</si>
  <si>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</si>
  <si>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</si>
  <si>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</si>
  <si>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</si>
  <si>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</si>
  <si>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</si>
  <si>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</si>
  <si>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</si>
  <si>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</si>
  <si>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</si>
  <si>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</si>
  <si>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</si>
  <si>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</si>
  <si>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</si>
  <si>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</si>
  <si>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</si>
  <si>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</si>
  <si>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</si>
  <si>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</si>
  <si>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</si>
  <si>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</si>
  <si>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</si>
  <si>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</si>
  <si>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</si>
  <si>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</si>
  <si>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</si>
  <si>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</si>
  <si>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</si>
  <si>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</si>
  <si>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</si>
  <si>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</si>
  <si>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</si>
  <si>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</si>
  <si>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</si>
  <si>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</si>
  <si>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</si>
  <si>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</si>
  <si>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</si>
  <si>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</si>
  <si>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</si>
  <si>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</si>
  <si>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</si>
  <si>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</si>
  <si>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</si>
  <si>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</si>
  <si>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</si>
  <si>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</si>
  <si>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</si>
  <si>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</si>
  <si>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</si>
  <si>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</si>
  <si>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</si>
  <si>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</si>
  <si>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</si>
  <si>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</si>
  <si>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</si>
  <si>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</si>
  <si>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</si>
  <si>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</si>
  <si>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</si>
  <si>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</si>
  <si>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</si>
  <si>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</si>
  <si>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</si>
  <si>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</si>
  <si>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</si>
  <si>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</si>
  <si>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</si>
  <si>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</si>
  <si>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</si>
  <si>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</si>
  <si>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</si>
  <si>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</si>
  <si>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</si>
  <si>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</si>
  <si>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</si>
  <si>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</si>
  <si>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</si>
  <si>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</si>
  <si>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</si>
  <si>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</si>
  <si>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</si>
  <si>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</si>
  <si>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</si>
  <si>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</si>
  <si>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</si>
  <si>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</si>
  <si>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</si>
  <si>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</si>
  <si>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</si>
  <si>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</si>
  <si>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</si>
  <si>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</si>
  <si>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</si>
  <si>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</si>
  <si>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</si>
  <si>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</si>
  <si>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</si>
  <si>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</si>
  <si>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</si>
  <si>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</si>
  <si>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</si>
  <si>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</si>
  <si>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</si>
  <si>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</si>
  <si>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</si>
  <si>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</si>
  <si>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</si>
  <si>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</si>
  <si>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</si>
  <si>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</si>
  <si>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</si>
  <si>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</si>
  <si>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</si>
  <si>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</si>
  <si>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0617363</t>
  </si>
  <si>
    <t>1617370</t>
  </si>
  <si>
    <t>7370</t>
  </si>
  <si>
    <t>0611172</t>
  </si>
  <si>
    <t>0611182</t>
  </si>
  <si>
    <t>1172</t>
  </si>
  <si>
    <t>1182</t>
  </si>
  <si>
    <t xml:space="preserve">Виконання заходів в рамках реалізації програми "Спроможна школа для кращих результатів",  у т.ч. за рахунок: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</si>
  <si>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</si>
  <si>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</si>
  <si>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</si>
  <si>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</si>
  <si>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</si>
  <si>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</si>
  <si>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</si>
  <si>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</si>
  <si>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</si>
  <si>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</si>
  <si>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</si>
  <si>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</si>
  <si>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</si>
  <si>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</si>
  <si>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«Про       внесення        змін       до        рішення</t>
  </si>
  <si>
    <t>до      рішення      Сумської     міської         ради</t>
  </si>
  <si>
    <t xml:space="preserve">Сумської  міської  ради від 24 грудня 2020 року </t>
  </si>
  <si>
    <t xml:space="preserve">№ 62 - МР «Про   бюджет    Сумської     міської </t>
  </si>
  <si>
    <t>«Про       внесення       змін       до         рішення</t>
  </si>
  <si>
    <t>до      рішення      Сумської      міської        ради</t>
  </si>
  <si>
    <t>територіальної     громади    на      2021       рік»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</si>
  <si>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</si>
  <si>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</si>
  <si>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</si>
  <si>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</si>
  <si>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</si>
  <si>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</si>
  <si>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</si>
  <si>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</si>
  <si>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</si>
  <si>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</si>
  <si>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</si>
  <si>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</si>
  <si>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</si>
  <si>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</si>
  <si>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</si>
  <si>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</si>
  <si>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</si>
  <si>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</si>
  <si>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</si>
  <si>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</si>
  <si>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</si>
  <si>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</si>
  <si>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</si>
  <si>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</si>
  <si>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</si>
  <si>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анресії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</si>
  <si>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</si>
  <si>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Додаток 3</t>
  </si>
  <si>
    <t>територіальної     громади      на      2021      рік»</t>
  </si>
  <si>
    <t xml:space="preserve">                               Додаток 8</t>
  </si>
  <si>
    <t xml:space="preserve">Сумської  міської ради від 24 грудня 2020 року </t>
  </si>
  <si>
    <t xml:space="preserve">№ 62 - МР «Про   бюджет    Сумської    міської 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</si>
  <si>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</si>
  <si>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</si>
  <si>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</si>
  <si>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 xml:space="preserve">                          ____________</t>
  </si>
  <si>
    <t>Багатопрофільна стаціонарна медична допомога населенню,  у т.ч. за рахунок:</t>
  </si>
  <si>
    <t>Виконавець: Липова С.А.</t>
  </si>
  <si>
    <t>1216083</t>
  </si>
  <si>
    <t>Сумський міський голова</t>
  </si>
  <si>
    <t>0219770</t>
  </si>
  <si>
    <t>від  27  жовтня   2021     року    №  2204  -   МР</t>
  </si>
  <si>
    <t>від    27    жовтня  2021    року    №  2204  -  МР</t>
  </si>
  <si>
    <t>Олександр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</si>
</sst>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4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71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49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right" wrapText="1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Alignment="1">
      <alignment horizontal="left"/>
    </xf>
    <xf numFmtId="0" fontId="39" fillId="0" borderId="0" xfId="0" applyFont="1" applyFill="1" applyAlignment="1"/>
    <xf numFmtId="3" fontId="33" fillId="0" borderId="0" xfId="0" applyNumberFormat="1" applyFont="1" applyFill="1" applyBorder="1" applyAlignment="1">
      <alignment horizontal="center" wrapText="1"/>
    </xf>
    <xf numFmtId="4" fontId="29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3" fontId="47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Alignment="1">
      <alignment horizontal="left"/>
    </xf>
    <xf numFmtId="49" fontId="28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8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 vertical="center"/>
    </xf>
    <xf numFmtId="0" fontId="39" fillId="0" borderId="0" xfId="0" applyFont="1" applyFill="1" applyAlignment="1"/>
    <xf numFmtId="0" fontId="40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703"/>
  <sheetViews>
    <sheetView showGridLines="0" showZeros="0" view="pageBreakPreview" zoomScale="60" zoomScaleNormal="82" workbookViewId="0">
      <pane xSplit="4" ySplit="16" topLeftCell="E319" activePane="bottomRight" state="frozen"/>
      <selection pane="topRight" activeCell="E1" sqref="E1"/>
      <selection pane="bottomLeft" activeCell="A17" sqref="A17"/>
      <selection pane="bottomRight" activeCell="N327" sqref="N327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47" customWidth="1"/>
    <col min="6" max="6" width="22.5" style="47" customWidth="1"/>
    <col min="7" max="7" width="23.83203125" style="47" customWidth="1"/>
    <col min="8" max="8" width="19.33203125" style="47" customWidth="1"/>
    <col min="9" max="9" width="19.6640625" style="47" customWidth="1"/>
    <col min="10" max="10" width="20.5" style="47" customWidth="1"/>
    <col min="11" max="11" width="22.5" style="47" customWidth="1"/>
    <col min="12" max="12" width="18.33203125" style="47" customWidth="1"/>
    <col min="13" max="13" width="19.5" style="47" customWidth="1"/>
    <col min="14" max="14" width="18" style="47" customWidth="1"/>
    <col min="15" max="15" width="21.1640625" style="47" customWidth="1"/>
    <col min="16" max="16" width="23" style="156" bestFit="1" customWidth="1"/>
    <col min="17" max="17" width="11.5" style="28" customWidth="1"/>
    <col min="18" max="18" width="34" style="28" customWidth="1"/>
    <col min="19" max="527" width="9.1640625" style="28"/>
    <col min="528" max="16384" width="9.1640625" style="20"/>
  </cols>
  <sheetData>
    <row r="1" spans="1:527" ht="26.25" customHeight="1" x14ac:dyDescent="0.4">
      <c r="K1" s="152" t="s">
        <v>610</v>
      </c>
      <c r="L1" s="152"/>
      <c r="M1" s="152"/>
      <c r="N1" s="152"/>
      <c r="O1" s="152"/>
      <c r="P1" s="152"/>
    </row>
    <row r="2" spans="1:527" ht="26.25" customHeight="1" x14ac:dyDescent="0.25">
      <c r="K2" s="92" t="s">
        <v>577</v>
      </c>
      <c r="L2" s="92"/>
      <c r="M2" s="92"/>
      <c r="N2" s="92"/>
      <c r="O2" s="92"/>
      <c r="P2" s="92"/>
    </row>
    <row r="3" spans="1:527" ht="26.25" customHeight="1" x14ac:dyDescent="0.4">
      <c r="K3" s="162" t="s">
        <v>576</v>
      </c>
      <c r="L3" s="162"/>
      <c r="M3" s="162"/>
      <c r="N3" s="162"/>
      <c r="O3" s="162"/>
      <c r="P3" s="162"/>
    </row>
    <row r="4" spans="1:527" ht="26.25" customHeight="1" x14ac:dyDescent="0.4">
      <c r="K4" s="162" t="s">
        <v>578</v>
      </c>
      <c r="L4" s="162"/>
      <c r="M4" s="162"/>
      <c r="N4" s="162"/>
      <c r="O4" s="162"/>
      <c r="P4" s="162"/>
    </row>
    <row r="5" spans="1:527" ht="26.25" customHeight="1" x14ac:dyDescent="0.4">
      <c r="K5" s="162" t="s">
        <v>579</v>
      </c>
      <c r="L5" s="162"/>
      <c r="M5" s="162"/>
      <c r="N5" s="162"/>
      <c r="O5" s="162"/>
      <c r="P5" s="162"/>
    </row>
    <row r="6" spans="1:527" ht="28.5" customHeight="1" x14ac:dyDescent="0.4">
      <c r="K6" s="162" t="s">
        <v>611</v>
      </c>
      <c r="L6" s="162"/>
      <c r="M6" s="162"/>
      <c r="N6" s="162"/>
      <c r="O6" s="162"/>
      <c r="P6" s="162"/>
    </row>
    <row r="7" spans="1:527" ht="28.5" customHeight="1" x14ac:dyDescent="0.4">
      <c r="K7" s="151" t="s">
        <v>535</v>
      </c>
      <c r="L7" s="151"/>
      <c r="M7" s="151"/>
      <c r="N7" s="151"/>
      <c r="O7" s="151"/>
      <c r="P7" s="151"/>
    </row>
    <row r="8" spans="1:527" ht="26.25" customHeight="1" x14ac:dyDescent="0.4">
      <c r="K8" s="162" t="s">
        <v>624</v>
      </c>
      <c r="L8" s="162"/>
      <c r="M8" s="162"/>
      <c r="N8" s="162"/>
      <c r="O8" s="162"/>
      <c r="P8" s="162"/>
    </row>
    <row r="9" spans="1:527" ht="26.25" x14ac:dyDescent="0.4">
      <c r="L9" s="62"/>
      <c r="M9" s="62"/>
      <c r="N9" s="62"/>
      <c r="O9" s="62"/>
      <c r="P9" s="62"/>
    </row>
    <row r="10" spans="1:527" s="44" customFormat="1" ht="71.25" customHeight="1" x14ac:dyDescent="0.3">
      <c r="A10" s="164" t="s">
        <v>449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158" t="s">
        <v>587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159" t="s">
        <v>586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53" t="s">
        <v>358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65" t="s">
        <v>336</v>
      </c>
      <c r="B14" s="166" t="s">
        <v>337</v>
      </c>
      <c r="C14" s="166" t="s">
        <v>327</v>
      </c>
      <c r="D14" s="166" t="s">
        <v>338</v>
      </c>
      <c r="E14" s="167" t="s">
        <v>224</v>
      </c>
      <c r="F14" s="167"/>
      <c r="G14" s="167"/>
      <c r="H14" s="167"/>
      <c r="I14" s="167"/>
      <c r="J14" s="167" t="s">
        <v>225</v>
      </c>
      <c r="K14" s="167"/>
      <c r="L14" s="167"/>
      <c r="M14" s="167"/>
      <c r="N14" s="167"/>
      <c r="O14" s="167"/>
      <c r="P14" s="167" t="s">
        <v>226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65"/>
      <c r="B15" s="166"/>
      <c r="C15" s="166"/>
      <c r="D15" s="166"/>
      <c r="E15" s="161" t="s">
        <v>328</v>
      </c>
      <c r="F15" s="161" t="s">
        <v>227</v>
      </c>
      <c r="G15" s="160" t="s">
        <v>228</v>
      </c>
      <c r="H15" s="160"/>
      <c r="I15" s="161" t="s">
        <v>229</v>
      </c>
      <c r="J15" s="161" t="s">
        <v>328</v>
      </c>
      <c r="K15" s="161" t="s">
        <v>329</v>
      </c>
      <c r="L15" s="161" t="s">
        <v>227</v>
      </c>
      <c r="M15" s="160" t="s">
        <v>228</v>
      </c>
      <c r="N15" s="160"/>
      <c r="O15" s="161" t="s">
        <v>229</v>
      </c>
      <c r="P15" s="167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88.5" customHeight="1" x14ac:dyDescent="0.2">
      <c r="A16" s="165"/>
      <c r="B16" s="166"/>
      <c r="C16" s="166"/>
      <c r="D16" s="166"/>
      <c r="E16" s="161"/>
      <c r="F16" s="161"/>
      <c r="G16" s="150" t="s">
        <v>230</v>
      </c>
      <c r="H16" s="150" t="s">
        <v>231</v>
      </c>
      <c r="I16" s="161"/>
      <c r="J16" s="161"/>
      <c r="K16" s="161"/>
      <c r="L16" s="161"/>
      <c r="M16" s="150" t="s">
        <v>230</v>
      </c>
      <c r="N16" s="150" t="s">
        <v>231</v>
      </c>
      <c r="O16" s="161"/>
      <c r="P16" s="167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20" t="s">
        <v>149</v>
      </c>
      <c r="B17" s="121"/>
      <c r="C17" s="121"/>
      <c r="D17" s="122" t="s">
        <v>35</v>
      </c>
      <c r="E17" s="95">
        <f>E18</f>
        <v>260134435.34</v>
      </c>
      <c r="F17" s="95">
        <f t="shared" ref="F17:J17" si="0">F18</f>
        <v>197455739.34</v>
      </c>
      <c r="G17" s="95">
        <f t="shared" si="0"/>
        <v>107772335</v>
      </c>
      <c r="H17" s="95">
        <f t="shared" si="0"/>
        <v>5918057</v>
      </c>
      <c r="I17" s="95">
        <f t="shared" si="0"/>
        <v>62678696</v>
      </c>
      <c r="J17" s="95">
        <f t="shared" si="0"/>
        <v>40104759.659999996</v>
      </c>
      <c r="K17" s="95">
        <f t="shared" ref="K17" si="1">K18</f>
        <v>39581964.659999996</v>
      </c>
      <c r="L17" s="95">
        <f t="shared" ref="L17" si="2">L18</f>
        <v>522795</v>
      </c>
      <c r="M17" s="95">
        <f t="shared" ref="M17" si="3">M18</f>
        <v>119291</v>
      </c>
      <c r="N17" s="95">
        <f t="shared" ref="N17" si="4">N18</f>
        <v>51832</v>
      </c>
      <c r="O17" s="95">
        <f t="shared" ref="O17:P17" si="5">O18</f>
        <v>39581964.659999996</v>
      </c>
      <c r="P17" s="95">
        <f t="shared" si="5"/>
        <v>300239195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96" t="s">
        <v>150</v>
      </c>
      <c r="B18" s="97"/>
      <c r="C18" s="97"/>
      <c r="D18" s="77" t="s">
        <v>520</v>
      </c>
      <c r="E18" s="98">
        <f>E21+E22+E23+E24+E26+E27+E28+E29+E30+E31+E32+E33+E34+E35+E36+E37+E38+E39+E40+E41+E42+E43+E44+E46+E48+E49+E50+E51+E52+E53+E54+E55+E56+E58+E59+E60+E45+E47+E62+E61</f>
        <v>260134435.34</v>
      </c>
      <c r="F18" s="98">
        <f t="shared" ref="F18:P18" si="6">F21+F22+F23+F24+F26+F27+F28+F29+F30+F31+F32+F33+F34+F35+F36+F37+F38+F39+F40+F41+F42+F43+F44+F46+F48+F49+F50+F51+F52+F53+F54+F55+F56+F58+F59+F60+F45+F47+F62+F61</f>
        <v>197455739.34</v>
      </c>
      <c r="G18" s="98">
        <f t="shared" si="6"/>
        <v>107772335</v>
      </c>
      <c r="H18" s="98">
        <f t="shared" si="6"/>
        <v>5918057</v>
      </c>
      <c r="I18" s="98">
        <f t="shared" si="6"/>
        <v>62678696</v>
      </c>
      <c r="J18" s="98">
        <f t="shared" si="6"/>
        <v>40104759.659999996</v>
      </c>
      <c r="K18" s="98">
        <f t="shared" si="6"/>
        <v>39581964.659999996</v>
      </c>
      <c r="L18" s="98">
        <f t="shared" si="6"/>
        <v>522795</v>
      </c>
      <c r="M18" s="98">
        <f t="shared" si="6"/>
        <v>119291</v>
      </c>
      <c r="N18" s="98">
        <f t="shared" si="6"/>
        <v>51832</v>
      </c>
      <c r="O18" s="98">
        <f t="shared" si="6"/>
        <v>39581964.659999996</v>
      </c>
      <c r="P18" s="98">
        <f t="shared" si="6"/>
        <v>300239195</v>
      </c>
      <c r="Q18" s="33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96"/>
      <c r="B19" s="97"/>
      <c r="C19" s="97"/>
      <c r="D19" s="77" t="s">
        <v>382</v>
      </c>
      <c r="E19" s="98">
        <f>E57</f>
        <v>588815</v>
      </c>
      <c r="F19" s="98">
        <f t="shared" ref="F19:P19" si="7">F57</f>
        <v>588815</v>
      </c>
      <c r="G19" s="98">
        <f t="shared" si="7"/>
        <v>482635</v>
      </c>
      <c r="H19" s="98">
        <f t="shared" si="7"/>
        <v>0</v>
      </c>
      <c r="I19" s="98">
        <f t="shared" si="7"/>
        <v>0</v>
      </c>
      <c r="J19" s="98">
        <f t="shared" si="7"/>
        <v>0</v>
      </c>
      <c r="K19" s="98">
        <f t="shared" si="7"/>
        <v>0</v>
      </c>
      <c r="L19" s="98">
        <f t="shared" si="7"/>
        <v>0</v>
      </c>
      <c r="M19" s="98">
        <f t="shared" si="7"/>
        <v>0</v>
      </c>
      <c r="N19" s="98">
        <f t="shared" si="7"/>
        <v>0</v>
      </c>
      <c r="O19" s="98">
        <f t="shared" si="7"/>
        <v>0</v>
      </c>
      <c r="P19" s="98">
        <f t="shared" si="7"/>
        <v>588815</v>
      </c>
      <c r="Q19" s="33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96"/>
      <c r="B20" s="97"/>
      <c r="C20" s="97"/>
      <c r="D20" s="77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98">
        <f>E25</f>
        <v>0</v>
      </c>
      <c r="F20" s="98">
        <f t="shared" ref="F20:P20" si="8">F25</f>
        <v>0</v>
      </c>
      <c r="G20" s="98">
        <f t="shared" si="8"/>
        <v>0</v>
      </c>
      <c r="H20" s="98">
        <f t="shared" si="8"/>
        <v>0</v>
      </c>
      <c r="I20" s="98">
        <f t="shared" si="8"/>
        <v>0</v>
      </c>
      <c r="J20" s="98">
        <f t="shared" si="8"/>
        <v>0</v>
      </c>
      <c r="K20" s="98">
        <f t="shared" si="8"/>
        <v>0</v>
      </c>
      <c r="L20" s="98">
        <f t="shared" si="8"/>
        <v>0</v>
      </c>
      <c r="M20" s="98">
        <f t="shared" si="8"/>
        <v>0</v>
      </c>
      <c r="N20" s="98">
        <f t="shared" si="8"/>
        <v>0</v>
      </c>
      <c r="O20" s="98">
        <f t="shared" si="8"/>
        <v>0</v>
      </c>
      <c r="P20" s="98">
        <f t="shared" si="8"/>
        <v>0</v>
      </c>
      <c r="Q20" s="33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59" t="s">
        <v>151</v>
      </c>
      <c r="B21" s="93" t="str">
        <f>'дод 8'!A19</f>
        <v>0160</v>
      </c>
      <c r="C21" s="93" t="str">
        <f>'дод 8'!B19</f>
        <v>0111</v>
      </c>
      <c r="D21" s="36" t="s">
        <v>494</v>
      </c>
      <c r="E21" s="99">
        <f t="shared" ref="E21:E62" si="9">F21+I21</f>
        <v>113179546</v>
      </c>
      <c r="F21" s="99">
        <f>112926046+38700+214800</f>
        <v>113179546</v>
      </c>
      <c r="G21" s="99">
        <f>82129700+31700</f>
        <v>82161400</v>
      </c>
      <c r="H21" s="99">
        <f>3011146+214800</f>
        <v>3225946</v>
      </c>
      <c r="I21" s="99"/>
      <c r="J21" s="99">
        <f>L21+O21</f>
        <v>0</v>
      </c>
      <c r="K21" s="99">
        <v>0</v>
      </c>
      <c r="L21" s="99"/>
      <c r="M21" s="99"/>
      <c r="N21" s="99"/>
      <c r="O21" s="99">
        <v>0</v>
      </c>
      <c r="P21" s="99">
        <f t="shared" ref="P21:P62" si="10">E21+J21</f>
        <v>113179546</v>
      </c>
      <c r="Q21" s="23"/>
      <c r="R21" s="32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hidden="1" customHeight="1" x14ac:dyDescent="0.25">
      <c r="A22" s="59" t="s">
        <v>452</v>
      </c>
      <c r="B22" s="59" t="s">
        <v>90</v>
      </c>
      <c r="C22" s="59" t="s">
        <v>462</v>
      </c>
      <c r="D22" s="36" t="s">
        <v>453</v>
      </c>
      <c r="E22" s="99">
        <f t="shared" si="9"/>
        <v>0</v>
      </c>
      <c r="F22" s="99">
        <f>200000-200000</f>
        <v>0</v>
      </c>
      <c r="G22" s="99"/>
      <c r="H22" s="99"/>
      <c r="I22" s="99"/>
      <c r="J22" s="99">
        <f>L22+O22</f>
        <v>0</v>
      </c>
      <c r="K22" s="99"/>
      <c r="L22" s="99"/>
      <c r="M22" s="99"/>
      <c r="N22" s="99"/>
      <c r="O22" s="99"/>
      <c r="P22" s="99">
        <f t="shared" si="10"/>
        <v>0</v>
      </c>
      <c r="Q22" s="23"/>
      <c r="R22" s="3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59" t="s">
        <v>241</v>
      </c>
      <c r="B23" s="93" t="str">
        <f>'дод 8'!A21</f>
        <v>0180</v>
      </c>
      <c r="C23" s="93" t="str">
        <f>'дод 8'!B21</f>
        <v>0133</v>
      </c>
      <c r="D23" s="60" t="str">
        <f>'дод 8'!C21</f>
        <v>Інша діяльність у сфері державного управління</v>
      </c>
      <c r="E23" s="99">
        <f t="shared" si="9"/>
        <v>396000</v>
      </c>
      <c r="F23" s="99">
        <v>396000</v>
      </c>
      <c r="G23" s="99"/>
      <c r="H23" s="99"/>
      <c r="I23" s="99"/>
      <c r="J23" s="99">
        <f t="shared" ref="J23:J25" si="11">L23+O23</f>
        <v>0</v>
      </c>
      <c r="K23" s="99"/>
      <c r="L23" s="99"/>
      <c r="M23" s="99"/>
      <c r="N23" s="99"/>
      <c r="O23" s="99"/>
      <c r="P23" s="99">
        <f t="shared" si="10"/>
        <v>396000</v>
      </c>
      <c r="Q23" s="23"/>
      <c r="R23" s="3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59" t="s">
        <v>434</v>
      </c>
      <c r="B24" s="59" t="s">
        <v>435</v>
      </c>
      <c r="C24" s="59" t="s">
        <v>119</v>
      </c>
      <c r="D24" s="60" t="s">
        <v>436</v>
      </c>
      <c r="E24" s="99">
        <f t="shared" si="9"/>
        <v>0</v>
      </c>
      <c r="F24" s="99"/>
      <c r="G24" s="99"/>
      <c r="H24" s="99"/>
      <c r="I24" s="99"/>
      <c r="J24" s="99">
        <f t="shared" si="11"/>
        <v>0</v>
      </c>
      <c r="K24" s="99"/>
      <c r="L24" s="99"/>
      <c r="M24" s="99"/>
      <c r="N24" s="99"/>
      <c r="O24" s="99"/>
      <c r="P24" s="99">
        <f t="shared" si="10"/>
        <v>0</v>
      </c>
      <c r="Q24" s="23"/>
      <c r="R24" s="32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4"/>
      <c r="B25" s="100"/>
      <c r="C25" s="100"/>
      <c r="D25" s="87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1">
        <f t="shared" si="9"/>
        <v>0</v>
      </c>
      <c r="F25" s="101"/>
      <c r="G25" s="101"/>
      <c r="H25" s="101"/>
      <c r="I25" s="101"/>
      <c r="J25" s="101">
        <f t="shared" si="11"/>
        <v>0</v>
      </c>
      <c r="K25" s="101"/>
      <c r="L25" s="101"/>
      <c r="M25" s="101"/>
      <c r="N25" s="101"/>
      <c r="O25" s="101"/>
      <c r="P25" s="101">
        <f t="shared" si="10"/>
        <v>0</v>
      </c>
      <c r="Q25" s="30"/>
      <c r="R25" s="3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6.5" customHeight="1" x14ac:dyDescent="0.25">
      <c r="A26" s="59" t="s">
        <v>257</v>
      </c>
      <c r="B26" s="93" t="str">
        <f>'дод 8'!A108</f>
        <v>3033</v>
      </c>
      <c r="C26" s="93" t="str">
        <f>'дод 8'!B108</f>
        <v>1070</v>
      </c>
      <c r="D26" s="60" t="s">
        <v>411</v>
      </c>
      <c r="E26" s="99">
        <f t="shared" si="9"/>
        <v>350460</v>
      </c>
      <c r="F26" s="99">
        <f>314360+36100</f>
        <v>350460</v>
      </c>
      <c r="G26" s="99"/>
      <c r="H26" s="99"/>
      <c r="I26" s="99"/>
      <c r="J26" s="99">
        <f t="shared" ref="J26:J62" si="12">L26+O26</f>
        <v>0</v>
      </c>
      <c r="K26" s="99"/>
      <c r="L26" s="99"/>
      <c r="M26" s="99"/>
      <c r="N26" s="99"/>
      <c r="O26" s="99"/>
      <c r="P26" s="99">
        <f t="shared" si="10"/>
        <v>350460</v>
      </c>
      <c r="Q26" s="23"/>
      <c r="R26" s="3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59" t="s">
        <v>152</v>
      </c>
      <c r="B27" s="93" t="str">
        <f>'дод 8'!A111</f>
        <v>3036</v>
      </c>
      <c r="C27" s="93" t="str">
        <f>'дод 8'!B111</f>
        <v>1070</v>
      </c>
      <c r="D27" s="60" t="str">
        <f>'дод 8'!C111</f>
        <v>Компенсаційні виплати на пільговий проїзд електротранспортом окремим категоріям громадян</v>
      </c>
      <c r="E27" s="99">
        <f t="shared" si="9"/>
        <v>467186</v>
      </c>
      <c r="F27" s="99">
        <f>465886-45400+46700</f>
        <v>467186</v>
      </c>
      <c r="G27" s="99"/>
      <c r="H27" s="99"/>
      <c r="I27" s="99"/>
      <c r="J27" s="99">
        <f t="shared" si="12"/>
        <v>0</v>
      </c>
      <c r="K27" s="99"/>
      <c r="L27" s="99"/>
      <c r="M27" s="99"/>
      <c r="N27" s="99"/>
      <c r="O27" s="99"/>
      <c r="P27" s="99">
        <f t="shared" si="10"/>
        <v>467186</v>
      </c>
      <c r="Q27" s="23"/>
      <c r="R27" s="3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59" t="s">
        <v>153</v>
      </c>
      <c r="B28" s="93" t="str">
        <f>'дод 8'!A119</f>
        <v>3121</v>
      </c>
      <c r="C28" s="93" t="str">
        <f>'дод 8'!B119</f>
        <v>1040</v>
      </c>
      <c r="D28" s="60" t="s">
        <v>501</v>
      </c>
      <c r="E28" s="99">
        <f t="shared" si="9"/>
        <v>3220140</v>
      </c>
      <c r="F28" s="99">
        <f>3210440+9700</f>
        <v>3220140</v>
      </c>
      <c r="G28" s="99">
        <v>2407050</v>
      </c>
      <c r="H28" s="99">
        <f>43630+9700</f>
        <v>53330</v>
      </c>
      <c r="I28" s="99"/>
      <c r="J28" s="99">
        <f t="shared" si="12"/>
        <v>0</v>
      </c>
      <c r="K28" s="99"/>
      <c r="L28" s="99"/>
      <c r="M28" s="99"/>
      <c r="N28" s="99"/>
      <c r="O28" s="99"/>
      <c r="P28" s="99">
        <f t="shared" si="10"/>
        <v>3220140</v>
      </c>
      <c r="Q28" s="23"/>
      <c r="R28" s="3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59" t="s">
        <v>154</v>
      </c>
      <c r="B29" s="93" t="str">
        <f>'дод 8'!A120</f>
        <v>3131</v>
      </c>
      <c r="C29" s="93" t="str">
        <f>'дод 8'!B120</f>
        <v>1040</v>
      </c>
      <c r="D29" s="60" t="str">
        <f>'дод 8'!C120</f>
        <v>Здійснення заходів та реалізація проектів на виконання Державної цільової соціальної програми "Молодь України"</v>
      </c>
      <c r="E29" s="99">
        <f t="shared" si="9"/>
        <v>783850</v>
      </c>
      <c r="F29" s="99">
        <v>783850</v>
      </c>
      <c r="G29" s="99"/>
      <c r="H29" s="99"/>
      <c r="I29" s="99"/>
      <c r="J29" s="99">
        <f t="shared" si="12"/>
        <v>0</v>
      </c>
      <c r="K29" s="99"/>
      <c r="L29" s="99"/>
      <c r="M29" s="99"/>
      <c r="N29" s="99"/>
      <c r="O29" s="99"/>
      <c r="P29" s="99">
        <f t="shared" si="10"/>
        <v>783850</v>
      </c>
      <c r="Q29" s="23"/>
      <c r="R29" s="3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78.75" x14ac:dyDescent="0.25">
      <c r="A30" s="59" t="s">
        <v>155</v>
      </c>
      <c r="B30" s="93" t="str">
        <f>'дод 8'!A121</f>
        <v>3140</v>
      </c>
      <c r="C30" s="93" t="str">
        <f>'дод 8'!B121</f>
        <v>1040</v>
      </c>
      <c r="D30" s="60" t="s">
        <v>20</v>
      </c>
      <c r="E30" s="99">
        <f t="shared" si="9"/>
        <v>280000</v>
      </c>
      <c r="F30" s="99">
        <v>280000</v>
      </c>
      <c r="G30" s="99"/>
      <c r="H30" s="99"/>
      <c r="I30" s="99"/>
      <c r="J30" s="99">
        <f t="shared" si="12"/>
        <v>0</v>
      </c>
      <c r="K30" s="99"/>
      <c r="L30" s="99"/>
      <c r="M30" s="99"/>
      <c r="N30" s="99"/>
      <c r="O30" s="99"/>
      <c r="P30" s="99">
        <f t="shared" si="10"/>
        <v>280000</v>
      </c>
      <c r="Q30" s="23"/>
      <c r="R30" s="3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59" t="s">
        <v>305</v>
      </c>
      <c r="B31" s="93" t="str">
        <f>'дод 8'!A138</f>
        <v>3241</v>
      </c>
      <c r="C31" s="93" t="str">
        <f>'дод 8'!B138</f>
        <v>1090</v>
      </c>
      <c r="D31" s="60" t="str">
        <f>'дод 8'!C138</f>
        <v>Забезпечення діяльності інших закладів у сфері соціального захисту і соціального забезпечення</v>
      </c>
      <c r="E31" s="99">
        <f t="shared" si="9"/>
        <v>1552892</v>
      </c>
      <c r="F31" s="99">
        <f>1539992+12900</f>
        <v>1552892</v>
      </c>
      <c r="G31" s="99">
        <v>1078950</v>
      </c>
      <c r="H31" s="99">
        <f>118232+12900</f>
        <v>131132</v>
      </c>
      <c r="I31" s="99"/>
      <c r="J31" s="99">
        <f t="shared" si="12"/>
        <v>0</v>
      </c>
      <c r="K31" s="99"/>
      <c r="L31" s="99"/>
      <c r="M31" s="99"/>
      <c r="N31" s="99"/>
      <c r="O31" s="99"/>
      <c r="P31" s="99">
        <f t="shared" si="10"/>
        <v>1552892</v>
      </c>
      <c r="Q31" s="23"/>
      <c r="R31" s="3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59" t="s">
        <v>306</v>
      </c>
      <c r="B32" s="93" t="str">
        <f>'дод 8'!A139</f>
        <v>3242</v>
      </c>
      <c r="C32" s="93" t="str">
        <f>'дод 8'!B139</f>
        <v>1090</v>
      </c>
      <c r="D32" s="60" t="s">
        <v>412</v>
      </c>
      <c r="E32" s="99">
        <f t="shared" si="9"/>
        <v>257400</v>
      </c>
      <c r="F32" s="99">
        <v>257400</v>
      </c>
      <c r="G32" s="99"/>
      <c r="H32" s="99"/>
      <c r="I32" s="99"/>
      <c r="J32" s="99">
        <f t="shared" si="12"/>
        <v>0</v>
      </c>
      <c r="K32" s="99"/>
      <c r="L32" s="99"/>
      <c r="M32" s="99"/>
      <c r="N32" s="99"/>
      <c r="O32" s="99"/>
      <c r="P32" s="99">
        <f t="shared" si="10"/>
        <v>257400</v>
      </c>
      <c r="Q32" s="23"/>
      <c r="R32" s="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49.5" customHeight="1" x14ac:dyDescent="0.25">
      <c r="A33" s="59" t="s">
        <v>318</v>
      </c>
      <c r="B33" s="93" t="str">
        <f>'дод 8'!A143</f>
        <v>4060</v>
      </c>
      <c r="C33" s="93" t="str">
        <f>'дод 8'!B143</f>
        <v>0828</v>
      </c>
      <c r="D33" s="60" t="s">
        <v>321</v>
      </c>
      <c r="E33" s="99">
        <f t="shared" si="9"/>
        <v>4909309</v>
      </c>
      <c r="F33" s="102">
        <f>4945509-36200</f>
        <v>4909309</v>
      </c>
      <c r="G33" s="99">
        <v>2526200</v>
      </c>
      <c r="H33" s="99">
        <f>724709-36200</f>
        <v>688509</v>
      </c>
      <c r="I33" s="99"/>
      <c r="J33" s="99">
        <f t="shared" si="12"/>
        <v>0</v>
      </c>
      <c r="K33" s="99"/>
      <c r="L33" s="99"/>
      <c r="M33" s="99"/>
      <c r="N33" s="99"/>
      <c r="O33" s="99"/>
      <c r="P33" s="99">
        <f t="shared" si="10"/>
        <v>4909309</v>
      </c>
      <c r="Q33" s="23"/>
      <c r="R33" s="3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59" t="s">
        <v>303</v>
      </c>
      <c r="B34" s="93" t="str">
        <f>'дод 8'!A144</f>
        <v>4081</v>
      </c>
      <c r="C34" s="93" t="str">
        <f>'дод 8'!B144</f>
        <v>0829</v>
      </c>
      <c r="D34" s="60" t="s">
        <v>343</v>
      </c>
      <c r="E34" s="99">
        <f t="shared" si="9"/>
        <v>3073881</v>
      </c>
      <c r="F34" s="99">
        <f>2963381+92000+18500</f>
        <v>3073881</v>
      </c>
      <c r="G34" s="99">
        <f>1687000-15000</f>
        <v>1672000</v>
      </c>
      <c r="H34" s="99">
        <f>93181+18500</f>
        <v>111681</v>
      </c>
      <c r="I34" s="99"/>
      <c r="J34" s="99">
        <f t="shared" si="12"/>
        <v>65000</v>
      </c>
      <c r="K34" s="99">
        <v>65000</v>
      </c>
      <c r="L34" s="99"/>
      <c r="M34" s="99"/>
      <c r="N34" s="99"/>
      <c r="O34" s="99">
        <v>65000</v>
      </c>
      <c r="P34" s="99">
        <f t="shared" si="10"/>
        <v>3138881</v>
      </c>
      <c r="Q34" s="23"/>
      <c r="R34" s="3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59" t="s">
        <v>304</v>
      </c>
      <c r="B35" s="93" t="str">
        <f>'дод 8'!A145</f>
        <v>4082</v>
      </c>
      <c r="C35" s="93" t="str">
        <f>'дод 8'!B145</f>
        <v>0829</v>
      </c>
      <c r="D35" s="60" t="s">
        <v>295</v>
      </c>
      <c r="E35" s="99">
        <f t="shared" si="9"/>
        <v>417511</v>
      </c>
      <c r="F35" s="99">
        <f>424181-6670</f>
        <v>417511</v>
      </c>
      <c r="G35" s="99"/>
      <c r="H35" s="99"/>
      <c r="I35" s="99"/>
      <c r="J35" s="99">
        <f t="shared" si="12"/>
        <v>0</v>
      </c>
      <c r="K35" s="99"/>
      <c r="L35" s="99"/>
      <c r="M35" s="99"/>
      <c r="N35" s="99"/>
      <c r="O35" s="99"/>
      <c r="P35" s="99">
        <f t="shared" si="10"/>
        <v>417511</v>
      </c>
      <c r="Q35" s="23"/>
      <c r="R35" s="3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3" t="s">
        <v>156</v>
      </c>
      <c r="B36" s="42" t="str">
        <f>'дод 8'!A148</f>
        <v>5011</v>
      </c>
      <c r="C36" s="42" t="str">
        <f>'дод 8'!B148</f>
        <v>0810</v>
      </c>
      <c r="D36" s="36" t="s">
        <v>21</v>
      </c>
      <c r="E36" s="99">
        <f t="shared" si="9"/>
        <v>710000</v>
      </c>
      <c r="F36" s="99">
        <v>710000</v>
      </c>
      <c r="G36" s="99"/>
      <c r="H36" s="99"/>
      <c r="I36" s="99"/>
      <c r="J36" s="99">
        <f t="shared" si="12"/>
        <v>0</v>
      </c>
      <c r="K36" s="99"/>
      <c r="L36" s="99"/>
      <c r="M36" s="99"/>
      <c r="N36" s="99"/>
      <c r="O36" s="99"/>
      <c r="P36" s="99">
        <f t="shared" si="10"/>
        <v>710000</v>
      </c>
      <c r="Q36" s="23"/>
      <c r="R36" s="3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3" t="s">
        <v>157</v>
      </c>
      <c r="B37" s="42" t="str">
        <f>'дод 8'!A149</f>
        <v>5012</v>
      </c>
      <c r="C37" s="42" t="str">
        <f>'дод 8'!B149</f>
        <v>0810</v>
      </c>
      <c r="D37" s="36" t="s">
        <v>16</v>
      </c>
      <c r="E37" s="99">
        <f t="shared" si="9"/>
        <v>1031480</v>
      </c>
      <c r="F37" s="99">
        <v>1031480</v>
      </c>
      <c r="G37" s="99"/>
      <c r="H37" s="99"/>
      <c r="I37" s="99"/>
      <c r="J37" s="99">
        <f t="shared" si="12"/>
        <v>0</v>
      </c>
      <c r="K37" s="99"/>
      <c r="L37" s="99"/>
      <c r="M37" s="99"/>
      <c r="N37" s="99"/>
      <c r="O37" s="99"/>
      <c r="P37" s="99">
        <f t="shared" si="10"/>
        <v>1031480</v>
      </c>
      <c r="Q37" s="23"/>
      <c r="R37" s="3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4.5" customHeight="1" x14ac:dyDescent="0.25">
      <c r="A38" s="103" t="s">
        <v>158</v>
      </c>
      <c r="B38" s="42" t="str">
        <f>'дод 8'!A150</f>
        <v>5031</v>
      </c>
      <c r="C38" s="42" t="str">
        <f>'дод 8'!B150</f>
        <v>0810</v>
      </c>
      <c r="D38" s="36" t="s">
        <v>605</v>
      </c>
      <c r="E38" s="99">
        <f t="shared" si="9"/>
        <v>18195883</v>
      </c>
      <c r="F38" s="99">
        <f>18039683+5000+81600+69600</f>
        <v>18195883</v>
      </c>
      <c r="G38" s="99">
        <f>12968625-3090+66900</f>
        <v>13032435</v>
      </c>
      <c r="H38" s="99">
        <f>840273+69600</f>
        <v>909873</v>
      </c>
      <c r="I38" s="99"/>
      <c r="J38" s="99">
        <f t="shared" si="12"/>
        <v>200700</v>
      </c>
      <c r="K38" s="99">
        <v>200700</v>
      </c>
      <c r="L38" s="99"/>
      <c r="M38" s="99"/>
      <c r="N38" s="99"/>
      <c r="O38" s="99">
        <v>200700</v>
      </c>
      <c r="P38" s="99">
        <f t="shared" si="10"/>
        <v>18396583</v>
      </c>
      <c r="Q38" s="23"/>
      <c r="R38" s="3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3" t="s">
        <v>357</v>
      </c>
      <c r="B39" s="42" t="str">
        <f>'дод 8'!A152</f>
        <v>5032</v>
      </c>
      <c r="C39" s="42" t="str">
        <f>'дод 8'!B152</f>
        <v>0810</v>
      </c>
      <c r="D39" s="36" t="s">
        <v>22</v>
      </c>
      <c r="E39" s="99">
        <f t="shared" si="9"/>
        <v>14979942</v>
      </c>
      <c r="F39" s="99">
        <f>14952642+10000+17300</f>
        <v>14979942</v>
      </c>
      <c r="G39" s="99"/>
      <c r="H39" s="99"/>
      <c r="I39" s="99"/>
      <c r="J39" s="99">
        <f t="shared" si="12"/>
        <v>372100</v>
      </c>
      <c r="K39" s="99">
        <v>372100</v>
      </c>
      <c r="L39" s="99"/>
      <c r="M39" s="99"/>
      <c r="N39" s="99"/>
      <c r="O39" s="99">
        <v>372100</v>
      </c>
      <c r="P39" s="99">
        <f t="shared" si="10"/>
        <v>15352042</v>
      </c>
      <c r="Q39" s="23"/>
      <c r="R39" s="3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3" t="s">
        <v>159</v>
      </c>
      <c r="B40" s="42" t="str">
        <f>'дод 8'!A153</f>
        <v>5061</v>
      </c>
      <c r="C40" s="42" t="str">
        <f>'дод 8'!B153</f>
        <v>0810</v>
      </c>
      <c r="D40" s="36" t="str">
        <f>'дод 8'!C153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99">
        <f t="shared" si="9"/>
        <v>5088784</v>
      </c>
      <c r="F40" s="99">
        <f>4983184+105600</f>
        <v>5088784</v>
      </c>
      <c r="G40" s="99">
        <v>2987400</v>
      </c>
      <c r="H40" s="99">
        <f>319039+105600</f>
        <v>424639</v>
      </c>
      <c r="I40" s="99"/>
      <c r="J40" s="99">
        <f t="shared" si="12"/>
        <v>1742994</v>
      </c>
      <c r="K40" s="99">
        <v>1530000</v>
      </c>
      <c r="L40" s="99">
        <v>212994</v>
      </c>
      <c r="M40" s="99">
        <v>119291</v>
      </c>
      <c r="N40" s="99">
        <v>50432</v>
      </c>
      <c r="O40" s="99">
        <v>1530000</v>
      </c>
      <c r="P40" s="99">
        <f t="shared" si="10"/>
        <v>6831778</v>
      </c>
      <c r="Q40" s="23"/>
      <c r="R40" s="32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3" t="s">
        <v>349</v>
      </c>
      <c r="B41" s="42" t="str">
        <f>'дод 8'!A154</f>
        <v>5062</v>
      </c>
      <c r="C41" s="42" t="str">
        <f>'дод 8'!B154</f>
        <v>0810</v>
      </c>
      <c r="D41" s="36" t="str">
        <f>'дод 8'!C154</f>
        <v>Підтримка спорту вищих досягнень та організацій, які здійснюють фізкультурно-спортивну діяльність в регіоні</v>
      </c>
      <c r="E41" s="99">
        <f t="shared" si="9"/>
        <v>15566395</v>
      </c>
      <c r="F41" s="99">
        <f>14968695+500000+47700+50000</f>
        <v>15566395</v>
      </c>
      <c r="G41" s="99"/>
      <c r="H41" s="99"/>
      <c r="I41" s="99"/>
      <c r="J41" s="99">
        <f t="shared" si="12"/>
        <v>0</v>
      </c>
      <c r="K41" s="99"/>
      <c r="L41" s="99"/>
      <c r="M41" s="99"/>
      <c r="N41" s="99"/>
      <c r="O41" s="99"/>
      <c r="P41" s="99">
        <f t="shared" si="10"/>
        <v>15566395</v>
      </c>
      <c r="Q41" s="23"/>
      <c r="R41" s="32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3" t="s">
        <v>414</v>
      </c>
      <c r="B42" s="42">
        <v>7325</v>
      </c>
      <c r="C42" s="73" t="s">
        <v>111</v>
      </c>
      <c r="D42" s="6" t="s">
        <v>546</v>
      </c>
      <c r="E42" s="99">
        <f t="shared" si="9"/>
        <v>0</v>
      </c>
      <c r="F42" s="99"/>
      <c r="G42" s="99"/>
      <c r="H42" s="99"/>
      <c r="I42" s="99"/>
      <c r="J42" s="99">
        <f t="shared" si="12"/>
        <v>9790000</v>
      </c>
      <c r="K42" s="99">
        <v>9790000</v>
      </c>
      <c r="L42" s="99"/>
      <c r="M42" s="99"/>
      <c r="N42" s="99"/>
      <c r="O42" s="99">
        <v>9790000</v>
      </c>
      <c r="P42" s="99">
        <f t="shared" si="10"/>
        <v>9790000</v>
      </c>
      <c r="Q42" s="23"/>
      <c r="R42" s="3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3" t="s">
        <v>415</v>
      </c>
      <c r="B43" s="42">
        <v>7330</v>
      </c>
      <c r="C43" s="73" t="s">
        <v>111</v>
      </c>
      <c r="D43" s="6" t="s">
        <v>547</v>
      </c>
      <c r="E43" s="99">
        <f t="shared" si="9"/>
        <v>0</v>
      </c>
      <c r="F43" s="99"/>
      <c r="G43" s="99"/>
      <c r="H43" s="99"/>
      <c r="I43" s="99"/>
      <c r="J43" s="99">
        <f t="shared" si="12"/>
        <v>400000</v>
      </c>
      <c r="K43" s="99">
        <v>400000</v>
      </c>
      <c r="L43" s="99"/>
      <c r="M43" s="99"/>
      <c r="N43" s="99"/>
      <c r="O43" s="99">
        <v>400000</v>
      </c>
      <c r="P43" s="99">
        <f t="shared" si="10"/>
        <v>400000</v>
      </c>
      <c r="Q43" s="23"/>
      <c r="R43" s="3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3" t="s">
        <v>160</v>
      </c>
      <c r="B44" s="42" t="str">
        <f>'дод 8'!A198</f>
        <v>7412</v>
      </c>
      <c r="C44" s="42" t="str">
        <f>'дод 8'!B198</f>
        <v>0451</v>
      </c>
      <c r="D44" s="36" t="str">
        <f>'дод 8'!C198</f>
        <v>Регулювання цін на послуги місцевого автотранспорту</v>
      </c>
      <c r="E44" s="99">
        <f t="shared" si="9"/>
        <v>6542500</v>
      </c>
      <c r="F44" s="99"/>
      <c r="G44" s="99"/>
      <c r="H44" s="99"/>
      <c r="I44" s="99">
        <v>6542500</v>
      </c>
      <c r="J44" s="99">
        <f t="shared" si="12"/>
        <v>0</v>
      </c>
      <c r="K44" s="99"/>
      <c r="L44" s="99"/>
      <c r="M44" s="99"/>
      <c r="N44" s="99"/>
      <c r="O44" s="99"/>
      <c r="P44" s="99">
        <f t="shared" si="10"/>
        <v>6542500</v>
      </c>
      <c r="Q44" s="23"/>
      <c r="R44" s="32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3" t="s">
        <v>377</v>
      </c>
      <c r="B45" s="42">
        <f>'дод 8'!A199</f>
        <v>7413</v>
      </c>
      <c r="C45" s="42" t="str">
        <f>'дод 8'!B199</f>
        <v>0451</v>
      </c>
      <c r="D45" s="104" t="str">
        <f>'дод 8'!C199</f>
        <v>Інші заходи у сфері автотранспорту</v>
      </c>
      <c r="E45" s="99">
        <f t="shared" si="9"/>
        <v>12800000</v>
      </c>
      <c r="F45" s="99"/>
      <c r="G45" s="99"/>
      <c r="H45" s="99"/>
      <c r="I45" s="99">
        <v>12800000</v>
      </c>
      <c r="J45" s="99">
        <f t="shared" si="12"/>
        <v>0</v>
      </c>
      <c r="K45" s="99"/>
      <c r="L45" s="99"/>
      <c r="M45" s="99"/>
      <c r="N45" s="99"/>
      <c r="O45" s="99"/>
      <c r="P45" s="99">
        <f t="shared" si="10"/>
        <v>12800000</v>
      </c>
      <c r="Q45" s="23"/>
      <c r="R45" s="3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31.5" x14ac:dyDescent="0.25">
      <c r="A46" s="103" t="s">
        <v>567</v>
      </c>
      <c r="B46" s="42">
        <v>7422</v>
      </c>
      <c r="C46" s="103" t="s">
        <v>413</v>
      </c>
      <c r="D46" s="104" t="s">
        <v>568</v>
      </c>
      <c r="E46" s="99">
        <f t="shared" si="9"/>
        <v>5893900</v>
      </c>
      <c r="F46" s="99"/>
      <c r="G46" s="99"/>
      <c r="H46" s="99"/>
      <c r="I46" s="99">
        <f>4314400+1579500</f>
        <v>5893900</v>
      </c>
      <c r="J46" s="99">
        <f t="shared" si="12"/>
        <v>0</v>
      </c>
      <c r="K46" s="99"/>
      <c r="L46" s="99"/>
      <c r="M46" s="99"/>
      <c r="N46" s="99"/>
      <c r="O46" s="99"/>
      <c r="P46" s="99">
        <f t="shared" si="10"/>
        <v>5893900</v>
      </c>
      <c r="Q46" s="23"/>
      <c r="R46" s="3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3" t="s">
        <v>378</v>
      </c>
      <c r="B47" s="42">
        <f>'дод 8'!A201</f>
        <v>7426</v>
      </c>
      <c r="C47" s="103" t="s">
        <v>413</v>
      </c>
      <c r="D47" s="104" t="str">
        <f>'дод 8'!C201</f>
        <v>Інші заходи у сфері електротранспорту</v>
      </c>
      <c r="E47" s="99">
        <f t="shared" si="9"/>
        <v>37442296</v>
      </c>
      <c r="F47" s="99"/>
      <c r="G47" s="99"/>
      <c r="H47" s="99"/>
      <c r="I47" s="99">
        <v>37442296</v>
      </c>
      <c r="J47" s="99">
        <f t="shared" si="12"/>
        <v>0</v>
      </c>
      <c r="K47" s="99"/>
      <c r="L47" s="99"/>
      <c r="M47" s="99"/>
      <c r="N47" s="99"/>
      <c r="O47" s="99"/>
      <c r="P47" s="99">
        <f t="shared" si="10"/>
        <v>37442296</v>
      </c>
      <c r="Q47" s="23"/>
      <c r="R47" s="3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24" customHeight="1" x14ac:dyDescent="0.25">
      <c r="A48" s="103" t="s">
        <v>454</v>
      </c>
      <c r="B48" s="103" t="s">
        <v>455</v>
      </c>
      <c r="C48" s="103" t="s">
        <v>400</v>
      </c>
      <c r="D48" s="104" t="s">
        <v>461</v>
      </c>
      <c r="E48" s="99">
        <f t="shared" si="9"/>
        <v>140000</v>
      </c>
      <c r="F48" s="99">
        <v>140000</v>
      </c>
      <c r="G48" s="99"/>
      <c r="H48" s="99"/>
      <c r="I48" s="99"/>
      <c r="J48" s="99">
        <f t="shared" si="12"/>
        <v>0</v>
      </c>
      <c r="K48" s="99"/>
      <c r="L48" s="99"/>
      <c r="M48" s="99"/>
      <c r="N48" s="99"/>
      <c r="O48" s="99"/>
      <c r="P48" s="99">
        <f t="shared" si="10"/>
        <v>140000</v>
      </c>
      <c r="Q48" s="23"/>
      <c r="R48" s="3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0.75" customHeight="1" x14ac:dyDescent="0.25">
      <c r="A49" s="103" t="s">
        <v>233</v>
      </c>
      <c r="B49" s="42" t="str">
        <f>'дод 8'!A211</f>
        <v>7530</v>
      </c>
      <c r="C49" s="42" t="str">
        <f>'дод 8'!B211</f>
        <v>0460</v>
      </c>
      <c r="D49" s="36" t="s">
        <v>234</v>
      </c>
      <c r="E49" s="99">
        <f t="shared" si="9"/>
        <v>6490000</v>
      </c>
      <c r="F49" s="99">
        <f>7250000-280000-480000</f>
        <v>6490000</v>
      </c>
      <c r="G49" s="99"/>
      <c r="H49" s="99"/>
      <c r="I49" s="99"/>
      <c r="J49" s="99">
        <f t="shared" si="12"/>
        <v>3910000</v>
      </c>
      <c r="K49" s="99">
        <f>3150000+280000+480000</f>
        <v>3910000</v>
      </c>
      <c r="L49" s="99"/>
      <c r="M49" s="99"/>
      <c r="N49" s="99"/>
      <c r="O49" s="99">
        <f>3150000+280000+480000</f>
        <v>3910000</v>
      </c>
      <c r="P49" s="99">
        <f t="shared" si="10"/>
        <v>10400000</v>
      </c>
      <c r="Q49" s="23"/>
      <c r="R49" s="3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1.5" customHeight="1" x14ac:dyDescent="0.25">
      <c r="A50" s="103" t="s">
        <v>161</v>
      </c>
      <c r="B50" s="42" t="str">
        <f>'дод 8'!A214</f>
        <v>7610</v>
      </c>
      <c r="C50" s="42" t="str">
        <f>'дод 8'!B214</f>
        <v>0411</v>
      </c>
      <c r="D50" s="36" t="str">
        <f>'дод 8'!C214</f>
        <v>Сприяння розвитку малого та середнього підприємництва</v>
      </c>
      <c r="E50" s="99">
        <f t="shared" si="9"/>
        <v>60000</v>
      </c>
      <c r="F50" s="99">
        <v>60000</v>
      </c>
      <c r="G50" s="99"/>
      <c r="H50" s="99"/>
      <c r="I50" s="99"/>
      <c r="J50" s="99">
        <f t="shared" si="12"/>
        <v>0</v>
      </c>
      <c r="K50" s="99"/>
      <c r="L50" s="99"/>
      <c r="M50" s="99"/>
      <c r="N50" s="99"/>
      <c r="O50" s="99"/>
      <c r="P50" s="99">
        <f t="shared" si="10"/>
        <v>60000</v>
      </c>
      <c r="Q50" s="23"/>
      <c r="R50" s="3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3.75" customHeight="1" x14ac:dyDescent="0.25">
      <c r="A51" s="103" t="s">
        <v>162</v>
      </c>
      <c r="B51" s="42" t="str">
        <f>'дод 8'!A219</f>
        <v>7670</v>
      </c>
      <c r="C51" s="42" t="str">
        <f>'дод 8'!B219</f>
        <v>0490</v>
      </c>
      <c r="D51" s="36" t="s">
        <v>24</v>
      </c>
      <c r="E51" s="99">
        <f t="shared" si="9"/>
        <v>0</v>
      </c>
      <c r="F51" s="99"/>
      <c r="G51" s="99"/>
      <c r="H51" s="99"/>
      <c r="I51" s="99"/>
      <c r="J51" s="99">
        <f t="shared" si="12"/>
        <v>18997900</v>
      </c>
      <c r="K51" s="99">
        <v>18997900</v>
      </c>
      <c r="L51" s="99"/>
      <c r="M51" s="99"/>
      <c r="N51" s="99"/>
      <c r="O51" s="99">
        <v>18997900</v>
      </c>
      <c r="P51" s="99">
        <f t="shared" si="10"/>
        <v>18997900</v>
      </c>
      <c r="Q51" s="23"/>
      <c r="R51" s="3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36.75" customHeight="1" x14ac:dyDescent="0.25">
      <c r="A52" s="103" t="s">
        <v>247</v>
      </c>
      <c r="B52" s="42" t="str">
        <f>'дод 8'!A221</f>
        <v>7680</v>
      </c>
      <c r="C52" s="42" t="str">
        <f>'дод 8'!B221</f>
        <v>0490</v>
      </c>
      <c r="D52" s="36" t="str">
        <f>'дод 8'!C221</f>
        <v>Членські внески до асоціацій органів місцевого самоврядування</v>
      </c>
      <c r="E52" s="99">
        <f t="shared" si="9"/>
        <v>356337</v>
      </c>
      <c r="F52" s="99">
        <v>356337</v>
      </c>
      <c r="G52" s="99"/>
      <c r="H52" s="99"/>
      <c r="I52" s="99"/>
      <c r="J52" s="99">
        <f t="shared" si="12"/>
        <v>0</v>
      </c>
      <c r="K52" s="99"/>
      <c r="L52" s="99"/>
      <c r="M52" s="99"/>
      <c r="N52" s="99"/>
      <c r="O52" s="99"/>
      <c r="P52" s="99">
        <f t="shared" si="10"/>
        <v>356337</v>
      </c>
      <c r="Q52" s="23"/>
      <c r="R52" s="3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120.75" customHeight="1" x14ac:dyDescent="0.25">
      <c r="A53" s="103" t="s">
        <v>301</v>
      </c>
      <c r="B53" s="42" t="str">
        <f>'дод 8'!A222</f>
        <v>7691</v>
      </c>
      <c r="C53" s="42" t="str">
        <f>'дод 8'!B222</f>
        <v>0490</v>
      </c>
      <c r="D53" s="36" t="str">
        <f>'дод 8'!C222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99">
        <f t="shared" si="9"/>
        <v>0</v>
      </c>
      <c r="F53" s="99"/>
      <c r="G53" s="99"/>
      <c r="H53" s="99"/>
      <c r="I53" s="99"/>
      <c r="J53" s="99">
        <f t="shared" si="12"/>
        <v>54101</v>
      </c>
      <c r="K53" s="99"/>
      <c r="L53" s="99">
        <v>54101</v>
      </c>
      <c r="M53" s="99"/>
      <c r="N53" s="99"/>
      <c r="O53" s="99"/>
      <c r="P53" s="99">
        <f t="shared" si="10"/>
        <v>54101</v>
      </c>
      <c r="Q53" s="23"/>
      <c r="R53" s="3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23.25" customHeight="1" x14ac:dyDescent="0.25">
      <c r="A54" s="103" t="s">
        <v>240</v>
      </c>
      <c r="B54" s="42" t="str">
        <f>'дод 8'!A223</f>
        <v>7693</v>
      </c>
      <c r="C54" s="42" t="str">
        <f>'дод 8'!B223</f>
        <v>0490</v>
      </c>
      <c r="D54" s="36" t="str">
        <f>'дод 8'!C223</f>
        <v>Інші заходи, пов'язані з економічною діяльністю</v>
      </c>
      <c r="E54" s="99">
        <f t="shared" si="9"/>
        <v>626596</v>
      </c>
      <c r="F54" s="99">
        <f>668626-42030</f>
        <v>626596</v>
      </c>
      <c r="G54" s="99"/>
      <c r="H54" s="99"/>
      <c r="I54" s="99"/>
      <c r="J54" s="99">
        <f t="shared" si="12"/>
        <v>0</v>
      </c>
      <c r="K54" s="99"/>
      <c r="L54" s="99"/>
      <c r="M54" s="99"/>
      <c r="N54" s="99"/>
      <c r="O54" s="99"/>
      <c r="P54" s="99">
        <f t="shared" si="10"/>
        <v>626596</v>
      </c>
      <c r="Q54" s="23"/>
      <c r="R54" s="3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4.5" customHeight="1" x14ac:dyDescent="0.25">
      <c r="A55" s="103" t="s">
        <v>163</v>
      </c>
      <c r="B55" s="42" t="str">
        <f>'дод 8'!A230</f>
        <v>8110</v>
      </c>
      <c r="C55" s="42" t="str">
        <f>'дод 8'!B230</f>
        <v>0320</v>
      </c>
      <c r="D55" s="36" t="str">
        <f>'дод 8'!C230</f>
        <v>Заходи із запобігання та ліквідації надзвичайних ситуацій та наслідків стихійного лиха</v>
      </c>
      <c r="E55" s="99">
        <f t="shared" si="9"/>
        <v>283487.34000000003</v>
      </c>
      <c r="F55" s="99">
        <v>283487.34000000003</v>
      </c>
      <c r="G55" s="99"/>
      <c r="H55" s="99">
        <v>6500</v>
      </c>
      <c r="I55" s="99"/>
      <c r="J55" s="99">
        <f t="shared" si="12"/>
        <v>1398264.66</v>
      </c>
      <c r="K55" s="99">
        <v>1398264.66</v>
      </c>
      <c r="L55" s="99"/>
      <c r="M55" s="99"/>
      <c r="N55" s="99"/>
      <c r="O55" s="99">
        <v>1398264.66</v>
      </c>
      <c r="P55" s="99">
        <f t="shared" si="10"/>
        <v>1681752</v>
      </c>
      <c r="Q55" s="23"/>
      <c r="R55" s="3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2" customFormat="1" ht="30.75" customHeight="1" x14ac:dyDescent="0.25">
      <c r="A56" s="103" t="s">
        <v>223</v>
      </c>
      <c r="B56" s="42" t="str">
        <f>'дод 8'!A231</f>
        <v>8120</v>
      </c>
      <c r="C56" s="42" t="str">
        <f>'дод 8'!B231</f>
        <v>0320</v>
      </c>
      <c r="D56" s="36" t="str">
        <f>'дод 8'!C231</f>
        <v>Заходи з організації рятування на водах, у т.ч. за рахунок:</v>
      </c>
      <c r="E56" s="99">
        <f t="shared" si="9"/>
        <v>2449105</v>
      </c>
      <c r="F56" s="99">
        <v>2449105</v>
      </c>
      <c r="G56" s="99">
        <v>1906900</v>
      </c>
      <c r="H56" s="99">
        <v>73705</v>
      </c>
      <c r="I56" s="99"/>
      <c r="J56" s="99">
        <f t="shared" si="12"/>
        <v>5700</v>
      </c>
      <c r="K56" s="99"/>
      <c r="L56" s="99">
        <v>5700</v>
      </c>
      <c r="M56" s="99"/>
      <c r="N56" s="99">
        <v>1400</v>
      </c>
      <c r="O56" s="99"/>
      <c r="P56" s="99">
        <f t="shared" si="10"/>
        <v>2454805</v>
      </c>
      <c r="Q56" s="23"/>
      <c r="R56" s="3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</row>
    <row r="57" spans="1:527" s="24" customFormat="1" ht="63" x14ac:dyDescent="0.25">
      <c r="A57" s="105"/>
      <c r="B57" s="88"/>
      <c r="C57" s="88"/>
      <c r="D57" s="87" t="str">
        <f>'дод 8'!C232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1">
        <f t="shared" si="9"/>
        <v>588815</v>
      </c>
      <c r="F57" s="101">
        <v>588815</v>
      </c>
      <c r="G57" s="101">
        <v>482635</v>
      </c>
      <c r="H57" s="101"/>
      <c r="I57" s="101"/>
      <c r="J57" s="101">
        <f t="shared" si="12"/>
        <v>0</v>
      </c>
      <c r="K57" s="101"/>
      <c r="L57" s="101"/>
      <c r="M57" s="101"/>
      <c r="N57" s="101"/>
      <c r="O57" s="101"/>
      <c r="P57" s="101">
        <f t="shared" si="10"/>
        <v>588815</v>
      </c>
      <c r="Q57" s="30"/>
      <c r="R57" s="32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</row>
    <row r="58" spans="1:527" s="22" customFormat="1" ht="21.75" customHeight="1" x14ac:dyDescent="0.25">
      <c r="A58" s="103" t="s">
        <v>243</v>
      </c>
      <c r="B58" s="42" t="str">
        <f>'дод 8'!A234</f>
        <v>8230</v>
      </c>
      <c r="C58" s="42" t="str">
        <f>'дод 8'!B234</f>
        <v>0380</v>
      </c>
      <c r="D58" s="36" t="str">
        <f>'дод 8'!C234</f>
        <v>Інші заходи громадського порядку та безпеки</v>
      </c>
      <c r="E58" s="99">
        <f t="shared" si="9"/>
        <v>462056</v>
      </c>
      <c r="F58" s="99">
        <f>427256+34800</f>
        <v>462056</v>
      </c>
      <c r="G58" s="99"/>
      <c r="H58" s="99">
        <f>257942+34800</f>
        <v>292742</v>
      </c>
      <c r="I58" s="99"/>
      <c r="J58" s="99">
        <f t="shared" si="12"/>
        <v>0</v>
      </c>
      <c r="K58" s="99"/>
      <c r="L58" s="99"/>
      <c r="M58" s="99"/>
      <c r="N58" s="99"/>
      <c r="O58" s="99"/>
      <c r="P58" s="99">
        <f t="shared" si="10"/>
        <v>462056</v>
      </c>
      <c r="Q58" s="23"/>
      <c r="R58" s="3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36" customHeight="1" x14ac:dyDescent="0.25">
      <c r="A59" s="59" t="s">
        <v>164</v>
      </c>
      <c r="B59" s="93" t="str">
        <f>'дод 8'!A237</f>
        <v>8340</v>
      </c>
      <c r="C59" s="93" t="str">
        <f>'дод 8'!B237</f>
        <v>0540</v>
      </c>
      <c r="D59" s="60" t="str">
        <f>'дод 8'!C237</f>
        <v>Природоохоронні заходи за рахунок цільових фондів</v>
      </c>
      <c r="E59" s="99">
        <f t="shared" si="9"/>
        <v>0</v>
      </c>
      <c r="F59" s="99"/>
      <c r="G59" s="99"/>
      <c r="H59" s="99"/>
      <c r="I59" s="99"/>
      <c r="J59" s="99">
        <f t="shared" si="12"/>
        <v>250000</v>
      </c>
      <c r="K59" s="99"/>
      <c r="L59" s="99">
        <v>250000</v>
      </c>
      <c r="M59" s="99"/>
      <c r="N59" s="99"/>
      <c r="O59" s="99"/>
      <c r="P59" s="99">
        <f t="shared" si="10"/>
        <v>250000</v>
      </c>
      <c r="Q59" s="23"/>
      <c r="R59" s="3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26.25" customHeight="1" x14ac:dyDescent="0.25">
      <c r="A60" s="103" t="s">
        <v>254</v>
      </c>
      <c r="B60" s="42" t="str">
        <f>'дод 8'!A239</f>
        <v>8420</v>
      </c>
      <c r="C60" s="42" t="str">
        <f>'дод 8'!B239</f>
        <v>0830</v>
      </c>
      <c r="D60" s="36" t="str">
        <f>'дод 8'!C239</f>
        <v>Інші заходи у сфері засобів масової інформації</v>
      </c>
      <c r="E60" s="99">
        <f t="shared" si="9"/>
        <v>78700</v>
      </c>
      <c r="F60" s="99">
        <f>30000+48700</f>
        <v>78700</v>
      </c>
      <c r="G60" s="99"/>
      <c r="H60" s="99"/>
      <c r="I60" s="99"/>
      <c r="J60" s="99">
        <f t="shared" si="12"/>
        <v>0</v>
      </c>
      <c r="K60" s="99"/>
      <c r="L60" s="99"/>
      <c r="M60" s="99"/>
      <c r="N60" s="99"/>
      <c r="O60" s="99"/>
      <c r="P60" s="99">
        <f t="shared" si="10"/>
        <v>78700</v>
      </c>
      <c r="Q60" s="23"/>
      <c r="R60" s="3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2" customFormat="1" ht="26.25" customHeight="1" x14ac:dyDescent="0.25">
      <c r="A61" s="103" t="s">
        <v>623</v>
      </c>
      <c r="B61" s="42">
        <v>9770</v>
      </c>
      <c r="C61" s="103" t="s">
        <v>45</v>
      </c>
      <c r="D61" s="36" t="s">
        <v>356</v>
      </c>
      <c r="E61" s="99">
        <f t="shared" si="9"/>
        <v>0</v>
      </c>
      <c r="F61" s="99"/>
      <c r="G61" s="99"/>
      <c r="H61" s="99"/>
      <c r="I61" s="99"/>
      <c r="J61" s="99">
        <f t="shared" si="12"/>
        <v>35000</v>
      </c>
      <c r="K61" s="99">
        <v>35000</v>
      </c>
      <c r="L61" s="99"/>
      <c r="M61" s="99"/>
      <c r="N61" s="99"/>
      <c r="O61" s="99">
        <v>35000</v>
      </c>
      <c r="P61" s="99">
        <f t="shared" si="10"/>
        <v>35000</v>
      </c>
      <c r="Q61" s="23"/>
      <c r="R61" s="32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</row>
    <row r="62" spans="1:527" s="22" customFormat="1" ht="47.25" x14ac:dyDescent="0.25">
      <c r="A62" s="103" t="s">
        <v>381</v>
      </c>
      <c r="B62" s="42">
        <v>9800</v>
      </c>
      <c r="C62" s="103" t="s">
        <v>45</v>
      </c>
      <c r="D62" s="36" t="s">
        <v>367</v>
      </c>
      <c r="E62" s="99">
        <f t="shared" si="9"/>
        <v>2048799</v>
      </c>
      <c r="F62" s="99">
        <v>2048799</v>
      </c>
      <c r="G62" s="99"/>
      <c r="H62" s="99"/>
      <c r="I62" s="99"/>
      <c r="J62" s="99">
        <f t="shared" si="12"/>
        <v>2883000</v>
      </c>
      <c r="K62" s="99">
        <f>1483000+400000+1000000</f>
        <v>2883000</v>
      </c>
      <c r="L62" s="99"/>
      <c r="M62" s="99"/>
      <c r="N62" s="99"/>
      <c r="O62" s="99">
        <f>1483000+400000+1000000</f>
        <v>2883000</v>
      </c>
      <c r="P62" s="99">
        <f t="shared" si="10"/>
        <v>4931799</v>
      </c>
      <c r="Q62" s="23"/>
      <c r="R62" s="32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</row>
    <row r="63" spans="1:527" s="27" customFormat="1" ht="36" customHeight="1" x14ac:dyDescent="0.25">
      <c r="A63" s="106" t="s">
        <v>165</v>
      </c>
      <c r="B63" s="39"/>
      <c r="C63" s="39"/>
      <c r="D63" s="107" t="s">
        <v>25</v>
      </c>
      <c r="E63" s="95">
        <f>E64</f>
        <v>1194490388.02</v>
      </c>
      <c r="F63" s="95">
        <f t="shared" ref="F63:J63" si="13">F64</f>
        <v>1194490388.02</v>
      </c>
      <c r="G63" s="95">
        <f t="shared" si="13"/>
        <v>778617325</v>
      </c>
      <c r="H63" s="95">
        <f t="shared" si="13"/>
        <v>86534047</v>
      </c>
      <c r="I63" s="95">
        <f t="shared" si="13"/>
        <v>0</v>
      </c>
      <c r="J63" s="95">
        <f t="shared" si="13"/>
        <v>109973761.18000001</v>
      </c>
      <c r="K63" s="95">
        <f t="shared" ref="K63" si="14">K64</f>
        <v>68335311.180000007</v>
      </c>
      <c r="L63" s="95">
        <f t="shared" ref="L63" si="15">L64</f>
        <v>37465600</v>
      </c>
      <c r="M63" s="95">
        <f t="shared" ref="M63" si="16">M64</f>
        <v>2268060</v>
      </c>
      <c r="N63" s="95">
        <f t="shared" ref="N63" si="17">N64</f>
        <v>139890</v>
      </c>
      <c r="O63" s="95">
        <f t="shared" ref="O63:P63" si="18">O64</f>
        <v>72508161.180000007</v>
      </c>
      <c r="P63" s="95">
        <f t="shared" si="18"/>
        <v>1304464149.2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</row>
    <row r="64" spans="1:527" s="34" customFormat="1" ht="38.25" customHeight="1" x14ac:dyDescent="0.25">
      <c r="A64" s="108" t="s">
        <v>166</v>
      </c>
      <c r="B64" s="74"/>
      <c r="C64" s="74"/>
      <c r="D64" s="77" t="s">
        <v>508</v>
      </c>
      <c r="E64" s="98">
        <f>E77+E78+E79+E80+E81+E82+E85+E87+E89+E92+E94+E95+E96+E97+E98+E100+E101+E102+E104+E106+E108+E110+E112+E113+E114+E116+E118+E120+E121+E122+E123+E125+E126</f>
        <v>1194490388.02</v>
      </c>
      <c r="F64" s="98">
        <f t="shared" ref="F64:P64" si="19">F77+F78+F79+F80+F81+F82+F85+F87+F89+F92+F94+F95+F96+F97+F98+F100+F101+F102+F104+F106+F108+F110+F112+F113+F114+F116+F118+F120+F121+F122+F123+F125+F126</f>
        <v>1194490388.02</v>
      </c>
      <c r="G64" s="98">
        <f t="shared" si="19"/>
        <v>778617325</v>
      </c>
      <c r="H64" s="98">
        <f t="shared" si="19"/>
        <v>86534047</v>
      </c>
      <c r="I64" s="98">
        <f t="shared" si="19"/>
        <v>0</v>
      </c>
      <c r="J64" s="98">
        <f t="shared" si="19"/>
        <v>109973761.18000001</v>
      </c>
      <c r="K64" s="98">
        <f t="shared" si="19"/>
        <v>68335311.180000007</v>
      </c>
      <c r="L64" s="98">
        <f t="shared" si="19"/>
        <v>37465600</v>
      </c>
      <c r="M64" s="98">
        <f t="shared" si="19"/>
        <v>2268060</v>
      </c>
      <c r="N64" s="98">
        <f t="shared" si="19"/>
        <v>139890</v>
      </c>
      <c r="O64" s="98">
        <f t="shared" si="19"/>
        <v>72508161.180000007</v>
      </c>
      <c r="P64" s="98">
        <f t="shared" si="19"/>
        <v>1304464149.2</v>
      </c>
      <c r="Q64" s="33"/>
      <c r="R64" s="32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31.5" x14ac:dyDescent="0.25">
      <c r="A65" s="108"/>
      <c r="B65" s="74"/>
      <c r="C65" s="74"/>
      <c r="D65" s="77" t="s">
        <v>389</v>
      </c>
      <c r="E65" s="98">
        <f>E83+E86+E88</f>
        <v>482448000</v>
      </c>
      <c r="F65" s="98">
        <f t="shared" ref="F65:P65" si="20">F83+F86+F88</f>
        <v>482448000</v>
      </c>
      <c r="G65" s="98">
        <f t="shared" si="20"/>
        <v>395816000</v>
      </c>
      <c r="H65" s="98">
        <f t="shared" si="20"/>
        <v>0</v>
      </c>
      <c r="I65" s="98">
        <f t="shared" si="20"/>
        <v>0</v>
      </c>
      <c r="J65" s="98">
        <f t="shared" si="20"/>
        <v>0</v>
      </c>
      <c r="K65" s="98">
        <f t="shared" si="20"/>
        <v>0</v>
      </c>
      <c r="L65" s="98">
        <f t="shared" si="20"/>
        <v>0</v>
      </c>
      <c r="M65" s="98">
        <f t="shared" si="20"/>
        <v>0</v>
      </c>
      <c r="N65" s="98">
        <f t="shared" si="20"/>
        <v>0</v>
      </c>
      <c r="O65" s="98">
        <f t="shared" si="20"/>
        <v>0</v>
      </c>
      <c r="P65" s="98">
        <f t="shared" si="20"/>
        <v>482448000</v>
      </c>
      <c r="Q65" s="33"/>
      <c r="R65" s="32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63" hidden="1" customHeight="1" x14ac:dyDescent="0.25">
      <c r="A66" s="108"/>
      <c r="B66" s="74"/>
      <c r="C66" s="74"/>
      <c r="D66" s="77" t="s">
        <v>388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33"/>
      <c r="R66" s="32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7.25" x14ac:dyDescent="0.25">
      <c r="A67" s="108"/>
      <c r="B67" s="74"/>
      <c r="C67" s="74"/>
      <c r="D67" s="77" t="s">
        <v>544</v>
      </c>
      <c r="E67" s="98">
        <f>E90</f>
        <v>246000</v>
      </c>
      <c r="F67" s="98">
        <f t="shared" ref="F67:P67" si="21">F90</f>
        <v>246000</v>
      </c>
      <c r="G67" s="98">
        <f t="shared" si="21"/>
        <v>0</v>
      </c>
      <c r="H67" s="98">
        <f t="shared" si="21"/>
        <v>0</v>
      </c>
      <c r="I67" s="98">
        <f t="shared" si="21"/>
        <v>0</v>
      </c>
      <c r="J67" s="98">
        <f t="shared" si="21"/>
        <v>1754000</v>
      </c>
      <c r="K67" s="98">
        <f t="shared" si="21"/>
        <v>1754000</v>
      </c>
      <c r="L67" s="98">
        <f t="shared" si="21"/>
        <v>0</v>
      </c>
      <c r="M67" s="98">
        <f t="shared" si="21"/>
        <v>0</v>
      </c>
      <c r="N67" s="98">
        <f t="shared" si="21"/>
        <v>0</v>
      </c>
      <c r="O67" s="98">
        <f t="shared" si="21"/>
        <v>1754000</v>
      </c>
      <c r="P67" s="98">
        <f t="shared" si="21"/>
        <v>2000000</v>
      </c>
      <c r="Q67" s="33"/>
      <c r="R67" s="32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47.25" x14ac:dyDescent="0.25">
      <c r="A68" s="108"/>
      <c r="B68" s="74"/>
      <c r="C68" s="74"/>
      <c r="D68" s="77" t="s">
        <v>384</v>
      </c>
      <c r="E68" s="98">
        <f t="shared" ref="E68:P68" si="22">E84+E99</f>
        <v>3578416</v>
      </c>
      <c r="F68" s="98">
        <f t="shared" si="22"/>
        <v>3578416</v>
      </c>
      <c r="G68" s="98">
        <f t="shared" si="22"/>
        <v>1228720</v>
      </c>
      <c r="H68" s="98">
        <f t="shared" si="22"/>
        <v>0</v>
      </c>
      <c r="I68" s="98">
        <f t="shared" si="22"/>
        <v>0</v>
      </c>
      <c r="J68" s="98">
        <f t="shared" si="22"/>
        <v>0</v>
      </c>
      <c r="K68" s="98">
        <f t="shared" si="22"/>
        <v>0</v>
      </c>
      <c r="L68" s="98">
        <f t="shared" si="22"/>
        <v>0</v>
      </c>
      <c r="M68" s="98">
        <f t="shared" si="22"/>
        <v>0</v>
      </c>
      <c r="N68" s="98">
        <f t="shared" si="22"/>
        <v>0</v>
      </c>
      <c r="O68" s="98">
        <f t="shared" si="22"/>
        <v>0</v>
      </c>
      <c r="P68" s="98">
        <f t="shared" si="22"/>
        <v>3578416</v>
      </c>
      <c r="Q68" s="33"/>
      <c r="R68" s="32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45" hidden="1" customHeight="1" x14ac:dyDescent="0.25">
      <c r="A69" s="108"/>
      <c r="B69" s="74"/>
      <c r="C69" s="74"/>
      <c r="D69" s="77" t="s">
        <v>386</v>
      </c>
      <c r="E69" s="98" t="e">
        <f>#REF!+E96</f>
        <v>#REF!</v>
      </c>
      <c r="F69" s="98" t="e">
        <f>#REF!+F96</f>
        <v>#REF!</v>
      </c>
      <c r="G69" s="98" t="e">
        <f>#REF!+G96</f>
        <v>#REF!</v>
      </c>
      <c r="H69" s="98" t="e">
        <f>#REF!+H96</f>
        <v>#REF!</v>
      </c>
      <c r="I69" s="98" t="e">
        <f>#REF!+I96</f>
        <v>#REF!</v>
      </c>
      <c r="J69" s="98" t="e">
        <f>#REF!+J96</f>
        <v>#REF!</v>
      </c>
      <c r="K69" s="98" t="e">
        <f>#REF!+K96</f>
        <v>#REF!</v>
      </c>
      <c r="L69" s="98" t="e">
        <f>#REF!+L96</f>
        <v>#REF!</v>
      </c>
      <c r="M69" s="98" t="e">
        <f>#REF!+M96</f>
        <v>#REF!</v>
      </c>
      <c r="N69" s="98" t="e">
        <f>#REF!+N96</f>
        <v>#REF!</v>
      </c>
      <c r="O69" s="98" t="e">
        <f>#REF!+O96</f>
        <v>#REF!</v>
      </c>
      <c r="P69" s="98" t="e">
        <f>#REF!+P96</f>
        <v>#REF!</v>
      </c>
      <c r="Q69" s="33"/>
      <c r="R69" s="32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63" x14ac:dyDescent="0.25">
      <c r="A70" s="108"/>
      <c r="B70" s="74"/>
      <c r="C70" s="74"/>
      <c r="D70" s="77" t="s">
        <v>383</v>
      </c>
      <c r="E70" s="98">
        <f>E109</f>
        <v>2612700</v>
      </c>
      <c r="F70" s="98">
        <f t="shared" ref="F70:P70" si="23">F109</f>
        <v>2612700</v>
      </c>
      <c r="G70" s="98">
        <f t="shared" si="23"/>
        <v>1459720</v>
      </c>
      <c r="H70" s="98">
        <f t="shared" si="23"/>
        <v>0</v>
      </c>
      <c r="I70" s="98">
        <f t="shared" si="23"/>
        <v>0</v>
      </c>
      <c r="J70" s="98">
        <f t="shared" si="23"/>
        <v>72000</v>
      </c>
      <c r="K70" s="98">
        <f t="shared" si="23"/>
        <v>72000</v>
      </c>
      <c r="L70" s="98">
        <f t="shared" si="23"/>
        <v>0</v>
      </c>
      <c r="M70" s="98">
        <f t="shared" si="23"/>
        <v>0</v>
      </c>
      <c r="N70" s="98">
        <f t="shared" si="23"/>
        <v>0</v>
      </c>
      <c r="O70" s="98">
        <f t="shared" si="23"/>
        <v>72000</v>
      </c>
      <c r="P70" s="98">
        <f t="shared" si="23"/>
        <v>2684700</v>
      </c>
      <c r="Q70" s="33"/>
      <c r="R70" s="32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80.25" customHeight="1" x14ac:dyDescent="0.25">
      <c r="A71" s="108"/>
      <c r="B71" s="148"/>
      <c r="C71" s="74"/>
      <c r="D71" s="77" t="s">
        <v>524</v>
      </c>
      <c r="E71" s="98">
        <f>E111</f>
        <v>1315285.79</v>
      </c>
      <c r="F71" s="98">
        <f t="shared" ref="F71:P71" si="24">F111</f>
        <v>1315285.79</v>
      </c>
      <c r="G71" s="98">
        <f t="shared" si="24"/>
        <v>1034620</v>
      </c>
      <c r="H71" s="98">
        <f t="shared" si="24"/>
        <v>0</v>
      </c>
      <c r="I71" s="98">
        <f t="shared" si="24"/>
        <v>0</v>
      </c>
      <c r="J71" s="98">
        <f t="shared" si="24"/>
        <v>0</v>
      </c>
      <c r="K71" s="98">
        <f t="shared" si="24"/>
        <v>0</v>
      </c>
      <c r="L71" s="98">
        <f t="shared" si="24"/>
        <v>0</v>
      </c>
      <c r="M71" s="98">
        <f t="shared" si="24"/>
        <v>0</v>
      </c>
      <c r="N71" s="98">
        <f t="shared" si="24"/>
        <v>0</v>
      </c>
      <c r="O71" s="98">
        <f t="shared" si="24"/>
        <v>0</v>
      </c>
      <c r="P71" s="98">
        <f t="shared" si="24"/>
        <v>1315285.79</v>
      </c>
      <c r="Q71" s="33"/>
      <c r="R71" s="32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31.5" x14ac:dyDescent="0.25">
      <c r="A72" s="108"/>
      <c r="B72" s="74"/>
      <c r="C72" s="74"/>
      <c r="D72" s="77" t="s">
        <v>541</v>
      </c>
      <c r="E72" s="98">
        <f t="shared" ref="E72:P72" si="25">E91+E93+E124</f>
        <v>1434017.6</v>
      </c>
      <c r="F72" s="98">
        <f t="shared" si="25"/>
        <v>1434017.6</v>
      </c>
      <c r="G72" s="98">
        <f t="shared" si="25"/>
        <v>0</v>
      </c>
      <c r="H72" s="98">
        <f t="shared" si="25"/>
        <v>0</v>
      </c>
      <c r="I72" s="98">
        <f t="shared" si="25"/>
        <v>0</v>
      </c>
      <c r="J72" s="98">
        <f t="shared" si="25"/>
        <v>7663725.1799999997</v>
      </c>
      <c r="K72" s="98">
        <f t="shared" si="25"/>
        <v>7663725.1799999997</v>
      </c>
      <c r="L72" s="98">
        <f t="shared" si="25"/>
        <v>0</v>
      </c>
      <c r="M72" s="98">
        <f t="shared" si="25"/>
        <v>0</v>
      </c>
      <c r="N72" s="98">
        <f t="shared" si="25"/>
        <v>0</v>
      </c>
      <c r="O72" s="98">
        <f t="shared" si="25"/>
        <v>7663725.1799999997</v>
      </c>
      <c r="P72" s="98">
        <f t="shared" si="25"/>
        <v>9097742.7799999993</v>
      </c>
      <c r="Q72" s="33"/>
      <c r="R72" s="32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34" customFormat="1" ht="78.75" x14ac:dyDescent="0.25">
      <c r="A73" s="108"/>
      <c r="B73" s="74"/>
      <c r="C73" s="74"/>
      <c r="D73" s="77" t="s">
        <v>562</v>
      </c>
      <c r="E73" s="98">
        <f>E107</f>
        <v>6236344</v>
      </c>
      <c r="F73" s="98">
        <f t="shared" ref="F73:P73" si="26">F107</f>
        <v>6236344</v>
      </c>
      <c r="G73" s="98">
        <f t="shared" si="26"/>
        <v>57829</v>
      </c>
      <c r="H73" s="98">
        <f t="shared" si="26"/>
        <v>0</v>
      </c>
      <c r="I73" s="98">
        <f t="shared" si="26"/>
        <v>0</v>
      </c>
      <c r="J73" s="98">
        <f t="shared" si="26"/>
        <v>670719</v>
      </c>
      <c r="K73" s="98">
        <f t="shared" si="26"/>
        <v>670719</v>
      </c>
      <c r="L73" s="98">
        <f t="shared" si="26"/>
        <v>0</v>
      </c>
      <c r="M73" s="98">
        <f t="shared" si="26"/>
        <v>0</v>
      </c>
      <c r="N73" s="98">
        <f t="shared" si="26"/>
        <v>0</v>
      </c>
      <c r="O73" s="98">
        <f t="shared" si="26"/>
        <v>670719</v>
      </c>
      <c r="P73" s="98">
        <f t="shared" si="26"/>
        <v>6907063</v>
      </c>
      <c r="Q73" s="33"/>
      <c r="R73" s="32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</row>
    <row r="74" spans="1:527" s="34" customFormat="1" ht="51.75" customHeight="1" x14ac:dyDescent="0.25">
      <c r="A74" s="96"/>
      <c r="B74" s="109"/>
      <c r="C74" s="110"/>
      <c r="D74" s="77" t="s">
        <v>606</v>
      </c>
      <c r="E74" s="98">
        <f>E103</f>
        <v>287772</v>
      </c>
      <c r="F74" s="98">
        <f t="shared" ref="F74:P74" si="27">F103</f>
        <v>287772</v>
      </c>
      <c r="G74" s="98">
        <f t="shared" si="27"/>
        <v>0</v>
      </c>
      <c r="H74" s="98">
        <f t="shared" si="27"/>
        <v>0</v>
      </c>
      <c r="I74" s="98">
        <f t="shared" si="27"/>
        <v>0</v>
      </c>
      <c r="J74" s="98">
        <f t="shared" si="27"/>
        <v>2859728</v>
      </c>
      <c r="K74" s="98">
        <f t="shared" si="27"/>
        <v>2859728</v>
      </c>
      <c r="L74" s="98">
        <f t="shared" si="27"/>
        <v>0</v>
      </c>
      <c r="M74" s="98">
        <f t="shared" si="27"/>
        <v>0</v>
      </c>
      <c r="N74" s="98">
        <f t="shared" si="27"/>
        <v>0</v>
      </c>
      <c r="O74" s="98">
        <f t="shared" si="27"/>
        <v>2859728</v>
      </c>
      <c r="P74" s="98">
        <f t="shared" si="27"/>
        <v>3147500</v>
      </c>
      <c r="Q74" s="33"/>
      <c r="R74" s="32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</row>
    <row r="75" spans="1:527" s="34" customFormat="1" ht="62.25" customHeight="1" x14ac:dyDescent="0.25">
      <c r="A75" s="108"/>
      <c r="B75" s="74"/>
      <c r="C75" s="74"/>
      <c r="D75" s="140" t="s">
        <v>388</v>
      </c>
      <c r="E75" s="98">
        <f>E119</f>
        <v>0</v>
      </c>
      <c r="F75" s="98">
        <f t="shared" ref="F75:P75" si="28">F119</f>
        <v>0</v>
      </c>
      <c r="G75" s="98">
        <f t="shared" si="28"/>
        <v>0</v>
      </c>
      <c r="H75" s="98">
        <f t="shared" si="28"/>
        <v>0</v>
      </c>
      <c r="I75" s="98">
        <f t="shared" si="28"/>
        <v>0</v>
      </c>
      <c r="J75" s="98">
        <f t="shared" si="28"/>
        <v>9499436</v>
      </c>
      <c r="K75" s="98">
        <f t="shared" si="28"/>
        <v>6006486</v>
      </c>
      <c r="L75" s="98">
        <f t="shared" si="28"/>
        <v>0</v>
      </c>
      <c r="M75" s="98">
        <f t="shared" si="28"/>
        <v>0</v>
      </c>
      <c r="N75" s="98">
        <f t="shared" si="28"/>
        <v>0</v>
      </c>
      <c r="O75" s="98">
        <f t="shared" si="28"/>
        <v>9499436</v>
      </c>
      <c r="P75" s="98">
        <f t="shared" si="28"/>
        <v>9499436</v>
      </c>
      <c r="Q75" s="33"/>
      <c r="R75" s="32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</row>
    <row r="76" spans="1:527" s="34" customFormat="1" ht="22.5" customHeight="1" x14ac:dyDescent="0.25">
      <c r="A76" s="108"/>
      <c r="B76" s="74"/>
      <c r="C76" s="74"/>
      <c r="D76" s="77" t="s">
        <v>395</v>
      </c>
      <c r="E76" s="98">
        <f>E105+E115+E117</f>
        <v>284064</v>
      </c>
      <c r="F76" s="98">
        <f t="shared" ref="F76:P76" si="29">F105+F115+F117</f>
        <v>284064</v>
      </c>
      <c r="G76" s="98">
        <f t="shared" si="29"/>
        <v>0</v>
      </c>
      <c r="H76" s="98">
        <f t="shared" si="29"/>
        <v>0</v>
      </c>
      <c r="I76" s="98">
        <f t="shared" si="29"/>
        <v>0</v>
      </c>
      <c r="J76" s="98">
        <f t="shared" si="29"/>
        <v>250000</v>
      </c>
      <c r="K76" s="98">
        <f t="shared" si="29"/>
        <v>250000</v>
      </c>
      <c r="L76" s="98">
        <f t="shared" si="29"/>
        <v>0</v>
      </c>
      <c r="M76" s="98">
        <f t="shared" si="29"/>
        <v>0</v>
      </c>
      <c r="N76" s="98">
        <f t="shared" si="29"/>
        <v>0</v>
      </c>
      <c r="O76" s="98">
        <f t="shared" si="29"/>
        <v>250000</v>
      </c>
      <c r="P76" s="98">
        <f t="shared" si="29"/>
        <v>534064</v>
      </c>
      <c r="Q76" s="33"/>
      <c r="R76" s="32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</row>
    <row r="77" spans="1:527" s="22" customFormat="1" ht="45.75" customHeight="1" x14ac:dyDescent="0.25">
      <c r="A77" s="59" t="s">
        <v>167</v>
      </c>
      <c r="B77" s="93" t="str">
        <f>'дод 8'!A19</f>
        <v>0160</v>
      </c>
      <c r="C77" s="93" t="str">
        <f>'дод 8'!B19</f>
        <v>0111</v>
      </c>
      <c r="D77" s="36" t="s">
        <v>494</v>
      </c>
      <c r="E77" s="99">
        <f t="shared" ref="E77:E126" si="30">F77+I77</f>
        <v>3864285</v>
      </c>
      <c r="F77" s="99">
        <v>3864285</v>
      </c>
      <c r="G77" s="99">
        <f>2976200-3000</f>
        <v>2973200</v>
      </c>
      <c r="H77" s="99">
        <v>43585</v>
      </c>
      <c r="I77" s="99"/>
      <c r="J77" s="99">
        <f>L77+O77</f>
        <v>0</v>
      </c>
      <c r="K77" s="99">
        <v>0</v>
      </c>
      <c r="L77" s="99"/>
      <c r="M77" s="99"/>
      <c r="N77" s="99"/>
      <c r="O77" s="99">
        <v>0</v>
      </c>
      <c r="P77" s="99">
        <f t="shared" ref="P77:P126" si="31">E77+J77</f>
        <v>3864285</v>
      </c>
      <c r="Q77" s="23"/>
      <c r="R77" s="3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2" customFormat="1" ht="21.75" customHeight="1" x14ac:dyDescent="0.25">
      <c r="A78" s="59" t="s">
        <v>168</v>
      </c>
      <c r="B78" s="93" t="str">
        <f>'дод 8'!A36</f>
        <v>1010</v>
      </c>
      <c r="C78" s="93" t="str">
        <f>'дод 8'!B36</f>
        <v>0910</v>
      </c>
      <c r="D78" s="60" t="s">
        <v>503</v>
      </c>
      <c r="E78" s="99">
        <f t="shared" si="30"/>
        <v>313251086</v>
      </c>
      <c r="F78" s="99">
        <f>297514346-82400+49810+900000+1453830+3000000+2500000+7915500</f>
        <v>313251086</v>
      </c>
      <c r="G78" s="99">
        <f>205054200-732400+487530</f>
        <v>204809330</v>
      </c>
      <c r="H78" s="99">
        <f>24363307+791300+7915500</f>
        <v>33070107</v>
      </c>
      <c r="I78" s="99"/>
      <c r="J78" s="99">
        <f>L78+O78</f>
        <v>12818678</v>
      </c>
      <c r="K78" s="99">
        <f>1071480-12502</f>
        <v>1058978</v>
      </c>
      <c r="L78" s="99">
        <v>11759700</v>
      </c>
      <c r="M78" s="99"/>
      <c r="N78" s="99"/>
      <c r="O78" s="99">
        <f>1071480-12502</f>
        <v>1058978</v>
      </c>
      <c r="P78" s="99">
        <f t="shared" si="31"/>
        <v>326069764</v>
      </c>
      <c r="Q78" s="23"/>
      <c r="R78" s="3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</row>
    <row r="79" spans="1:527" s="22" customFormat="1" ht="37.5" customHeight="1" x14ac:dyDescent="0.25">
      <c r="A79" s="59" t="s">
        <v>470</v>
      </c>
      <c r="B79" s="59">
        <f>'дод 8'!A38</f>
        <v>1021</v>
      </c>
      <c r="C79" s="93" t="str">
        <f>'дод 8'!B38</f>
        <v>0921</v>
      </c>
      <c r="D79" s="60" t="s">
        <v>584</v>
      </c>
      <c r="E79" s="99">
        <f t="shared" si="30"/>
        <v>224476209.19999999</v>
      </c>
      <c r="F79" s="99">
        <f>209620109.2+17200+10000+700000+100000+14028900</f>
        <v>224476209.19999999</v>
      </c>
      <c r="G79" s="99">
        <f>116833485.94-160000</f>
        <v>116673485.94</v>
      </c>
      <c r="H79" s="99">
        <f>31973609.55+14028900</f>
        <v>46002509.549999997</v>
      </c>
      <c r="I79" s="99"/>
      <c r="J79" s="99">
        <f t="shared" ref="J79:J126" si="32">L79+O79</f>
        <v>26423904</v>
      </c>
      <c r="K79" s="99">
        <v>1293104</v>
      </c>
      <c r="L79" s="99">
        <v>25130800</v>
      </c>
      <c r="M79" s="99">
        <v>2268060</v>
      </c>
      <c r="N79" s="99">
        <v>139890</v>
      </c>
      <c r="O79" s="99">
        <v>1293104</v>
      </c>
      <c r="P79" s="99">
        <f t="shared" si="31"/>
        <v>250900113.19999999</v>
      </c>
      <c r="Q79" s="23"/>
      <c r="R79" s="3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</row>
    <row r="80" spans="1:527" s="22" customFormat="1" ht="63" x14ac:dyDescent="0.25">
      <c r="A80" s="59" t="s">
        <v>472</v>
      </c>
      <c r="B80" s="93">
        <v>1022</v>
      </c>
      <c r="C80" s="59" t="s">
        <v>55</v>
      </c>
      <c r="D80" s="36" t="s">
        <v>473</v>
      </c>
      <c r="E80" s="99">
        <f t="shared" si="30"/>
        <v>14988107</v>
      </c>
      <c r="F80" s="99">
        <f>14436307-20200+572000</f>
        <v>14988107</v>
      </c>
      <c r="G80" s="99">
        <v>8830500</v>
      </c>
      <c r="H80" s="99">
        <f>1512107+572000</f>
        <v>2084107</v>
      </c>
      <c r="I80" s="99"/>
      <c r="J80" s="99">
        <f t="shared" si="32"/>
        <v>97000</v>
      </c>
      <c r="K80" s="99">
        <v>97000</v>
      </c>
      <c r="L80" s="99"/>
      <c r="M80" s="99"/>
      <c r="N80" s="99"/>
      <c r="O80" s="99">
        <v>97000</v>
      </c>
      <c r="P80" s="99">
        <f t="shared" si="31"/>
        <v>15085107</v>
      </c>
      <c r="Q80" s="23"/>
      <c r="R80" s="32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</row>
    <row r="81" spans="1:527" s="22" customFormat="1" ht="63" x14ac:dyDescent="0.25">
      <c r="A81" s="59" t="s">
        <v>601</v>
      </c>
      <c r="B81" s="93">
        <v>1025</v>
      </c>
      <c r="C81" s="59" t="s">
        <v>55</v>
      </c>
      <c r="D81" s="36" t="s">
        <v>602</v>
      </c>
      <c r="E81" s="99">
        <f t="shared" si="30"/>
        <v>4106374.43</v>
      </c>
      <c r="F81" s="99">
        <f>3993974.43+20200+92200</f>
        <v>4106374.43</v>
      </c>
      <c r="G81" s="99">
        <v>2829220.06</v>
      </c>
      <c r="H81" s="99">
        <f>306666.45+92200</f>
        <v>398866.45</v>
      </c>
      <c r="I81" s="99"/>
      <c r="J81" s="99">
        <f t="shared" si="32"/>
        <v>0</v>
      </c>
      <c r="K81" s="99"/>
      <c r="L81" s="99"/>
      <c r="M81" s="99"/>
      <c r="N81" s="99"/>
      <c r="O81" s="99"/>
      <c r="P81" s="99">
        <f t="shared" si="31"/>
        <v>4106374.43</v>
      </c>
      <c r="Q81" s="23"/>
      <c r="R81" s="32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</row>
    <row r="82" spans="1:527" s="22" customFormat="1" ht="31.5" x14ac:dyDescent="0.25">
      <c r="A82" s="59" t="s">
        <v>474</v>
      </c>
      <c r="B82" s="93">
        <v>1031</v>
      </c>
      <c r="C82" s="59" t="s">
        <v>51</v>
      </c>
      <c r="D82" s="60" t="s">
        <v>504</v>
      </c>
      <c r="E82" s="99">
        <f t="shared" si="30"/>
        <v>468297758.54000002</v>
      </c>
      <c r="F82" s="99">
        <f>468581848.54-284090</f>
        <v>468297758.54000002</v>
      </c>
      <c r="G82" s="99">
        <f>382983978.35-482840</f>
        <v>382501138.35000002</v>
      </c>
      <c r="H82" s="99"/>
      <c r="I82" s="99"/>
      <c r="J82" s="99">
        <f t="shared" si="32"/>
        <v>0</v>
      </c>
      <c r="K82" s="99"/>
      <c r="L82" s="99"/>
      <c r="M82" s="99"/>
      <c r="N82" s="99"/>
      <c r="O82" s="99"/>
      <c r="P82" s="99">
        <f t="shared" si="31"/>
        <v>468297758.54000002</v>
      </c>
      <c r="Q82" s="23"/>
      <c r="R82" s="3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</row>
    <row r="83" spans="1:527" s="24" customFormat="1" ht="31.5" x14ac:dyDescent="0.25">
      <c r="A83" s="84"/>
      <c r="B83" s="111"/>
      <c r="C83" s="111"/>
      <c r="D83" s="87" t="s">
        <v>389</v>
      </c>
      <c r="E83" s="101">
        <f t="shared" si="30"/>
        <v>466218378.54000002</v>
      </c>
      <c r="F83" s="101">
        <f>466502468.54-284090</f>
        <v>466218378.54000002</v>
      </c>
      <c r="G83" s="101">
        <f>382983978.35-482840</f>
        <v>382501138.35000002</v>
      </c>
      <c r="H83" s="101"/>
      <c r="I83" s="101"/>
      <c r="J83" s="101">
        <f t="shared" si="32"/>
        <v>0</v>
      </c>
      <c r="K83" s="101"/>
      <c r="L83" s="101"/>
      <c r="M83" s="101"/>
      <c r="N83" s="101"/>
      <c r="O83" s="101"/>
      <c r="P83" s="101">
        <f t="shared" si="31"/>
        <v>466218378.54000002</v>
      </c>
      <c r="Q83" s="30"/>
      <c r="R83" s="3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</row>
    <row r="84" spans="1:527" s="24" customFormat="1" ht="47.25" x14ac:dyDescent="0.25">
      <c r="A84" s="84"/>
      <c r="B84" s="111"/>
      <c r="C84" s="111"/>
      <c r="D84" s="87" t="s">
        <v>384</v>
      </c>
      <c r="E84" s="101">
        <f t="shared" si="30"/>
        <v>2079380</v>
      </c>
      <c r="F84" s="101">
        <v>2079380</v>
      </c>
      <c r="G84" s="101"/>
      <c r="H84" s="101"/>
      <c r="I84" s="101"/>
      <c r="J84" s="101">
        <f t="shared" si="32"/>
        <v>0</v>
      </c>
      <c r="K84" s="101"/>
      <c r="L84" s="101"/>
      <c r="M84" s="101"/>
      <c r="N84" s="101"/>
      <c r="O84" s="101"/>
      <c r="P84" s="101">
        <f t="shared" si="31"/>
        <v>2079380</v>
      </c>
      <c r="Q84" s="30"/>
      <c r="R84" s="3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</row>
    <row r="85" spans="1:527" s="22" customFormat="1" ht="65.25" customHeight="1" x14ac:dyDescent="0.25">
      <c r="A85" s="59" t="s">
        <v>475</v>
      </c>
      <c r="B85" s="59" t="s">
        <v>476</v>
      </c>
      <c r="C85" s="59" t="s">
        <v>55</v>
      </c>
      <c r="D85" s="60" t="s">
        <v>505</v>
      </c>
      <c r="E85" s="99">
        <f t="shared" si="30"/>
        <v>15808500</v>
      </c>
      <c r="F85" s="99">
        <f>15564500+244000</f>
        <v>15808500</v>
      </c>
      <c r="G85" s="99">
        <f>12769100+200000</f>
        <v>12969100</v>
      </c>
      <c r="H85" s="99"/>
      <c r="I85" s="99"/>
      <c r="J85" s="99">
        <f t="shared" si="32"/>
        <v>0</v>
      </c>
      <c r="K85" s="99"/>
      <c r="L85" s="99"/>
      <c r="M85" s="99"/>
      <c r="N85" s="99"/>
      <c r="O85" s="99"/>
      <c r="P85" s="99">
        <f t="shared" si="31"/>
        <v>15808500</v>
      </c>
      <c r="Q85" s="23"/>
      <c r="R85" s="32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</row>
    <row r="86" spans="1:527" s="24" customFormat="1" ht="31.5" x14ac:dyDescent="0.25">
      <c r="A86" s="84"/>
      <c r="B86" s="111"/>
      <c r="C86" s="111"/>
      <c r="D86" s="87" t="s">
        <v>389</v>
      </c>
      <c r="E86" s="101">
        <f t="shared" ref="E86:E92" si="33">F86+I86</f>
        <v>15808500</v>
      </c>
      <c r="F86" s="101">
        <f>15564500+244000</f>
        <v>15808500</v>
      </c>
      <c r="G86" s="101">
        <f>12769100+200000</f>
        <v>12969100</v>
      </c>
      <c r="H86" s="101"/>
      <c r="I86" s="101"/>
      <c r="J86" s="101">
        <f t="shared" ref="J86:J88" si="34">L86+O86</f>
        <v>0</v>
      </c>
      <c r="K86" s="101"/>
      <c r="L86" s="101"/>
      <c r="M86" s="101"/>
      <c r="N86" s="101"/>
      <c r="O86" s="101"/>
      <c r="P86" s="101">
        <f t="shared" ref="P86:P88" si="35">E86+J86</f>
        <v>15808500</v>
      </c>
      <c r="Q86" s="30"/>
      <c r="R86" s="3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</row>
    <row r="87" spans="1:527" s="22" customFormat="1" ht="66.75" customHeight="1" x14ac:dyDescent="0.25">
      <c r="A87" s="59" t="s">
        <v>603</v>
      </c>
      <c r="B87" s="93">
        <v>1035</v>
      </c>
      <c r="C87" s="59" t="s">
        <v>55</v>
      </c>
      <c r="D87" s="36" t="s">
        <v>604</v>
      </c>
      <c r="E87" s="99">
        <f t="shared" si="30"/>
        <v>421121.46</v>
      </c>
      <c r="F87" s="99">
        <f>381031.46+40090</f>
        <v>421121.46</v>
      </c>
      <c r="G87" s="99">
        <f>312921.65+32840</f>
        <v>345761.65</v>
      </c>
      <c r="H87" s="99"/>
      <c r="I87" s="99"/>
      <c r="J87" s="99">
        <f t="shared" si="32"/>
        <v>0</v>
      </c>
      <c r="K87" s="99"/>
      <c r="L87" s="99"/>
      <c r="M87" s="99"/>
      <c r="N87" s="99"/>
      <c r="O87" s="99"/>
      <c r="P87" s="99">
        <f t="shared" si="31"/>
        <v>421121.46</v>
      </c>
      <c r="Q87" s="23"/>
      <c r="R87" s="32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</row>
    <row r="88" spans="1:527" s="24" customFormat="1" ht="31.5" x14ac:dyDescent="0.25">
      <c r="A88" s="84"/>
      <c r="B88" s="111"/>
      <c r="C88" s="84"/>
      <c r="D88" s="87" t="s">
        <v>389</v>
      </c>
      <c r="E88" s="101">
        <f t="shared" si="33"/>
        <v>421121.46</v>
      </c>
      <c r="F88" s="101">
        <f>381031.46+40090</f>
        <v>421121.46</v>
      </c>
      <c r="G88" s="101">
        <f>312921.65+32840</f>
        <v>345761.65</v>
      </c>
      <c r="H88" s="101"/>
      <c r="I88" s="101"/>
      <c r="J88" s="101">
        <f t="shared" si="34"/>
        <v>0</v>
      </c>
      <c r="K88" s="101"/>
      <c r="L88" s="101"/>
      <c r="M88" s="101"/>
      <c r="N88" s="101"/>
      <c r="O88" s="101"/>
      <c r="P88" s="101">
        <f t="shared" si="35"/>
        <v>421121.46</v>
      </c>
      <c r="Q88" s="30"/>
      <c r="R88" s="3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</row>
    <row r="89" spans="1:527" s="24" customFormat="1" ht="31.5" x14ac:dyDescent="0.25">
      <c r="A89" s="59" t="s">
        <v>530</v>
      </c>
      <c r="B89" s="93">
        <v>1061</v>
      </c>
      <c r="C89" s="59" t="s">
        <v>51</v>
      </c>
      <c r="D89" s="36" t="s">
        <v>504</v>
      </c>
      <c r="E89" s="99">
        <f t="shared" si="33"/>
        <v>947017.6</v>
      </c>
      <c r="F89" s="99">
        <v>947017.6</v>
      </c>
      <c r="G89" s="101"/>
      <c r="H89" s="101"/>
      <c r="I89" s="101"/>
      <c r="J89" s="99">
        <f t="shared" si="32"/>
        <v>6110725.1799999997</v>
      </c>
      <c r="K89" s="99">
        <v>6110725.1799999997</v>
      </c>
      <c r="L89" s="99"/>
      <c r="M89" s="99"/>
      <c r="N89" s="99"/>
      <c r="O89" s="99">
        <v>6110725.1799999997</v>
      </c>
      <c r="P89" s="99">
        <f t="shared" si="31"/>
        <v>7057742.7799999993</v>
      </c>
      <c r="Q89" s="30"/>
      <c r="R89" s="3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</row>
    <row r="90" spans="1:527" s="24" customFormat="1" ht="46.5" customHeight="1" x14ac:dyDescent="0.25">
      <c r="A90" s="84"/>
      <c r="B90" s="111"/>
      <c r="C90" s="84"/>
      <c r="D90" s="87" t="s">
        <v>544</v>
      </c>
      <c r="E90" s="101">
        <f>F90+I90</f>
        <v>246000</v>
      </c>
      <c r="F90" s="101">
        <v>246000</v>
      </c>
      <c r="G90" s="101"/>
      <c r="H90" s="101"/>
      <c r="I90" s="101"/>
      <c r="J90" s="101">
        <f>L90+O90</f>
        <v>1754000</v>
      </c>
      <c r="K90" s="101">
        <v>1754000</v>
      </c>
      <c r="L90" s="101"/>
      <c r="M90" s="101"/>
      <c r="N90" s="101"/>
      <c r="O90" s="101">
        <v>1754000</v>
      </c>
      <c r="P90" s="101">
        <f t="shared" si="31"/>
        <v>2000000</v>
      </c>
      <c r="Q90" s="30"/>
      <c r="R90" s="3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</row>
    <row r="91" spans="1:527" s="24" customFormat="1" ht="31.5" x14ac:dyDescent="0.25">
      <c r="A91" s="84"/>
      <c r="B91" s="111"/>
      <c r="C91" s="84"/>
      <c r="D91" s="87" t="s">
        <v>541</v>
      </c>
      <c r="E91" s="101">
        <f t="shared" ref="E91:E93" si="36">F91+I91</f>
        <v>701017.59999999998</v>
      </c>
      <c r="F91" s="101">
        <v>701017.59999999998</v>
      </c>
      <c r="G91" s="101"/>
      <c r="H91" s="101"/>
      <c r="I91" s="101"/>
      <c r="J91" s="101">
        <f t="shared" ref="J91" si="37">L91+O91</f>
        <v>4356725.18</v>
      </c>
      <c r="K91" s="101">
        <v>4356725.18</v>
      </c>
      <c r="L91" s="101"/>
      <c r="M91" s="101"/>
      <c r="N91" s="101"/>
      <c r="O91" s="101">
        <v>4356725.18</v>
      </c>
      <c r="P91" s="101">
        <f t="shared" si="31"/>
        <v>5057742.7799999993</v>
      </c>
      <c r="Q91" s="30"/>
      <c r="R91" s="3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</row>
    <row r="92" spans="1:527" s="24" customFormat="1" ht="63" x14ac:dyDescent="0.25">
      <c r="A92" s="59" t="s">
        <v>536</v>
      </c>
      <c r="B92" s="93">
        <v>1062</v>
      </c>
      <c r="C92" s="59" t="s">
        <v>55</v>
      </c>
      <c r="D92" s="60" t="s">
        <v>505</v>
      </c>
      <c r="E92" s="99">
        <f t="shared" si="33"/>
        <v>40000</v>
      </c>
      <c r="F92" s="99">
        <v>40000</v>
      </c>
      <c r="G92" s="101"/>
      <c r="H92" s="101"/>
      <c r="I92" s="101"/>
      <c r="J92" s="99">
        <f>L92+O92</f>
        <v>0</v>
      </c>
      <c r="K92" s="101"/>
      <c r="L92" s="101"/>
      <c r="M92" s="101"/>
      <c r="N92" s="101"/>
      <c r="O92" s="101"/>
      <c r="P92" s="99">
        <f t="shared" si="31"/>
        <v>40000</v>
      </c>
      <c r="Q92" s="30"/>
      <c r="R92" s="3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</row>
    <row r="93" spans="1:527" s="24" customFormat="1" ht="31.5" x14ac:dyDescent="0.25">
      <c r="A93" s="84"/>
      <c r="B93" s="111"/>
      <c r="C93" s="84"/>
      <c r="D93" s="87" t="s">
        <v>541</v>
      </c>
      <c r="E93" s="101">
        <f t="shared" si="36"/>
        <v>40000</v>
      </c>
      <c r="F93" s="101">
        <v>40000</v>
      </c>
      <c r="G93" s="101"/>
      <c r="H93" s="101"/>
      <c r="I93" s="101"/>
      <c r="J93" s="101">
        <f>L93+O93</f>
        <v>0</v>
      </c>
      <c r="K93" s="101"/>
      <c r="L93" s="101"/>
      <c r="M93" s="101"/>
      <c r="N93" s="101"/>
      <c r="O93" s="101"/>
      <c r="P93" s="101">
        <f t="shared" si="31"/>
        <v>40000</v>
      </c>
      <c r="Q93" s="30"/>
      <c r="R93" s="3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</row>
    <row r="94" spans="1:527" s="22" customFormat="1" ht="47.25" x14ac:dyDescent="0.25">
      <c r="A94" s="59" t="s">
        <v>477</v>
      </c>
      <c r="B94" s="59" t="s">
        <v>54</v>
      </c>
      <c r="C94" s="59" t="s">
        <v>57</v>
      </c>
      <c r="D94" s="60" t="s">
        <v>365</v>
      </c>
      <c r="E94" s="99">
        <f t="shared" si="30"/>
        <v>36378495</v>
      </c>
      <c r="F94" s="99">
        <f>35044945+407200+25850+900500</f>
        <v>36378495</v>
      </c>
      <c r="G94" s="99">
        <f>25836800+348600</f>
        <v>26185400</v>
      </c>
      <c r="H94" s="99">
        <f>2805445+900500</f>
        <v>3705945</v>
      </c>
      <c r="I94" s="99"/>
      <c r="J94" s="99">
        <f t="shared" si="32"/>
        <v>112500</v>
      </c>
      <c r="K94" s="99">
        <v>112500</v>
      </c>
      <c r="L94" s="99"/>
      <c r="M94" s="99"/>
      <c r="N94" s="99"/>
      <c r="O94" s="99">
        <v>112500</v>
      </c>
      <c r="P94" s="99">
        <f t="shared" si="31"/>
        <v>36490995</v>
      </c>
      <c r="Q94" s="23"/>
      <c r="R94" s="32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2" customFormat="1" ht="31.5" x14ac:dyDescent="0.25">
      <c r="A95" s="59" t="s">
        <v>478</v>
      </c>
      <c r="B95" s="59" t="s">
        <v>479</v>
      </c>
      <c r="C95" s="59" t="s">
        <v>58</v>
      </c>
      <c r="D95" s="36" t="s">
        <v>511</v>
      </c>
      <c r="E95" s="99">
        <f t="shared" si="30"/>
        <v>11562450</v>
      </c>
      <c r="F95" s="99">
        <f>11387250+175200</f>
        <v>11562450</v>
      </c>
      <c r="G95" s="99">
        <v>8331500</v>
      </c>
      <c r="H95" s="99">
        <f>585250+175200</f>
        <v>760450</v>
      </c>
      <c r="I95" s="99"/>
      <c r="J95" s="99">
        <f t="shared" si="32"/>
        <v>0</v>
      </c>
      <c r="K95" s="99">
        <v>0</v>
      </c>
      <c r="L95" s="99"/>
      <c r="M95" s="99"/>
      <c r="N95" s="99"/>
      <c r="O95" s="99">
        <v>0</v>
      </c>
      <c r="P95" s="99">
        <f t="shared" si="31"/>
        <v>11562450</v>
      </c>
      <c r="Q95" s="23"/>
      <c r="R95" s="32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</row>
    <row r="96" spans="1:527" s="22" customFormat="1" ht="18" customHeight="1" x14ac:dyDescent="0.25">
      <c r="A96" s="59" t="s">
        <v>480</v>
      </c>
      <c r="B96" s="59" t="s">
        <v>481</v>
      </c>
      <c r="C96" s="59" t="s">
        <v>58</v>
      </c>
      <c r="D96" s="36" t="s">
        <v>281</v>
      </c>
      <c r="E96" s="99">
        <f t="shared" si="30"/>
        <v>113000</v>
      </c>
      <c r="F96" s="99">
        <v>113000</v>
      </c>
      <c r="G96" s="99"/>
      <c r="H96" s="99"/>
      <c r="I96" s="99"/>
      <c r="J96" s="99">
        <f t="shared" ref="J96" si="38">L96+O96</f>
        <v>0</v>
      </c>
      <c r="K96" s="99"/>
      <c r="L96" s="99"/>
      <c r="M96" s="99"/>
      <c r="N96" s="99"/>
      <c r="O96" s="99"/>
      <c r="P96" s="99">
        <f t="shared" ref="P96" si="39">E96+J96</f>
        <v>113000</v>
      </c>
      <c r="Q96" s="23"/>
      <c r="R96" s="32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</row>
    <row r="97" spans="1:527" s="22" customFormat="1" ht="31.5" x14ac:dyDescent="0.25">
      <c r="A97" s="59" t="s">
        <v>482</v>
      </c>
      <c r="B97" s="59" t="s">
        <v>483</v>
      </c>
      <c r="C97" s="59" t="s">
        <v>58</v>
      </c>
      <c r="D97" s="60" t="s">
        <v>484</v>
      </c>
      <c r="E97" s="99">
        <f t="shared" si="30"/>
        <v>135033</v>
      </c>
      <c r="F97" s="99">
        <f>445933-324800+13900</f>
        <v>135033</v>
      </c>
      <c r="G97" s="99">
        <f>266200-266200</f>
        <v>0</v>
      </c>
      <c r="H97" s="99">
        <f>66733+13900</f>
        <v>80633</v>
      </c>
      <c r="I97" s="99"/>
      <c r="J97" s="99">
        <f t="shared" si="32"/>
        <v>0</v>
      </c>
      <c r="K97" s="99"/>
      <c r="L97" s="99"/>
      <c r="M97" s="99"/>
      <c r="N97" s="99"/>
      <c r="O97" s="99"/>
      <c r="P97" s="99">
        <f t="shared" si="31"/>
        <v>135033</v>
      </c>
      <c r="Q97" s="23"/>
      <c r="R97" s="32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</row>
    <row r="98" spans="1:527" s="22" customFormat="1" ht="45.75" customHeight="1" x14ac:dyDescent="0.25">
      <c r="A98" s="59" t="s">
        <v>485</v>
      </c>
      <c r="B98" s="59" t="s">
        <v>486</v>
      </c>
      <c r="C98" s="59" t="str">
        <f>'дод 8'!B64</f>
        <v>0990</v>
      </c>
      <c r="D98" s="60" t="s">
        <v>506</v>
      </c>
      <c r="E98" s="99">
        <f t="shared" si="30"/>
        <v>1499036</v>
      </c>
      <c r="F98" s="99">
        <v>1499036</v>
      </c>
      <c r="G98" s="99">
        <v>1228720</v>
      </c>
      <c r="H98" s="99"/>
      <c r="I98" s="99"/>
      <c r="J98" s="99">
        <f t="shared" si="32"/>
        <v>0</v>
      </c>
      <c r="K98" s="99"/>
      <c r="L98" s="99"/>
      <c r="M98" s="99"/>
      <c r="N98" s="99"/>
      <c r="O98" s="99"/>
      <c r="P98" s="99">
        <f t="shared" si="31"/>
        <v>1499036</v>
      </c>
      <c r="Q98" s="23"/>
      <c r="R98" s="32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  <c r="TF98" s="23"/>
      <c r="TG98" s="23"/>
    </row>
    <row r="99" spans="1:527" s="24" customFormat="1" ht="45.75" customHeight="1" x14ac:dyDescent="0.25">
      <c r="A99" s="84"/>
      <c r="B99" s="84"/>
      <c r="C99" s="84"/>
      <c r="D99" s="87" t="s">
        <v>384</v>
      </c>
      <c r="E99" s="101">
        <f t="shared" si="30"/>
        <v>1499036</v>
      </c>
      <c r="F99" s="101">
        <v>1499036</v>
      </c>
      <c r="G99" s="101">
        <v>1228720</v>
      </c>
      <c r="H99" s="101"/>
      <c r="I99" s="101"/>
      <c r="J99" s="101">
        <f t="shared" si="32"/>
        <v>0</v>
      </c>
      <c r="K99" s="101"/>
      <c r="L99" s="101"/>
      <c r="M99" s="101"/>
      <c r="N99" s="101"/>
      <c r="O99" s="101"/>
      <c r="P99" s="101">
        <f t="shared" si="31"/>
        <v>1499036</v>
      </c>
      <c r="Q99" s="30"/>
      <c r="R99" s="3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</row>
    <row r="100" spans="1:527" s="22" customFormat="1" ht="36" customHeight="1" x14ac:dyDescent="0.25">
      <c r="A100" s="59" t="s">
        <v>487</v>
      </c>
      <c r="B100" s="59" t="s">
        <v>488</v>
      </c>
      <c r="C100" s="59" t="str">
        <f>'дод 8'!B65</f>
        <v>0990</v>
      </c>
      <c r="D100" s="60" t="s">
        <v>489</v>
      </c>
      <c r="E100" s="99">
        <f t="shared" si="30"/>
        <v>2552577</v>
      </c>
      <c r="F100" s="99">
        <f>2521377+9000+22200</f>
        <v>2552577</v>
      </c>
      <c r="G100" s="99">
        <f>1880000-3000</f>
        <v>1877000</v>
      </c>
      <c r="H100" s="99">
        <f>92977+22200</f>
        <v>115177</v>
      </c>
      <c r="I100" s="99"/>
      <c r="J100" s="99">
        <f t="shared" si="32"/>
        <v>41000</v>
      </c>
      <c r="K100" s="99">
        <f>50000-9000</f>
        <v>41000</v>
      </c>
      <c r="L100" s="99"/>
      <c r="M100" s="99"/>
      <c r="N100" s="99"/>
      <c r="O100" s="99">
        <f>50000-9000</f>
        <v>41000</v>
      </c>
      <c r="P100" s="99">
        <f t="shared" si="31"/>
        <v>2593577</v>
      </c>
      <c r="Q100" s="23"/>
      <c r="R100" s="3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</row>
    <row r="101" spans="1:527" s="22" customFormat="1" ht="66" customHeight="1" x14ac:dyDescent="0.25">
      <c r="A101" s="59" t="s">
        <v>569</v>
      </c>
      <c r="B101" s="59" t="s">
        <v>570</v>
      </c>
      <c r="C101" s="59" t="s">
        <v>58</v>
      </c>
      <c r="D101" s="60" t="s">
        <v>573</v>
      </c>
      <c r="E101" s="99">
        <f t="shared" si="30"/>
        <v>0</v>
      </c>
      <c r="F101" s="99"/>
      <c r="G101" s="99"/>
      <c r="H101" s="99"/>
      <c r="I101" s="99"/>
      <c r="J101" s="99">
        <f t="shared" si="32"/>
        <v>1522670</v>
      </c>
      <c r="K101" s="99">
        <f>1610670-88000</f>
        <v>1522670</v>
      </c>
      <c r="L101" s="99"/>
      <c r="M101" s="99"/>
      <c r="N101" s="99"/>
      <c r="O101" s="99">
        <f>1610670-88000</f>
        <v>1522670</v>
      </c>
      <c r="P101" s="99">
        <f t="shared" si="31"/>
        <v>1522670</v>
      </c>
      <c r="Q101" s="23"/>
      <c r="R101" s="32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</row>
    <row r="102" spans="1:527" s="22" customFormat="1" ht="47.25" x14ac:dyDescent="0.25">
      <c r="A102" s="59" t="s">
        <v>557</v>
      </c>
      <c r="B102" s="59" t="s">
        <v>559</v>
      </c>
      <c r="C102" s="59" t="s">
        <v>58</v>
      </c>
      <c r="D102" s="60" t="s">
        <v>561</v>
      </c>
      <c r="E102" s="99">
        <f t="shared" si="30"/>
        <v>287772</v>
      </c>
      <c r="F102" s="99">
        <v>287772</v>
      </c>
      <c r="G102" s="99"/>
      <c r="H102" s="99"/>
      <c r="I102" s="99"/>
      <c r="J102" s="99">
        <f t="shared" si="32"/>
        <v>2859728</v>
      </c>
      <c r="K102" s="99">
        <v>2859728</v>
      </c>
      <c r="L102" s="99"/>
      <c r="M102" s="99"/>
      <c r="N102" s="99"/>
      <c r="O102" s="99">
        <v>2859728</v>
      </c>
      <c r="P102" s="99">
        <f t="shared" si="31"/>
        <v>3147500</v>
      </c>
      <c r="Q102" s="23"/>
      <c r="R102" s="32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</row>
    <row r="103" spans="1:527" s="24" customFormat="1" ht="52.5" customHeight="1" x14ac:dyDescent="0.25">
      <c r="A103" s="84"/>
      <c r="B103" s="84"/>
      <c r="C103" s="84"/>
      <c r="D103" s="87" t="s">
        <v>606</v>
      </c>
      <c r="E103" s="101">
        <f t="shared" si="30"/>
        <v>287772</v>
      </c>
      <c r="F103" s="101">
        <v>287772</v>
      </c>
      <c r="G103" s="101"/>
      <c r="H103" s="101"/>
      <c r="I103" s="101"/>
      <c r="J103" s="101">
        <f t="shared" si="32"/>
        <v>2859728</v>
      </c>
      <c r="K103" s="101">
        <v>2859728</v>
      </c>
      <c r="L103" s="101"/>
      <c r="M103" s="101"/>
      <c r="N103" s="101"/>
      <c r="O103" s="101">
        <v>2859728</v>
      </c>
      <c r="P103" s="101">
        <f t="shared" si="31"/>
        <v>3147500</v>
      </c>
      <c r="Q103" s="30"/>
      <c r="R103" s="3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</row>
    <row r="104" spans="1:527" s="22" customFormat="1" ht="78.75" x14ac:dyDescent="0.25">
      <c r="A104" s="59" t="s">
        <v>571</v>
      </c>
      <c r="B104" s="59" t="s">
        <v>572</v>
      </c>
      <c r="C104" s="59" t="s">
        <v>58</v>
      </c>
      <c r="D104" s="60" t="s">
        <v>599</v>
      </c>
      <c r="E104" s="99">
        <f t="shared" si="30"/>
        <v>2092101</v>
      </c>
      <c r="F104" s="99">
        <f>2037825+54276</f>
        <v>2092101</v>
      </c>
      <c r="G104" s="99"/>
      <c r="H104" s="99"/>
      <c r="I104" s="99"/>
      <c r="J104" s="99">
        <f t="shared" si="32"/>
        <v>364151</v>
      </c>
      <c r="K104" s="99">
        <f>330427+88000-54276</f>
        <v>364151</v>
      </c>
      <c r="L104" s="99"/>
      <c r="M104" s="99"/>
      <c r="N104" s="99"/>
      <c r="O104" s="99">
        <f>330427+88000-54276</f>
        <v>364151</v>
      </c>
      <c r="P104" s="99">
        <f t="shared" si="31"/>
        <v>2456252</v>
      </c>
      <c r="Q104" s="23"/>
      <c r="R104" s="32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</row>
    <row r="105" spans="1:527" s="22" customFormat="1" ht="15.75" x14ac:dyDescent="0.25">
      <c r="A105" s="59"/>
      <c r="B105" s="59"/>
      <c r="C105" s="59"/>
      <c r="D105" s="87" t="s">
        <v>395</v>
      </c>
      <c r="E105" s="101">
        <f t="shared" si="30"/>
        <v>150000</v>
      </c>
      <c r="F105" s="101">
        <v>150000</v>
      </c>
      <c r="G105" s="99"/>
      <c r="H105" s="99"/>
      <c r="I105" s="99"/>
      <c r="J105" s="101">
        <f t="shared" si="32"/>
        <v>0</v>
      </c>
      <c r="K105" s="99"/>
      <c r="L105" s="99"/>
      <c r="M105" s="99"/>
      <c r="N105" s="99"/>
      <c r="O105" s="99"/>
      <c r="P105" s="101">
        <f t="shared" si="31"/>
        <v>150000</v>
      </c>
      <c r="Q105" s="23"/>
      <c r="R105" s="32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</row>
    <row r="106" spans="1:527" s="22" customFormat="1" ht="78.75" x14ac:dyDescent="0.25">
      <c r="A106" s="59" t="s">
        <v>558</v>
      </c>
      <c r="B106" s="59" t="s">
        <v>560</v>
      </c>
      <c r="C106" s="59" t="s">
        <v>58</v>
      </c>
      <c r="D106" s="60" t="s">
        <v>607</v>
      </c>
      <c r="E106" s="99">
        <f t="shared" si="30"/>
        <v>6236344</v>
      </c>
      <c r="F106" s="99">
        <f>6109696+126648</f>
        <v>6236344</v>
      </c>
      <c r="G106" s="99">
        <v>57829</v>
      </c>
      <c r="H106" s="99"/>
      <c r="I106" s="99"/>
      <c r="J106" s="99">
        <f t="shared" si="32"/>
        <v>670719</v>
      </c>
      <c r="K106" s="99">
        <f>797367-126648</f>
        <v>670719</v>
      </c>
      <c r="L106" s="99"/>
      <c r="M106" s="99"/>
      <c r="N106" s="99"/>
      <c r="O106" s="99">
        <f>797367-126648</f>
        <v>670719</v>
      </c>
      <c r="P106" s="99">
        <f t="shared" si="31"/>
        <v>6907063</v>
      </c>
      <c r="Q106" s="23"/>
      <c r="R106" s="32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  <c r="TF106" s="23"/>
      <c r="TG106" s="23"/>
    </row>
    <row r="107" spans="1:527" s="24" customFormat="1" ht="63" x14ac:dyDescent="0.25">
      <c r="A107" s="84"/>
      <c r="B107" s="84"/>
      <c r="C107" s="84"/>
      <c r="D107" s="87" t="s">
        <v>562</v>
      </c>
      <c r="E107" s="101">
        <f t="shared" si="30"/>
        <v>6236344</v>
      </c>
      <c r="F107" s="101">
        <f>6109696+126648</f>
        <v>6236344</v>
      </c>
      <c r="G107" s="101">
        <v>57829</v>
      </c>
      <c r="H107" s="101"/>
      <c r="I107" s="101"/>
      <c r="J107" s="101">
        <f t="shared" si="32"/>
        <v>670719</v>
      </c>
      <c r="K107" s="101">
        <f>797367-126648</f>
        <v>670719</v>
      </c>
      <c r="L107" s="101"/>
      <c r="M107" s="101"/>
      <c r="N107" s="101"/>
      <c r="O107" s="101">
        <f>797367-126648</f>
        <v>670719</v>
      </c>
      <c r="P107" s="101">
        <f t="shared" si="31"/>
        <v>6907063</v>
      </c>
      <c r="Q107" s="30"/>
      <c r="R107" s="3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</row>
    <row r="108" spans="1:527" s="22" customFormat="1" ht="65.25" customHeight="1" x14ac:dyDescent="0.25">
      <c r="A108" s="59" t="s">
        <v>490</v>
      </c>
      <c r="B108" s="59" t="s">
        <v>491</v>
      </c>
      <c r="C108" s="59" t="s">
        <v>58</v>
      </c>
      <c r="D108" s="94" t="s">
        <v>507</v>
      </c>
      <c r="E108" s="99">
        <f t="shared" si="30"/>
        <v>2612700</v>
      </c>
      <c r="F108" s="99">
        <v>2612700</v>
      </c>
      <c r="G108" s="99">
        <v>1459720</v>
      </c>
      <c r="H108" s="99"/>
      <c r="I108" s="99"/>
      <c r="J108" s="99">
        <f t="shared" si="32"/>
        <v>72000</v>
      </c>
      <c r="K108" s="99">
        <v>72000</v>
      </c>
      <c r="L108" s="99"/>
      <c r="M108" s="99"/>
      <c r="N108" s="99"/>
      <c r="O108" s="99">
        <v>72000</v>
      </c>
      <c r="P108" s="99">
        <f t="shared" si="31"/>
        <v>2684700</v>
      </c>
      <c r="Q108" s="23"/>
      <c r="R108" s="32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</row>
    <row r="109" spans="1:527" s="24" customFormat="1" ht="63" x14ac:dyDescent="0.25">
      <c r="A109" s="84"/>
      <c r="B109" s="111"/>
      <c r="C109" s="111"/>
      <c r="D109" s="87" t="s">
        <v>383</v>
      </c>
      <c r="E109" s="101">
        <f t="shared" si="30"/>
        <v>2612700</v>
      </c>
      <c r="F109" s="101">
        <v>2612700</v>
      </c>
      <c r="G109" s="101">
        <v>1459720</v>
      </c>
      <c r="H109" s="101"/>
      <c r="I109" s="101"/>
      <c r="J109" s="101">
        <f t="shared" si="32"/>
        <v>72000</v>
      </c>
      <c r="K109" s="101">
        <v>72000</v>
      </c>
      <c r="L109" s="101"/>
      <c r="M109" s="101"/>
      <c r="N109" s="101"/>
      <c r="O109" s="101">
        <v>72000</v>
      </c>
      <c r="P109" s="101">
        <f t="shared" si="31"/>
        <v>2684700</v>
      </c>
      <c r="Q109" s="30"/>
      <c r="R109" s="3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</row>
    <row r="110" spans="1:527" s="24" customFormat="1" ht="78.75" x14ac:dyDescent="0.25">
      <c r="A110" s="59" t="s">
        <v>522</v>
      </c>
      <c r="B110" s="93">
        <v>1210</v>
      </c>
      <c r="C110" s="59" t="s">
        <v>58</v>
      </c>
      <c r="D110" s="36" t="s">
        <v>523</v>
      </c>
      <c r="E110" s="99">
        <f t="shared" si="30"/>
        <v>1315285.79</v>
      </c>
      <c r="F110" s="99">
        <f>1174231+141054.79</f>
        <v>1315285.79</v>
      </c>
      <c r="G110" s="99">
        <f>962484+72136</f>
        <v>1034620</v>
      </c>
      <c r="H110" s="101"/>
      <c r="I110" s="101"/>
      <c r="J110" s="99">
        <f t="shared" si="32"/>
        <v>0</v>
      </c>
      <c r="K110" s="101"/>
      <c r="L110" s="101"/>
      <c r="M110" s="101"/>
      <c r="N110" s="101"/>
      <c r="O110" s="101"/>
      <c r="P110" s="99">
        <f t="shared" si="31"/>
        <v>1315285.79</v>
      </c>
      <c r="Q110" s="30"/>
      <c r="R110" s="3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</row>
    <row r="111" spans="1:527" s="24" customFormat="1" ht="75.75" customHeight="1" x14ac:dyDescent="0.25">
      <c r="A111" s="84"/>
      <c r="B111" s="111"/>
      <c r="C111" s="111"/>
      <c r="D111" s="87" t="s">
        <v>524</v>
      </c>
      <c r="E111" s="101">
        <f t="shared" si="30"/>
        <v>1315285.79</v>
      </c>
      <c r="F111" s="101">
        <f>1174231+141054.79</f>
        <v>1315285.79</v>
      </c>
      <c r="G111" s="101">
        <f>962484+72136</f>
        <v>1034620</v>
      </c>
      <c r="H111" s="101"/>
      <c r="I111" s="101"/>
      <c r="J111" s="101">
        <f t="shared" si="32"/>
        <v>0</v>
      </c>
      <c r="K111" s="101"/>
      <c r="L111" s="101"/>
      <c r="M111" s="101"/>
      <c r="N111" s="101"/>
      <c r="O111" s="101"/>
      <c r="P111" s="101">
        <f t="shared" si="31"/>
        <v>1315285.79</v>
      </c>
      <c r="Q111" s="30"/>
      <c r="R111" s="3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</row>
    <row r="112" spans="1:527" s="24" customFormat="1" ht="64.5" customHeight="1" x14ac:dyDescent="0.25">
      <c r="A112" s="59" t="s">
        <v>492</v>
      </c>
      <c r="B112" s="93">
        <v>3140</v>
      </c>
      <c r="C112" s="93">
        <v>1040</v>
      </c>
      <c r="D112" s="6" t="s">
        <v>20</v>
      </c>
      <c r="E112" s="99">
        <f t="shared" si="30"/>
        <v>5500000</v>
      </c>
      <c r="F112" s="99">
        <v>5500000</v>
      </c>
      <c r="G112" s="99"/>
      <c r="H112" s="99"/>
      <c r="I112" s="99"/>
      <c r="J112" s="99">
        <f t="shared" si="32"/>
        <v>0</v>
      </c>
      <c r="K112" s="101"/>
      <c r="L112" s="101"/>
      <c r="M112" s="101"/>
      <c r="N112" s="101"/>
      <c r="O112" s="101"/>
      <c r="P112" s="99">
        <f t="shared" si="31"/>
        <v>5500000</v>
      </c>
      <c r="Q112" s="30"/>
      <c r="R112" s="3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</row>
    <row r="113" spans="1:527" s="24" customFormat="1" ht="31.5" x14ac:dyDescent="0.25">
      <c r="A113" s="59" t="s">
        <v>493</v>
      </c>
      <c r="B113" s="93">
        <v>3242</v>
      </c>
      <c r="C113" s="93">
        <v>1090</v>
      </c>
      <c r="D113" s="36" t="s">
        <v>412</v>
      </c>
      <c r="E113" s="99">
        <f t="shared" si="30"/>
        <v>54300</v>
      </c>
      <c r="F113" s="99">
        <v>54300</v>
      </c>
      <c r="G113" s="99"/>
      <c r="H113" s="99"/>
      <c r="I113" s="99"/>
      <c r="J113" s="99">
        <f t="shared" si="32"/>
        <v>0</v>
      </c>
      <c r="K113" s="101"/>
      <c r="L113" s="101"/>
      <c r="M113" s="101"/>
      <c r="N113" s="101"/>
      <c r="O113" s="101"/>
      <c r="P113" s="99">
        <f t="shared" si="31"/>
        <v>54300</v>
      </c>
      <c r="Q113" s="30"/>
      <c r="R113" s="3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</row>
    <row r="114" spans="1:527" s="24" customFormat="1" ht="47.25" x14ac:dyDescent="0.25">
      <c r="A114" s="59" t="s">
        <v>495</v>
      </c>
      <c r="B114" s="93">
        <v>5031</v>
      </c>
      <c r="C114" s="59" t="s">
        <v>80</v>
      </c>
      <c r="D114" s="3" t="s">
        <v>565</v>
      </c>
      <c r="E114" s="99">
        <f t="shared" si="30"/>
        <v>8883755</v>
      </c>
      <c r="F114" s="99">
        <f>8813255+70500</f>
        <v>8883755</v>
      </c>
      <c r="G114" s="99">
        <v>6510800</v>
      </c>
      <c r="H114" s="99">
        <f>202167+70500</f>
        <v>272667</v>
      </c>
      <c r="I114" s="99"/>
      <c r="J114" s="99">
        <f t="shared" si="32"/>
        <v>0</v>
      </c>
      <c r="K114" s="101"/>
      <c r="L114" s="101"/>
      <c r="M114" s="101"/>
      <c r="N114" s="101"/>
      <c r="O114" s="101"/>
      <c r="P114" s="99">
        <f t="shared" si="31"/>
        <v>8883755</v>
      </c>
      <c r="Q114" s="30"/>
      <c r="R114" s="3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</row>
    <row r="115" spans="1:527" s="24" customFormat="1" ht="23.25" customHeight="1" x14ac:dyDescent="0.25">
      <c r="A115" s="84"/>
      <c r="B115" s="111"/>
      <c r="C115" s="84"/>
      <c r="D115" s="87" t="s">
        <v>395</v>
      </c>
      <c r="E115" s="101">
        <f t="shared" si="30"/>
        <v>134064</v>
      </c>
      <c r="F115" s="101">
        <v>134064</v>
      </c>
      <c r="G115" s="101"/>
      <c r="H115" s="101"/>
      <c r="I115" s="101"/>
      <c r="J115" s="101">
        <f t="shared" si="32"/>
        <v>0</v>
      </c>
      <c r="K115" s="101"/>
      <c r="L115" s="101"/>
      <c r="M115" s="101"/>
      <c r="N115" s="101"/>
      <c r="O115" s="101"/>
      <c r="P115" s="101">
        <f t="shared" si="31"/>
        <v>134064</v>
      </c>
      <c r="Q115" s="30"/>
      <c r="R115" s="3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</row>
    <row r="116" spans="1:527" s="24" customFormat="1" ht="34.5" x14ac:dyDescent="0.25">
      <c r="A116" s="59" t="s">
        <v>496</v>
      </c>
      <c r="B116" s="93">
        <v>7321</v>
      </c>
      <c r="C116" s="59" t="s">
        <v>111</v>
      </c>
      <c r="D116" s="6" t="s">
        <v>615</v>
      </c>
      <c r="E116" s="99">
        <f t="shared" si="30"/>
        <v>0</v>
      </c>
      <c r="F116" s="99"/>
      <c r="G116" s="99"/>
      <c r="H116" s="99"/>
      <c r="I116" s="99"/>
      <c r="J116" s="99">
        <f t="shared" si="32"/>
        <v>26222282</v>
      </c>
      <c r="K116" s="99">
        <f>24799566-17200+12502+204100+323280+207900+392634+299500</f>
        <v>26222282</v>
      </c>
      <c r="L116" s="99"/>
      <c r="M116" s="99"/>
      <c r="N116" s="99"/>
      <c r="O116" s="99">
        <f>24799566-17200+12502+204100+323280+207900+392634+299500</f>
        <v>26222282</v>
      </c>
      <c r="P116" s="99">
        <f t="shared" si="31"/>
        <v>26222282</v>
      </c>
      <c r="Q116" s="30"/>
      <c r="R116" s="3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</row>
    <row r="117" spans="1:527" s="24" customFormat="1" ht="15.75" x14ac:dyDescent="0.25">
      <c r="A117" s="59"/>
      <c r="B117" s="93"/>
      <c r="C117" s="59"/>
      <c r="D117" s="87" t="s">
        <v>395</v>
      </c>
      <c r="E117" s="101">
        <f t="shared" si="30"/>
        <v>0</v>
      </c>
      <c r="F117" s="99"/>
      <c r="G117" s="99"/>
      <c r="H117" s="99"/>
      <c r="I117" s="99"/>
      <c r="J117" s="101">
        <f t="shared" si="32"/>
        <v>250000</v>
      </c>
      <c r="K117" s="101">
        <v>250000</v>
      </c>
      <c r="L117" s="99"/>
      <c r="M117" s="99"/>
      <c r="N117" s="99"/>
      <c r="O117" s="101">
        <v>250000</v>
      </c>
      <c r="P117" s="101">
        <f t="shared" si="31"/>
        <v>250000</v>
      </c>
      <c r="Q117" s="30"/>
      <c r="R117" s="3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</row>
    <row r="118" spans="1:527" s="24" customFormat="1" ht="51" customHeight="1" x14ac:dyDescent="0.25">
      <c r="A118" s="59" t="s">
        <v>554</v>
      </c>
      <c r="B118" s="93">
        <v>7363</v>
      </c>
      <c r="C118" s="59" t="s">
        <v>82</v>
      </c>
      <c r="D118" s="6" t="s">
        <v>398</v>
      </c>
      <c r="E118" s="99">
        <f t="shared" si="30"/>
        <v>0</v>
      </c>
      <c r="F118" s="99"/>
      <c r="G118" s="99"/>
      <c r="H118" s="99"/>
      <c r="I118" s="99"/>
      <c r="J118" s="99">
        <f t="shared" si="32"/>
        <v>15285200</v>
      </c>
      <c r="K118" s="99">
        <v>11792250</v>
      </c>
      <c r="L118" s="99"/>
      <c r="M118" s="99"/>
      <c r="N118" s="99"/>
      <c r="O118" s="99">
        <v>15285200</v>
      </c>
      <c r="P118" s="99">
        <f t="shared" si="31"/>
        <v>15285200</v>
      </c>
      <c r="Q118" s="30"/>
      <c r="R118" s="3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</row>
    <row r="119" spans="1:527" s="24" customFormat="1" ht="47.25" x14ac:dyDescent="0.25">
      <c r="A119" s="84"/>
      <c r="B119" s="111"/>
      <c r="C119" s="84"/>
      <c r="D119" s="81" t="s">
        <v>566</v>
      </c>
      <c r="E119" s="101">
        <f t="shared" si="30"/>
        <v>0</v>
      </c>
      <c r="F119" s="101"/>
      <c r="G119" s="101"/>
      <c r="H119" s="101"/>
      <c r="I119" s="101"/>
      <c r="J119" s="101">
        <f t="shared" si="32"/>
        <v>9499436</v>
      </c>
      <c r="K119" s="101">
        <v>6006486</v>
      </c>
      <c r="L119" s="101"/>
      <c r="M119" s="101"/>
      <c r="N119" s="101"/>
      <c r="O119" s="101">
        <v>9499436</v>
      </c>
      <c r="P119" s="101">
        <f t="shared" si="31"/>
        <v>9499436</v>
      </c>
      <c r="Q119" s="30"/>
      <c r="R119" s="3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</row>
    <row r="120" spans="1:527" s="24" customFormat="1" ht="15.75" x14ac:dyDescent="0.25">
      <c r="A120" s="59" t="s">
        <v>497</v>
      </c>
      <c r="B120" s="93">
        <v>7640</v>
      </c>
      <c r="C120" s="59" t="s">
        <v>86</v>
      </c>
      <c r="D120" s="3" t="s">
        <v>422</v>
      </c>
      <c r="E120" s="99">
        <f t="shared" si="30"/>
        <v>665150</v>
      </c>
      <c r="F120" s="99">
        <f>691000-25850</f>
        <v>665150</v>
      </c>
      <c r="G120" s="99"/>
      <c r="H120" s="99"/>
      <c r="I120" s="99"/>
      <c r="J120" s="99">
        <f t="shared" si="32"/>
        <v>11554696</v>
      </c>
      <c r="K120" s="99">
        <v>11554696</v>
      </c>
      <c r="L120" s="99"/>
      <c r="M120" s="99"/>
      <c r="N120" s="99"/>
      <c r="O120" s="99">
        <v>11554696</v>
      </c>
      <c r="P120" s="99">
        <f t="shared" si="31"/>
        <v>12219846</v>
      </c>
      <c r="Q120" s="30"/>
      <c r="R120" s="3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</row>
    <row r="121" spans="1:527" s="24" customFormat="1" ht="47.25" x14ac:dyDescent="0.25">
      <c r="A121" s="59" t="s">
        <v>500</v>
      </c>
      <c r="B121" s="93">
        <v>7700</v>
      </c>
      <c r="C121" s="59" t="s">
        <v>93</v>
      </c>
      <c r="D121" s="3" t="s">
        <v>362</v>
      </c>
      <c r="E121" s="99">
        <f t="shared" si="30"/>
        <v>0</v>
      </c>
      <c r="F121" s="99"/>
      <c r="G121" s="99"/>
      <c r="H121" s="99"/>
      <c r="I121" s="99"/>
      <c r="J121" s="99">
        <f t="shared" si="32"/>
        <v>630000</v>
      </c>
      <c r="K121" s="99"/>
      <c r="L121" s="99"/>
      <c r="M121" s="99"/>
      <c r="N121" s="99"/>
      <c r="O121" s="99">
        <v>630000</v>
      </c>
      <c r="P121" s="99">
        <f t="shared" si="31"/>
        <v>630000</v>
      </c>
      <c r="Q121" s="30"/>
      <c r="R121" s="3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</row>
    <row r="122" spans="1:527" s="24" customFormat="1" ht="37.5" customHeight="1" x14ac:dyDescent="0.25">
      <c r="A122" s="59" t="s">
        <v>498</v>
      </c>
      <c r="B122" s="93">
        <v>8340</v>
      </c>
      <c r="C122" s="59" t="s">
        <v>92</v>
      </c>
      <c r="D122" s="3" t="s">
        <v>10</v>
      </c>
      <c r="E122" s="99">
        <f t="shared" si="30"/>
        <v>0</v>
      </c>
      <c r="F122" s="99"/>
      <c r="G122" s="99"/>
      <c r="H122" s="99"/>
      <c r="I122" s="99"/>
      <c r="J122" s="99">
        <f t="shared" si="32"/>
        <v>625000</v>
      </c>
      <c r="K122" s="99"/>
      <c r="L122" s="99">
        <v>575100</v>
      </c>
      <c r="M122" s="99"/>
      <c r="N122" s="99"/>
      <c r="O122" s="99">
        <v>49900</v>
      </c>
      <c r="P122" s="99">
        <f t="shared" si="31"/>
        <v>625000</v>
      </c>
      <c r="Q122" s="30"/>
      <c r="R122" s="3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  <c r="TF122" s="30"/>
      <c r="TG122" s="30"/>
    </row>
    <row r="123" spans="1:527" s="24" customFormat="1" ht="47.25" x14ac:dyDescent="0.25">
      <c r="A123" s="59" t="s">
        <v>537</v>
      </c>
      <c r="B123" s="93">
        <v>9320</v>
      </c>
      <c r="C123" s="59" t="s">
        <v>45</v>
      </c>
      <c r="D123" s="6" t="s">
        <v>616</v>
      </c>
      <c r="E123" s="99">
        <f t="shared" si="30"/>
        <v>693000</v>
      </c>
      <c r="F123" s="99">
        <v>693000</v>
      </c>
      <c r="G123" s="99"/>
      <c r="H123" s="99"/>
      <c r="I123" s="99"/>
      <c r="J123" s="99">
        <f t="shared" si="32"/>
        <v>3307000</v>
      </c>
      <c r="K123" s="99">
        <v>3307000</v>
      </c>
      <c r="L123" s="99"/>
      <c r="M123" s="99"/>
      <c r="N123" s="99"/>
      <c r="O123" s="99">
        <v>3307000</v>
      </c>
      <c r="P123" s="99">
        <f t="shared" si="31"/>
        <v>4000000</v>
      </c>
      <c r="Q123" s="30"/>
      <c r="R123" s="3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  <c r="TG123" s="30"/>
    </row>
    <row r="124" spans="1:527" s="24" customFormat="1" ht="31.5" x14ac:dyDescent="0.25">
      <c r="A124" s="84"/>
      <c r="B124" s="111"/>
      <c r="C124" s="84"/>
      <c r="D124" s="87" t="s">
        <v>532</v>
      </c>
      <c r="E124" s="101">
        <f t="shared" si="30"/>
        <v>693000</v>
      </c>
      <c r="F124" s="101">
        <v>693000</v>
      </c>
      <c r="G124" s="101"/>
      <c r="H124" s="101"/>
      <c r="I124" s="101"/>
      <c r="J124" s="101">
        <f t="shared" si="32"/>
        <v>3307000</v>
      </c>
      <c r="K124" s="101">
        <v>3307000</v>
      </c>
      <c r="L124" s="101"/>
      <c r="M124" s="101"/>
      <c r="N124" s="101"/>
      <c r="O124" s="101">
        <v>3307000</v>
      </c>
      <c r="P124" s="101">
        <f t="shared" si="31"/>
        <v>4000000</v>
      </c>
      <c r="Q124" s="30"/>
      <c r="R124" s="3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</row>
    <row r="125" spans="1:527" s="24" customFormat="1" ht="22.5" customHeight="1" x14ac:dyDescent="0.25">
      <c r="A125" s="59" t="s">
        <v>499</v>
      </c>
      <c r="B125" s="93">
        <v>9770</v>
      </c>
      <c r="C125" s="59" t="s">
        <v>45</v>
      </c>
      <c r="D125" s="6" t="s">
        <v>356</v>
      </c>
      <c r="E125" s="99">
        <f t="shared" ref="E125" si="40">F125+I125</f>
        <v>67650000</v>
      </c>
      <c r="F125" s="99">
        <v>67650000</v>
      </c>
      <c r="G125" s="99"/>
      <c r="H125" s="99"/>
      <c r="I125" s="99"/>
      <c r="J125" s="99">
        <f t="shared" ref="J125" si="41">L125+O125</f>
        <v>1256508</v>
      </c>
      <c r="K125" s="99">
        <v>1256508</v>
      </c>
      <c r="L125" s="99"/>
      <c r="M125" s="99"/>
      <c r="N125" s="99"/>
      <c r="O125" s="99">
        <v>1256508</v>
      </c>
      <c r="P125" s="99">
        <f t="shared" ref="P125" si="42">E125+J125</f>
        <v>68906508</v>
      </c>
      <c r="Q125" s="30"/>
      <c r="R125" s="3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</row>
    <row r="126" spans="1:527" s="24" customFormat="1" ht="48.75" customHeight="1" x14ac:dyDescent="0.25">
      <c r="A126" s="59" t="s">
        <v>527</v>
      </c>
      <c r="B126" s="93">
        <v>9800</v>
      </c>
      <c r="C126" s="59" t="s">
        <v>45</v>
      </c>
      <c r="D126" s="6" t="s">
        <v>367</v>
      </c>
      <c r="E126" s="99">
        <f t="shared" si="30"/>
        <v>58930</v>
      </c>
      <c r="F126" s="99">
        <f>49600+9330</f>
        <v>58930</v>
      </c>
      <c r="G126" s="99"/>
      <c r="H126" s="99"/>
      <c r="I126" s="99"/>
      <c r="J126" s="99">
        <f t="shared" si="32"/>
        <v>0</v>
      </c>
      <c r="K126" s="99"/>
      <c r="L126" s="99"/>
      <c r="M126" s="99"/>
      <c r="N126" s="99"/>
      <c r="O126" s="99"/>
      <c r="P126" s="99">
        <f t="shared" si="31"/>
        <v>58930</v>
      </c>
      <c r="Q126" s="30"/>
      <c r="R126" s="3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</row>
    <row r="127" spans="1:527" s="27" customFormat="1" ht="33.75" customHeight="1" x14ac:dyDescent="0.25">
      <c r="A127" s="110" t="s">
        <v>169</v>
      </c>
      <c r="B127" s="112"/>
      <c r="C127" s="112"/>
      <c r="D127" s="107" t="s">
        <v>463</v>
      </c>
      <c r="E127" s="95">
        <f>E128</f>
        <v>99726317.400000006</v>
      </c>
      <c r="F127" s="95">
        <f t="shared" ref="F127:P127" si="43">F128</f>
        <v>99726317.400000006</v>
      </c>
      <c r="G127" s="95">
        <f t="shared" si="43"/>
        <v>4343800</v>
      </c>
      <c r="H127" s="95">
        <f t="shared" si="43"/>
        <v>112968</v>
      </c>
      <c r="I127" s="95">
        <f t="shared" si="43"/>
        <v>0</v>
      </c>
      <c r="J127" s="95">
        <f t="shared" si="43"/>
        <v>153734974.53999999</v>
      </c>
      <c r="K127" s="95">
        <f t="shared" si="43"/>
        <v>153734974.53999999</v>
      </c>
      <c r="L127" s="95">
        <f t="shared" si="43"/>
        <v>0</v>
      </c>
      <c r="M127" s="95">
        <f t="shared" si="43"/>
        <v>0</v>
      </c>
      <c r="N127" s="95">
        <f t="shared" si="43"/>
        <v>0</v>
      </c>
      <c r="O127" s="95">
        <f t="shared" si="43"/>
        <v>153734974.53999999</v>
      </c>
      <c r="P127" s="95">
        <f t="shared" si="43"/>
        <v>253461291.94</v>
      </c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2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2"/>
      <c r="QX127" s="32"/>
      <c r="QY127" s="32"/>
      <c r="QZ127" s="32"/>
      <c r="RA127" s="32"/>
      <c r="RB127" s="32"/>
      <c r="RC127" s="32"/>
      <c r="RD127" s="32"/>
      <c r="RE127" s="32"/>
      <c r="RF127" s="32"/>
      <c r="RG127" s="32"/>
      <c r="RH127" s="32"/>
      <c r="RI127" s="32"/>
      <c r="RJ127" s="32"/>
      <c r="RK127" s="32"/>
      <c r="RL127" s="32"/>
      <c r="RM127" s="32"/>
      <c r="RN127" s="32"/>
      <c r="RO127" s="32"/>
      <c r="RP127" s="32"/>
      <c r="RQ127" s="32"/>
      <c r="RR127" s="32"/>
      <c r="RS127" s="32"/>
      <c r="RT127" s="32"/>
      <c r="RU127" s="32"/>
      <c r="RV127" s="32"/>
      <c r="RW127" s="32"/>
      <c r="RX127" s="32"/>
      <c r="RY127" s="32"/>
      <c r="RZ127" s="32"/>
      <c r="SA127" s="32"/>
      <c r="SB127" s="32"/>
      <c r="SC127" s="32"/>
      <c r="SD127" s="32"/>
      <c r="SE127" s="32"/>
      <c r="SF127" s="32"/>
      <c r="SG127" s="32"/>
      <c r="SH127" s="32"/>
      <c r="SI127" s="32"/>
      <c r="SJ127" s="32"/>
      <c r="SK127" s="32"/>
      <c r="SL127" s="32"/>
      <c r="SM127" s="32"/>
      <c r="SN127" s="32"/>
      <c r="SO127" s="32"/>
      <c r="SP127" s="32"/>
      <c r="SQ127" s="32"/>
      <c r="SR127" s="32"/>
      <c r="SS127" s="32"/>
      <c r="ST127" s="32"/>
      <c r="SU127" s="32"/>
      <c r="SV127" s="32"/>
      <c r="SW127" s="32"/>
      <c r="SX127" s="32"/>
      <c r="SY127" s="32"/>
      <c r="SZ127" s="32"/>
      <c r="TA127" s="32"/>
      <c r="TB127" s="32"/>
      <c r="TC127" s="32"/>
      <c r="TD127" s="32"/>
      <c r="TE127" s="32"/>
      <c r="TF127" s="32"/>
      <c r="TG127" s="32"/>
    </row>
    <row r="128" spans="1:527" s="34" customFormat="1" ht="30.75" customHeight="1" x14ac:dyDescent="0.25">
      <c r="A128" s="96" t="s">
        <v>170</v>
      </c>
      <c r="B128" s="109"/>
      <c r="C128" s="109"/>
      <c r="D128" s="77" t="s">
        <v>469</v>
      </c>
      <c r="E128" s="98">
        <f>E136+E137+E142+E144+E146+E148+E151+E152+E153+E154+E155+E157+E159+E160+E141</f>
        <v>99726317.400000006</v>
      </c>
      <c r="F128" s="98">
        <f t="shared" ref="F128:P128" si="44">F136+F137+F142+F144+F146+F148+F151+F152+F153+F154+F155+F157+F159+F160+F141</f>
        <v>99726317.400000006</v>
      </c>
      <c r="G128" s="98">
        <f t="shared" si="44"/>
        <v>4343800</v>
      </c>
      <c r="H128" s="98">
        <f t="shared" si="44"/>
        <v>112968</v>
      </c>
      <c r="I128" s="98">
        <f t="shared" si="44"/>
        <v>0</v>
      </c>
      <c r="J128" s="98">
        <f t="shared" si="44"/>
        <v>153734974.53999999</v>
      </c>
      <c r="K128" s="98">
        <f>K136+K137+K142+K144+K146+K148+K151+K152+K153+K154+K155+K157+K159+K160+K141</f>
        <v>153734974.53999999</v>
      </c>
      <c r="L128" s="98">
        <f t="shared" si="44"/>
        <v>0</v>
      </c>
      <c r="M128" s="98">
        <f t="shared" si="44"/>
        <v>0</v>
      </c>
      <c r="N128" s="98">
        <f t="shared" si="44"/>
        <v>0</v>
      </c>
      <c r="O128" s="98">
        <f t="shared" si="44"/>
        <v>153734974.53999999</v>
      </c>
      <c r="P128" s="98">
        <f t="shared" si="44"/>
        <v>253461291.94</v>
      </c>
      <c r="Q128" s="33"/>
      <c r="R128" s="32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</row>
    <row r="129" spans="1:527" s="34" customFormat="1" ht="31.5" hidden="1" customHeight="1" x14ac:dyDescent="0.25">
      <c r="A129" s="96"/>
      <c r="B129" s="109"/>
      <c r="C129" s="109"/>
      <c r="D129" s="77" t="s">
        <v>390</v>
      </c>
      <c r="E129" s="98">
        <f>E138+E143+E145</f>
        <v>0</v>
      </c>
      <c r="F129" s="98">
        <f t="shared" ref="F129:P129" si="45">F138+F143+F145</f>
        <v>0</v>
      </c>
      <c r="G129" s="98">
        <f t="shared" si="45"/>
        <v>0</v>
      </c>
      <c r="H129" s="98">
        <f t="shared" si="45"/>
        <v>0</v>
      </c>
      <c r="I129" s="98">
        <f t="shared" si="45"/>
        <v>0</v>
      </c>
      <c r="J129" s="98">
        <f t="shared" si="45"/>
        <v>0</v>
      </c>
      <c r="K129" s="98">
        <f t="shared" si="45"/>
        <v>0</v>
      </c>
      <c r="L129" s="98">
        <f t="shared" si="45"/>
        <v>0</v>
      </c>
      <c r="M129" s="98">
        <f t="shared" si="45"/>
        <v>0</v>
      </c>
      <c r="N129" s="98">
        <f t="shared" si="45"/>
        <v>0</v>
      </c>
      <c r="O129" s="98">
        <f t="shared" si="45"/>
        <v>0</v>
      </c>
      <c r="P129" s="98">
        <f t="shared" si="45"/>
        <v>0</v>
      </c>
      <c r="Q129" s="33"/>
      <c r="R129" s="32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</row>
    <row r="130" spans="1:527" s="34" customFormat="1" ht="63" hidden="1" customHeight="1" x14ac:dyDescent="0.25">
      <c r="A130" s="96"/>
      <c r="B130" s="109"/>
      <c r="C130" s="109"/>
      <c r="D130" s="77" t="s">
        <v>388</v>
      </c>
      <c r="E130" s="98">
        <f>E156</f>
        <v>0</v>
      </c>
      <c r="F130" s="98">
        <f>F156</f>
        <v>0</v>
      </c>
      <c r="G130" s="98">
        <f t="shared" ref="G130:I130" si="46">G156</f>
        <v>0</v>
      </c>
      <c r="H130" s="98">
        <f t="shared" si="46"/>
        <v>0</v>
      </c>
      <c r="I130" s="98">
        <f t="shared" si="46"/>
        <v>0</v>
      </c>
      <c r="J130" s="98">
        <f>J156</f>
        <v>156000</v>
      </c>
      <c r="K130" s="98">
        <f t="shared" ref="K130:P130" si="47">K156</f>
        <v>156000</v>
      </c>
      <c r="L130" s="98">
        <f t="shared" si="47"/>
        <v>0</v>
      </c>
      <c r="M130" s="98">
        <f t="shared" si="47"/>
        <v>0</v>
      </c>
      <c r="N130" s="98">
        <f t="shared" si="47"/>
        <v>0</v>
      </c>
      <c r="O130" s="98">
        <f t="shared" si="47"/>
        <v>156000</v>
      </c>
      <c r="P130" s="98">
        <f t="shared" si="47"/>
        <v>156000</v>
      </c>
      <c r="Q130" s="33"/>
      <c r="R130" s="32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</row>
    <row r="131" spans="1:527" s="34" customFormat="1" ht="47.25" hidden="1" customHeight="1" x14ac:dyDescent="0.25">
      <c r="A131" s="96"/>
      <c r="B131" s="109"/>
      <c r="C131" s="109"/>
      <c r="D131" s="77" t="s">
        <v>391</v>
      </c>
      <c r="E131" s="98">
        <f>E139+E149</f>
        <v>0</v>
      </c>
      <c r="F131" s="98">
        <f t="shared" ref="F131:P131" si="48">F139+F149</f>
        <v>0</v>
      </c>
      <c r="G131" s="98">
        <f t="shared" si="48"/>
        <v>0</v>
      </c>
      <c r="H131" s="98">
        <f t="shared" si="48"/>
        <v>0</v>
      </c>
      <c r="I131" s="98">
        <f t="shared" si="48"/>
        <v>0</v>
      </c>
      <c r="J131" s="98">
        <f t="shared" si="48"/>
        <v>0</v>
      </c>
      <c r="K131" s="98">
        <f t="shared" si="48"/>
        <v>0</v>
      </c>
      <c r="L131" s="98">
        <f t="shared" si="48"/>
        <v>0</v>
      </c>
      <c r="M131" s="98">
        <f t="shared" si="48"/>
        <v>0</v>
      </c>
      <c r="N131" s="98">
        <f t="shared" si="48"/>
        <v>0</v>
      </c>
      <c r="O131" s="98">
        <f t="shared" si="48"/>
        <v>0</v>
      </c>
      <c r="P131" s="98">
        <f t="shared" si="48"/>
        <v>0</v>
      </c>
      <c r="Q131" s="33"/>
      <c r="R131" s="32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</row>
    <row r="132" spans="1:527" s="34" customFormat="1" ht="63" x14ac:dyDescent="0.25">
      <c r="A132" s="96"/>
      <c r="B132" s="109"/>
      <c r="C132" s="109"/>
      <c r="D132" s="77" t="s">
        <v>392</v>
      </c>
      <c r="E132" s="98">
        <f>E147+E150</f>
        <v>11403700</v>
      </c>
      <c r="F132" s="98">
        <f t="shared" ref="F132:P132" si="49">F147+F150</f>
        <v>11403700</v>
      </c>
      <c r="G132" s="98">
        <f t="shared" si="49"/>
        <v>0</v>
      </c>
      <c r="H132" s="98">
        <f t="shared" si="49"/>
        <v>0</v>
      </c>
      <c r="I132" s="98">
        <f t="shared" si="49"/>
        <v>0</v>
      </c>
      <c r="J132" s="98">
        <f t="shared" si="49"/>
        <v>0</v>
      </c>
      <c r="K132" s="98">
        <f>K147+K150</f>
        <v>0</v>
      </c>
      <c r="L132" s="98">
        <f t="shared" si="49"/>
        <v>0</v>
      </c>
      <c r="M132" s="98">
        <f t="shared" si="49"/>
        <v>0</v>
      </c>
      <c r="N132" s="98">
        <f t="shared" si="49"/>
        <v>0</v>
      </c>
      <c r="O132" s="98">
        <f t="shared" si="49"/>
        <v>0</v>
      </c>
      <c r="P132" s="98">
        <f t="shared" si="49"/>
        <v>11403700</v>
      </c>
      <c r="Q132" s="33"/>
      <c r="R132" s="32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</row>
    <row r="133" spans="1:527" s="34" customFormat="1" ht="49.5" customHeight="1" x14ac:dyDescent="0.25">
      <c r="A133" s="96"/>
      <c r="B133" s="109"/>
      <c r="C133" s="109"/>
      <c r="D133" s="77" t="s">
        <v>388</v>
      </c>
      <c r="E133" s="98">
        <f>E156</f>
        <v>0</v>
      </c>
      <c r="F133" s="98">
        <f t="shared" ref="F133:P133" si="50">F156</f>
        <v>0</v>
      </c>
      <c r="G133" s="98">
        <f t="shared" si="50"/>
        <v>0</v>
      </c>
      <c r="H133" s="98">
        <f t="shared" si="50"/>
        <v>0</v>
      </c>
      <c r="I133" s="98">
        <f t="shared" si="50"/>
        <v>0</v>
      </c>
      <c r="J133" s="98">
        <f t="shared" si="50"/>
        <v>156000</v>
      </c>
      <c r="K133" s="98">
        <f t="shared" si="50"/>
        <v>156000</v>
      </c>
      <c r="L133" s="98">
        <f t="shared" si="50"/>
        <v>0</v>
      </c>
      <c r="M133" s="98">
        <f t="shared" si="50"/>
        <v>0</v>
      </c>
      <c r="N133" s="98">
        <f t="shared" si="50"/>
        <v>0</v>
      </c>
      <c r="O133" s="98">
        <f t="shared" si="50"/>
        <v>156000</v>
      </c>
      <c r="P133" s="98">
        <f t="shared" si="50"/>
        <v>156000</v>
      </c>
      <c r="Q133" s="33"/>
      <c r="R133" s="32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</row>
    <row r="134" spans="1:527" s="34" customFormat="1" ht="15.75" x14ac:dyDescent="0.25">
      <c r="A134" s="96"/>
      <c r="B134" s="109"/>
      <c r="C134" s="109"/>
      <c r="D134" s="77" t="s">
        <v>393</v>
      </c>
      <c r="E134" s="98">
        <f>E140</f>
        <v>93426</v>
      </c>
      <c r="F134" s="98">
        <f t="shared" ref="F134:O134" si="51">F140</f>
        <v>93426</v>
      </c>
      <c r="G134" s="98">
        <f t="shared" si="51"/>
        <v>0</v>
      </c>
      <c r="H134" s="98">
        <f t="shared" si="51"/>
        <v>0</v>
      </c>
      <c r="I134" s="98">
        <f t="shared" si="51"/>
        <v>0</v>
      </c>
      <c r="J134" s="98">
        <f t="shared" si="51"/>
        <v>5750000</v>
      </c>
      <c r="K134" s="98">
        <f t="shared" si="51"/>
        <v>5750000</v>
      </c>
      <c r="L134" s="98">
        <f t="shared" si="51"/>
        <v>0</v>
      </c>
      <c r="M134" s="98">
        <f t="shared" si="51"/>
        <v>0</v>
      </c>
      <c r="N134" s="98">
        <f t="shared" si="51"/>
        <v>0</v>
      </c>
      <c r="O134" s="98">
        <f t="shared" si="51"/>
        <v>5750000</v>
      </c>
      <c r="P134" s="98">
        <f>P140</f>
        <v>5843426</v>
      </c>
      <c r="Q134" s="33"/>
      <c r="R134" s="32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  <c r="TF134" s="33"/>
      <c r="TG134" s="33"/>
    </row>
    <row r="135" spans="1:527" s="34" customFormat="1" ht="15.75" x14ac:dyDescent="0.25">
      <c r="A135" s="96"/>
      <c r="B135" s="109"/>
      <c r="C135" s="109"/>
      <c r="D135" s="83" t="s">
        <v>419</v>
      </c>
      <c r="E135" s="98">
        <f>E158</f>
        <v>0</v>
      </c>
      <c r="F135" s="98">
        <f t="shared" ref="F135:P135" si="52">F158</f>
        <v>0</v>
      </c>
      <c r="G135" s="98">
        <f t="shared" si="52"/>
        <v>0</v>
      </c>
      <c r="H135" s="98">
        <f t="shared" si="52"/>
        <v>0</v>
      </c>
      <c r="I135" s="98">
        <f t="shared" si="52"/>
        <v>0</v>
      </c>
      <c r="J135" s="98">
        <f t="shared" si="52"/>
        <v>4662070.12</v>
      </c>
      <c r="K135" s="98">
        <f t="shared" si="52"/>
        <v>4662070.12</v>
      </c>
      <c r="L135" s="98">
        <f t="shared" si="52"/>
        <v>0</v>
      </c>
      <c r="M135" s="98">
        <f t="shared" si="52"/>
        <v>0</v>
      </c>
      <c r="N135" s="98">
        <f t="shared" si="52"/>
        <v>0</v>
      </c>
      <c r="O135" s="98">
        <f t="shared" si="52"/>
        <v>4662070.12</v>
      </c>
      <c r="P135" s="98">
        <f t="shared" si="52"/>
        <v>4662070.12</v>
      </c>
      <c r="Q135" s="33"/>
      <c r="R135" s="32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</row>
    <row r="136" spans="1:527" s="22" customFormat="1" ht="48" customHeight="1" x14ac:dyDescent="0.25">
      <c r="A136" s="59" t="s">
        <v>171</v>
      </c>
      <c r="B136" s="93" t="str">
        <f>'дод 8'!A19</f>
        <v>0160</v>
      </c>
      <c r="C136" s="93" t="str">
        <f>'дод 8'!B19</f>
        <v>0111</v>
      </c>
      <c r="D136" s="36" t="s">
        <v>494</v>
      </c>
      <c r="E136" s="99">
        <f t="shared" ref="E136:E160" si="53">F136+I136</f>
        <v>2564384</v>
      </c>
      <c r="F136" s="99">
        <v>2564384</v>
      </c>
      <c r="G136" s="99">
        <v>1956200</v>
      </c>
      <c r="H136" s="99">
        <f>35584+8500</f>
        <v>44084</v>
      </c>
      <c r="I136" s="99"/>
      <c r="J136" s="99">
        <f>L136+O136</f>
        <v>600000</v>
      </c>
      <c r="K136" s="99">
        <v>600000</v>
      </c>
      <c r="L136" s="99"/>
      <c r="M136" s="99"/>
      <c r="N136" s="99"/>
      <c r="O136" s="99">
        <v>600000</v>
      </c>
      <c r="P136" s="99">
        <f t="shared" ref="P136:P160" si="54">E136+J136</f>
        <v>3164384</v>
      </c>
      <c r="Q136" s="23"/>
      <c r="R136" s="32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  <c r="PA136" s="23"/>
      <c r="PB136" s="23"/>
      <c r="PC136" s="23"/>
      <c r="PD136" s="23"/>
      <c r="PE136" s="23"/>
      <c r="PF136" s="23"/>
      <c r="PG136" s="23"/>
      <c r="PH136" s="23"/>
      <c r="PI136" s="23"/>
      <c r="PJ136" s="23"/>
      <c r="PK136" s="23"/>
      <c r="PL136" s="23"/>
      <c r="PM136" s="23"/>
      <c r="PN136" s="23"/>
      <c r="PO136" s="23"/>
      <c r="PP136" s="23"/>
      <c r="PQ136" s="23"/>
      <c r="PR136" s="23"/>
      <c r="PS136" s="23"/>
      <c r="PT136" s="23"/>
      <c r="PU136" s="23"/>
      <c r="PV136" s="23"/>
      <c r="PW136" s="23"/>
      <c r="PX136" s="23"/>
      <c r="PY136" s="23"/>
      <c r="PZ136" s="23"/>
      <c r="QA136" s="23"/>
      <c r="QB136" s="23"/>
      <c r="QC136" s="23"/>
      <c r="QD136" s="23"/>
      <c r="QE136" s="2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23"/>
      <c r="RN136" s="23"/>
      <c r="RO136" s="23"/>
      <c r="RP136" s="23"/>
      <c r="RQ136" s="23"/>
      <c r="RR136" s="23"/>
      <c r="RS136" s="23"/>
      <c r="RT136" s="23"/>
      <c r="RU136" s="23"/>
      <c r="RV136" s="23"/>
      <c r="RW136" s="23"/>
      <c r="RX136" s="23"/>
      <c r="RY136" s="23"/>
      <c r="RZ136" s="23"/>
      <c r="SA136" s="23"/>
      <c r="SB136" s="23"/>
      <c r="SC136" s="23"/>
      <c r="SD136" s="23"/>
      <c r="SE136" s="23"/>
      <c r="SF136" s="23"/>
      <c r="SG136" s="23"/>
      <c r="SH136" s="23"/>
      <c r="SI136" s="23"/>
      <c r="SJ136" s="23"/>
      <c r="SK136" s="23"/>
      <c r="SL136" s="23"/>
      <c r="SM136" s="23"/>
      <c r="SN136" s="23"/>
      <c r="SO136" s="23"/>
      <c r="SP136" s="23"/>
      <c r="SQ136" s="23"/>
      <c r="SR136" s="23"/>
      <c r="SS136" s="23"/>
      <c r="ST136" s="23"/>
      <c r="SU136" s="23"/>
      <c r="SV136" s="23"/>
      <c r="SW136" s="23"/>
      <c r="SX136" s="23"/>
      <c r="SY136" s="23"/>
      <c r="SZ136" s="23"/>
      <c r="TA136" s="23"/>
      <c r="TB136" s="23"/>
      <c r="TC136" s="23"/>
      <c r="TD136" s="23"/>
      <c r="TE136" s="23"/>
      <c r="TF136" s="23"/>
      <c r="TG136" s="23"/>
    </row>
    <row r="137" spans="1:527" s="22" customFormat="1" ht="33" customHeight="1" x14ac:dyDescent="0.25">
      <c r="A137" s="59" t="s">
        <v>172</v>
      </c>
      <c r="B137" s="93" t="str">
        <f>'дод 8'!A84</f>
        <v>2010</v>
      </c>
      <c r="C137" s="93" t="str">
        <f>'дод 8'!B84</f>
        <v>0731</v>
      </c>
      <c r="D137" s="6" t="s">
        <v>617</v>
      </c>
      <c r="E137" s="99">
        <f t="shared" si="53"/>
        <v>45832353.399999999</v>
      </c>
      <c r="F137" s="99">
        <v>45832353.399999999</v>
      </c>
      <c r="G137" s="99"/>
      <c r="H137" s="99"/>
      <c r="I137" s="113"/>
      <c r="J137" s="99">
        <f t="shared" ref="J137:J160" si="55">L137+O137</f>
        <v>46545966.82</v>
      </c>
      <c r="K137" s="99">
        <f>45245966.82+1300000</f>
        <v>46545966.82</v>
      </c>
      <c r="L137" s="99"/>
      <c r="M137" s="99"/>
      <c r="N137" s="99"/>
      <c r="O137" s="99">
        <f>45245966.82+1300000</f>
        <v>46545966.82</v>
      </c>
      <c r="P137" s="99">
        <f t="shared" si="54"/>
        <v>92378320.219999999</v>
      </c>
      <c r="Q137" s="23"/>
      <c r="R137" s="32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</row>
    <row r="138" spans="1:527" s="24" customFormat="1" ht="30" hidden="1" customHeight="1" x14ac:dyDescent="0.25">
      <c r="A138" s="84"/>
      <c r="B138" s="111"/>
      <c r="C138" s="111"/>
      <c r="D138" s="87" t="s">
        <v>390</v>
      </c>
      <c r="E138" s="101">
        <f t="shared" si="53"/>
        <v>0</v>
      </c>
      <c r="F138" s="101"/>
      <c r="G138" s="101"/>
      <c r="H138" s="101"/>
      <c r="I138" s="114"/>
      <c r="J138" s="101">
        <f t="shared" si="55"/>
        <v>0</v>
      </c>
      <c r="K138" s="101"/>
      <c r="L138" s="101"/>
      <c r="M138" s="101"/>
      <c r="N138" s="101"/>
      <c r="O138" s="101"/>
      <c r="P138" s="101">
        <f t="shared" si="54"/>
        <v>0</v>
      </c>
      <c r="Q138" s="30"/>
      <c r="R138" s="32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30"/>
      <c r="MW138" s="30"/>
      <c r="MX138" s="30"/>
      <c r="MY138" s="30"/>
      <c r="MZ138" s="30"/>
      <c r="NA138" s="30"/>
      <c r="NB138" s="30"/>
      <c r="NC138" s="30"/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  <c r="NO138" s="30"/>
      <c r="NP138" s="30"/>
      <c r="NQ138" s="30"/>
      <c r="NR138" s="30"/>
      <c r="NS138" s="30"/>
      <c r="NT138" s="30"/>
      <c r="NU138" s="30"/>
      <c r="NV138" s="30"/>
      <c r="NW138" s="30"/>
      <c r="NX138" s="30"/>
      <c r="NY138" s="30"/>
      <c r="NZ138" s="30"/>
      <c r="OA138" s="30"/>
      <c r="OB138" s="30"/>
      <c r="OC138" s="30"/>
      <c r="OD138" s="30"/>
      <c r="OE138" s="30"/>
      <c r="OF138" s="30"/>
      <c r="OG138" s="30"/>
      <c r="OH138" s="30"/>
      <c r="OI138" s="30"/>
      <c r="OJ138" s="30"/>
      <c r="OK138" s="30"/>
      <c r="OL138" s="30"/>
      <c r="OM138" s="30"/>
      <c r="ON138" s="30"/>
      <c r="OO138" s="30"/>
      <c r="OP138" s="30"/>
      <c r="OQ138" s="30"/>
      <c r="OR138" s="30"/>
      <c r="OS138" s="30"/>
      <c r="OT138" s="30"/>
      <c r="OU138" s="30"/>
      <c r="OV138" s="30"/>
      <c r="OW138" s="30"/>
      <c r="OX138" s="30"/>
      <c r="OY138" s="30"/>
      <c r="OZ138" s="30"/>
      <c r="PA138" s="30"/>
      <c r="PB138" s="30"/>
      <c r="PC138" s="30"/>
      <c r="PD138" s="30"/>
      <c r="PE138" s="30"/>
      <c r="PF138" s="30"/>
      <c r="PG138" s="30"/>
      <c r="PH138" s="30"/>
      <c r="PI138" s="30"/>
      <c r="PJ138" s="30"/>
      <c r="PK138" s="30"/>
      <c r="PL138" s="30"/>
      <c r="PM138" s="30"/>
      <c r="PN138" s="30"/>
      <c r="PO138" s="30"/>
      <c r="PP138" s="30"/>
      <c r="PQ138" s="30"/>
      <c r="PR138" s="30"/>
      <c r="PS138" s="30"/>
      <c r="PT138" s="30"/>
      <c r="PU138" s="30"/>
      <c r="PV138" s="30"/>
      <c r="PW138" s="30"/>
      <c r="PX138" s="30"/>
      <c r="PY138" s="30"/>
      <c r="PZ138" s="30"/>
      <c r="QA138" s="30"/>
      <c r="QB138" s="30"/>
      <c r="QC138" s="30"/>
      <c r="QD138" s="30"/>
      <c r="QE138" s="30"/>
      <c r="QF138" s="30"/>
      <c r="QG138" s="30"/>
      <c r="QH138" s="30"/>
      <c r="QI138" s="30"/>
      <c r="QJ138" s="30"/>
      <c r="QK138" s="30"/>
      <c r="QL138" s="30"/>
      <c r="QM138" s="30"/>
      <c r="QN138" s="30"/>
      <c r="QO138" s="30"/>
      <c r="QP138" s="30"/>
      <c r="QQ138" s="30"/>
      <c r="QR138" s="30"/>
      <c r="QS138" s="30"/>
      <c r="QT138" s="30"/>
      <c r="QU138" s="30"/>
      <c r="QV138" s="30"/>
      <c r="QW138" s="30"/>
      <c r="QX138" s="30"/>
      <c r="QY138" s="30"/>
      <c r="QZ138" s="30"/>
      <c r="RA138" s="30"/>
      <c r="RB138" s="30"/>
      <c r="RC138" s="30"/>
      <c r="RD138" s="30"/>
      <c r="RE138" s="30"/>
      <c r="RF138" s="30"/>
      <c r="RG138" s="30"/>
      <c r="RH138" s="30"/>
      <c r="RI138" s="30"/>
      <c r="RJ138" s="30"/>
      <c r="RK138" s="30"/>
      <c r="RL138" s="30"/>
      <c r="RM138" s="30"/>
      <c r="RN138" s="30"/>
      <c r="RO138" s="30"/>
      <c r="RP138" s="30"/>
      <c r="RQ138" s="30"/>
      <c r="RR138" s="30"/>
      <c r="RS138" s="30"/>
      <c r="RT138" s="30"/>
      <c r="RU138" s="30"/>
      <c r="RV138" s="30"/>
      <c r="RW138" s="30"/>
      <c r="RX138" s="30"/>
      <c r="RY138" s="30"/>
      <c r="RZ138" s="30"/>
      <c r="SA138" s="30"/>
      <c r="SB138" s="30"/>
      <c r="SC138" s="30"/>
      <c r="SD138" s="30"/>
      <c r="SE138" s="30"/>
      <c r="SF138" s="30"/>
      <c r="SG138" s="30"/>
      <c r="SH138" s="30"/>
      <c r="SI138" s="30"/>
      <c r="SJ138" s="30"/>
      <c r="SK138" s="30"/>
      <c r="SL138" s="30"/>
      <c r="SM138" s="30"/>
      <c r="SN138" s="30"/>
      <c r="SO138" s="30"/>
      <c r="SP138" s="30"/>
      <c r="SQ138" s="30"/>
      <c r="SR138" s="30"/>
      <c r="SS138" s="30"/>
      <c r="ST138" s="30"/>
      <c r="SU138" s="30"/>
      <c r="SV138" s="30"/>
      <c r="SW138" s="30"/>
      <c r="SX138" s="30"/>
      <c r="SY138" s="30"/>
      <c r="SZ138" s="30"/>
      <c r="TA138" s="30"/>
      <c r="TB138" s="30"/>
      <c r="TC138" s="30"/>
      <c r="TD138" s="30"/>
      <c r="TE138" s="30"/>
      <c r="TF138" s="30"/>
      <c r="TG138" s="30"/>
    </row>
    <row r="139" spans="1:527" s="24" customFormat="1" ht="47.25" hidden="1" x14ac:dyDescent="0.25">
      <c r="A139" s="84"/>
      <c r="B139" s="111"/>
      <c r="C139" s="111"/>
      <c r="D139" s="87" t="s">
        <v>391</v>
      </c>
      <c r="E139" s="101">
        <f t="shared" si="53"/>
        <v>0</v>
      </c>
      <c r="F139" s="101"/>
      <c r="G139" s="101"/>
      <c r="H139" s="101"/>
      <c r="I139" s="101"/>
      <c r="J139" s="101">
        <f t="shared" si="55"/>
        <v>0</v>
      </c>
      <c r="K139" s="101"/>
      <c r="L139" s="101"/>
      <c r="M139" s="101"/>
      <c r="N139" s="101"/>
      <c r="O139" s="101"/>
      <c r="P139" s="101">
        <f t="shared" si="54"/>
        <v>0</v>
      </c>
      <c r="Q139" s="30"/>
      <c r="R139" s="32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</row>
    <row r="140" spans="1:527" s="24" customFormat="1" ht="15.75" x14ac:dyDescent="0.25">
      <c r="A140" s="84"/>
      <c r="B140" s="111"/>
      <c r="C140" s="111"/>
      <c r="D140" s="87" t="s">
        <v>393</v>
      </c>
      <c r="E140" s="101">
        <f t="shared" si="53"/>
        <v>93426</v>
      </c>
      <c r="F140" s="101">
        <v>93426</v>
      </c>
      <c r="G140" s="101"/>
      <c r="H140" s="101"/>
      <c r="I140" s="114"/>
      <c r="J140" s="101">
        <f t="shared" si="55"/>
        <v>5750000</v>
      </c>
      <c r="K140" s="101">
        <v>5750000</v>
      </c>
      <c r="L140" s="101"/>
      <c r="M140" s="101"/>
      <c r="N140" s="101"/>
      <c r="O140" s="101">
        <v>5750000</v>
      </c>
      <c r="P140" s="101">
        <f t="shared" si="54"/>
        <v>5843426</v>
      </c>
      <c r="Q140" s="30"/>
      <c r="R140" s="32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</row>
    <row r="141" spans="1:527" s="22" customFormat="1" ht="31.5" x14ac:dyDescent="0.25">
      <c r="A141" s="59" t="s">
        <v>447</v>
      </c>
      <c r="B141" s="93">
        <v>2020</v>
      </c>
      <c r="C141" s="59" t="s">
        <v>448</v>
      </c>
      <c r="D141" s="60" t="str">
        <f>'дод 8'!C88</f>
        <v xml:space="preserve"> Спеціалізована стаціонарна медична допомога населенню</v>
      </c>
      <c r="E141" s="99">
        <f t="shared" si="53"/>
        <v>90000</v>
      </c>
      <c r="F141" s="99">
        <v>90000</v>
      </c>
      <c r="G141" s="113"/>
      <c r="H141" s="113"/>
      <c r="I141" s="113"/>
      <c r="J141" s="99">
        <f t="shared" si="55"/>
        <v>0</v>
      </c>
      <c r="K141" s="99"/>
      <c r="L141" s="99"/>
      <c r="M141" s="99"/>
      <c r="N141" s="99"/>
      <c r="O141" s="99"/>
      <c r="P141" s="99">
        <f t="shared" si="54"/>
        <v>90000</v>
      </c>
      <c r="Q141" s="23"/>
      <c r="R141" s="32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</row>
    <row r="142" spans="1:527" s="22" customFormat="1" ht="36.75" customHeight="1" x14ac:dyDescent="0.25">
      <c r="A142" s="59" t="s">
        <v>177</v>
      </c>
      <c r="B142" s="93" t="str">
        <f>'дод 8'!A89</f>
        <v>2030</v>
      </c>
      <c r="C142" s="93" t="str">
        <f>'дод 8'!B89</f>
        <v>0733</v>
      </c>
      <c r="D142" s="60" t="s">
        <v>464</v>
      </c>
      <c r="E142" s="99">
        <f t="shared" si="53"/>
        <v>4498159</v>
      </c>
      <c r="F142" s="99">
        <v>4498159</v>
      </c>
      <c r="G142" s="115"/>
      <c r="H142" s="115"/>
      <c r="I142" s="113"/>
      <c r="J142" s="99">
        <f t="shared" si="55"/>
        <v>5100000</v>
      </c>
      <c r="K142" s="99">
        <v>5100000</v>
      </c>
      <c r="L142" s="99"/>
      <c r="M142" s="99"/>
      <c r="N142" s="99"/>
      <c r="O142" s="99">
        <v>5100000</v>
      </c>
      <c r="P142" s="99">
        <f t="shared" si="54"/>
        <v>9598159</v>
      </c>
      <c r="Q142" s="23"/>
      <c r="R142" s="32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  <c r="TF142" s="23"/>
      <c r="TG142" s="23"/>
    </row>
    <row r="143" spans="1:527" s="24" customFormat="1" ht="30" hidden="1" customHeight="1" x14ac:dyDescent="0.25">
      <c r="A143" s="84"/>
      <c r="B143" s="111"/>
      <c r="C143" s="111"/>
      <c r="D143" s="87" t="s">
        <v>390</v>
      </c>
      <c r="E143" s="101">
        <f t="shared" si="53"/>
        <v>0</v>
      </c>
      <c r="F143" s="101"/>
      <c r="G143" s="114"/>
      <c r="H143" s="114"/>
      <c r="I143" s="114"/>
      <c r="J143" s="101"/>
      <c r="K143" s="101"/>
      <c r="L143" s="101"/>
      <c r="M143" s="101"/>
      <c r="N143" s="101"/>
      <c r="O143" s="101"/>
      <c r="P143" s="101">
        <f t="shared" si="54"/>
        <v>0</v>
      </c>
      <c r="Q143" s="30"/>
      <c r="R143" s="32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  <c r="SQ143" s="30"/>
      <c r="SR143" s="30"/>
      <c r="SS143" s="30"/>
      <c r="ST143" s="30"/>
      <c r="SU143" s="30"/>
      <c r="SV143" s="30"/>
      <c r="SW143" s="30"/>
      <c r="SX143" s="30"/>
      <c r="SY143" s="30"/>
      <c r="SZ143" s="30"/>
      <c r="TA143" s="30"/>
      <c r="TB143" s="30"/>
      <c r="TC143" s="30"/>
      <c r="TD143" s="30"/>
      <c r="TE143" s="30"/>
      <c r="TF143" s="30"/>
      <c r="TG143" s="30"/>
    </row>
    <row r="144" spans="1:527" s="22" customFormat="1" ht="24" customHeight="1" x14ac:dyDescent="0.25">
      <c r="A144" s="59" t="s">
        <v>176</v>
      </c>
      <c r="B144" s="93" t="str">
        <f>'дод 8'!A91</f>
        <v>2100</v>
      </c>
      <c r="C144" s="93" t="str">
        <f>'дод 8'!B91</f>
        <v>0722</v>
      </c>
      <c r="D144" s="60" t="str">
        <f>'дод 8'!C91</f>
        <v>Стоматологічна допомога населенню</v>
      </c>
      <c r="E144" s="99">
        <f t="shared" si="53"/>
        <v>7745106</v>
      </c>
      <c r="F144" s="99">
        <v>7745106</v>
      </c>
      <c r="G144" s="115"/>
      <c r="H144" s="115"/>
      <c r="I144" s="113"/>
      <c r="J144" s="99">
        <f t="shared" si="55"/>
        <v>0</v>
      </c>
      <c r="K144" s="99"/>
      <c r="L144" s="99"/>
      <c r="M144" s="99"/>
      <c r="N144" s="99"/>
      <c r="O144" s="99"/>
      <c r="P144" s="99">
        <f t="shared" si="54"/>
        <v>7745106</v>
      </c>
      <c r="Q144" s="23"/>
      <c r="R144" s="32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  <c r="SQ144" s="23"/>
      <c r="SR144" s="23"/>
      <c r="SS144" s="23"/>
      <c r="ST144" s="23"/>
      <c r="SU144" s="23"/>
      <c r="SV144" s="23"/>
      <c r="SW144" s="23"/>
      <c r="SX144" s="23"/>
      <c r="SY144" s="23"/>
      <c r="SZ144" s="23"/>
      <c r="TA144" s="23"/>
      <c r="TB144" s="23"/>
      <c r="TC144" s="23"/>
      <c r="TD144" s="23"/>
      <c r="TE144" s="23"/>
      <c r="TF144" s="23"/>
      <c r="TG144" s="23"/>
    </row>
    <row r="145" spans="1:527" s="24" customFormat="1" ht="30" hidden="1" customHeight="1" x14ac:dyDescent="0.25">
      <c r="A145" s="84"/>
      <c r="B145" s="111"/>
      <c r="C145" s="111"/>
      <c r="D145" s="87" t="s">
        <v>390</v>
      </c>
      <c r="E145" s="101">
        <f t="shared" si="53"/>
        <v>0</v>
      </c>
      <c r="F145" s="101"/>
      <c r="G145" s="114"/>
      <c r="H145" s="114"/>
      <c r="I145" s="114"/>
      <c r="J145" s="101">
        <f t="shared" si="55"/>
        <v>0</v>
      </c>
      <c r="K145" s="101"/>
      <c r="L145" s="101"/>
      <c r="M145" s="101"/>
      <c r="N145" s="101"/>
      <c r="O145" s="101"/>
      <c r="P145" s="101">
        <f t="shared" si="54"/>
        <v>0</v>
      </c>
      <c r="Q145" s="30"/>
      <c r="R145" s="32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  <c r="TF145" s="30"/>
      <c r="TG145" s="30"/>
    </row>
    <row r="146" spans="1:527" s="22" customFormat="1" ht="48" customHeight="1" x14ac:dyDescent="0.25">
      <c r="A146" s="59" t="s">
        <v>175</v>
      </c>
      <c r="B146" s="93" t="str">
        <f>'дод 8'!A93</f>
        <v>2111</v>
      </c>
      <c r="C146" s="93" t="str">
        <f>'дод 8'!B93</f>
        <v>0726</v>
      </c>
      <c r="D146" s="60" t="str">
        <f>'дод 8'!C93</f>
        <v>Первинна медична допомога населенню, що надається центрами первинної медичної (медико-санітарної) допомоги</v>
      </c>
      <c r="E146" s="99">
        <f t="shared" si="53"/>
        <v>3962831</v>
      </c>
      <c r="F146" s="99">
        <v>3962831</v>
      </c>
      <c r="G146" s="113"/>
      <c r="H146" s="115"/>
      <c r="I146" s="113"/>
      <c r="J146" s="99">
        <f t="shared" si="55"/>
        <v>0</v>
      </c>
      <c r="K146" s="99"/>
      <c r="L146" s="99"/>
      <c r="M146" s="99"/>
      <c r="N146" s="99"/>
      <c r="O146" s="99"/>
      <c r="P146" s="99">
        <f t="shared" si="54"/>
        <v>3962831</v>
      </c>
      <c r="Q146" s="23"/>
      <c r="R146" s="32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</row>
    <row r="147" spans="1:527" s="24" customFormat="1" ht="63" hidden="1" customHeight="1" x14ac:dyDescent="0.25">
      <c r="A147" s="84"/>
      <c r="B147" s="111"/>
      <c r="C147" s="111"/>
      <c r="D147" s="85" t="s">
        <v>392</v>
      </c>
      <c r="E147" s="101">
        <f t="shared" si="53"/>
        <v>0</v>
      </c>
      <c r="F147" s="101"/>
      <c r="G147" s="114"/>
      <c r="H147" s="114"/>
      <c r="I147" s="114"/>
      <c r="J147" s="101">
        <f t="shared" si="55"/>
        <v>0</v>
      </c>
      <c r="K147" s="101"/>
      <c r="L147" s="101"/>
      <c r="M147" s="101"/>
      <c r="N147" s="101"/>
      <c r="O147" s="101"/>
      <c r="P147" s="101">
        <f t="shared" si="54"/>
        <v>0</v>
      </c>
      <c r="Q147" s="30"/>
      <c r="R147" s="32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  <c r="SO147" s="30"/>
      <c r="SP147" s="30"/>
      <c r="SQ147" s="30"/>
      <c r="SR147" s="30"/>
      <c r="SS147" s="30"/>
      <c r="ST147" s="30"/>
      <c r="SU147" s="30"/>
      <c r="SV147" s="30"/>
      <c r="SW147" s="30"/>
      <c r="SX147" s="30"/>
      <c r="SY147" s="30"/>
      <c r="SZ147" s="30"/>
      <c r="TA147" s="30"/>
      <c r="TB147" s="30"/>
      <c r="TC147" s="30"/>
      <c r="TD147" s="30"/>
      <c r="TE147" s="30"/>
      <c r="TF147" s="30"/>
      <c r="TG147" s="30"/>
    </row>
    <row r="148" spans="1:527" s="22" customFormat="1" ht="31.5" x14ac:dyDescent="0.25">
      <c r="A148" s="59" t="s">
        <v>174</v>
      </c>
      <c r="B148" s="93">
        <f>'дод 8'!A95</f>
        <v>2144</v>
      </c>
      <c r="C148" s="93" t="str">
        <f>'дод 8'!B95</f>
        <v>0763</v>
      </c>
      <c r="D148" s="123" t="str">
        <f>'дод 8'!C95</f>
        <v>Централізовані заходи з лікування хворих на цукровий та нецукровий діабет, у т.ч. за рахунок:</v>
      </c>
      <c r="E148" s="99">
        <f t="shared" si="53"/>
        <v>11403700</v>
      </c>
      <c r="F148" s="99">
        <v>11403700</v>
      </c>
      <c r="G148" s="113"/>
      <c r="H148" s="113"/>
      <c r="I148" s="113"/>
      <c r="J148" s="99">
        <f t="shared" si="55"/>
        <v>0</v>
      </c>
      <c r="K148" s="99"/>
      <c r="L148" s="99"/>
      <c r="M148" s="99"/>
      <c r="N148" s="99"/>
      <c r="O148" s="99"/>
      <c r="P148" s="99">
        <f t="shared" si="54"/>
        <v>11403700</v>
      </c>
      <c r="Q148" s="23"/>
      <c r="R148" s="32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  <c r="TG148" s="23"/>
    </row>
    <row r="149" spans="1:527" s="24" customFormat="1" ht="47.25" hidden="1" customHeight="1" x14ac:dyDescent="0.25">
      <c r="A149" s="84"/>
      <c r="B149" s="111"/>
      <c r="C149" s="111"/>
      <c r="D149" s="124" t="s">
        <v>391</v>
      </c>
      <c r="E149" s="101">
        <f t="shared" si="53"/>
        <v>0</v>
      </c>
      <c r="F149" s="101"/>
      <c r="G149" s="101"/>
      <c r="H149" s="101"/>
      <c r="I149" s="101"/>
      <c r="J149" s="101">
        <f t="shared" si="55"/>
        <v>0</v>
      </c>
      <c r="K149" s="101"/>
      <c r="L149" s="101"/>
      <c r="M149" s="101"/>
      <c r="N149" s="101"/>
      <c r="O149" s="101"/>
      <c r="P149" s="101">
        <f t="shared" si="54"/>
        <v>0</v>
      </c>
      <c r="Q149" s="30"/>
      <c r="R149" s="32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  <c r="TF149" s="30"/>
      <c r="TG149" s="30"/>
    </row>
    <row r="150" spans="1:527" s="24" customFormat="1" ht="63" x14ac:dyDescent="0.25">
      <c r="A150" s="84"/>
      <c r="B150" s="111"/>
      <c r="C150" s="111"/>
      <c r="D150" s="124" t="s">
        <v>392</v>
      </c>
      <c r="E150" s="101">
        <f t="shared" si="53"/>
        <v>11403700</v>
      </c>
      <c r="F150" s="101">
        <v>11403700</v>
      </c>
      <c r="G150" s="114"/>
      <c r="H150" s="114"/>
      <c r="I150" s="114"/>
      <c r="J150" s="101">
        <f t="shared" si="55"/>
        <v>0</v>
      </c>
      <c r="K150" s="101"/>
      <c r="L150" s="101"/>
      <c r="M150" s="101"/>
      <c r="N150" s="101"/>
      <c r="O150" s="101"/>
      <c r="P150" s="101">
        <f t="shared" si="54"/>
        <v>11403700</v>
      </c>
      <c r="Q150" s="30"/>
      <c r="R150" s="32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  <c r="TF150" s="30"/>
      <c r="TG150" s="30"/>
    </row>
    <row r="151" spans="1:527" s="22" customFormat="1" ht="30" customHeight="1" x14ac:dyDescent="0.25">
      <c r="A151" s="59" t="s">
        <v>325</v>
      </c>
      <c r="B151" s="42" t="str">
        <f>'дод 8'!A98</f>
        <v>2151</v>
      </c>
      <c r="C151" s="42" t="str">
        <f>'дод 8'!B98</f>
        <v>0763</v>
      </c>
      <c r="D151" s="60" t="str">
        <f>'дод 8'!C98</f>
        <v>Забезпечення діяльності інших закладів у сфері охорони здоров’я</v>
      </c>
      <c r="E151" s="99">
        <f t="shared" si="53"/>
        <v>3069484</v>
      </c>
      <c r="F151" s="99">
        <v>3069484</v>
      </c>
      <c r="G151" s="115">
        <v>2387600</v>
      </c>
      <c r="H151" s="115">
        <v>68884</v>
      </c>
      <c r="I151" s="113"/>
      <c r="J151" s="99">
        <f t="shared" si="55"/>
        <v>0</v>
      </c>
      <c r="K151" s="99"/>
      <c r="L151" s="99"/>
      <c r="M151" s="99"/>
      <c r="N151" s="99"/>
      <c r="O151" s="99"/>
      <c r="P151" s="99">
        <f t="shared" si="54"/>
        <v>3069484</v>
      </c>
      <c r="Q151" s="23"/>
      <c r="R151" s="32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  <c r="TF151" s="23"/>
      <c r="TG151" s="23"/>
    </row>
    <row r="152" spans="1:527" s="22" customFormat="1" ht="24.75" customHeight="1" x14ac:dyDescent="0.25">
      <c r="A152" s="59" t="s">
        <v>326</v>
      </c>
      <c r="B152" s="42" t="str">
        <f>'дод 8'!A99</f>
        <v>2152</v>
      </c>
      <c r="C152" s="42" t="str">
        <f>'дод 8'!B99</f>
        <v>0763</v>
      </c>
      <c r="D152" s="36" t="str">
        <f>'дод 8'!C99</f>
        <v>Інші програми та заходи у сфері охорони здоров’я</v>
      </c>
      <c r="E152" s="99">
        <f>F152+I152</f>
        <v>20438800</v>
      </c>
      <c r="F152" s="99">
        <v>20438800</v>
      </c>
      <c r="G152" s="99"/>
      <c r="H152" s="99"/>
      <c r="I152" s="99"/>
      <c r="J152" s="99">
        <f t="shared" si="55"/>
        <v>39891354</v>
      </c>
      <c r="K152" s="99">
        <f>23031354+13000000+3860000</f>
        <v>39891354</v>
      </c>
      <c r="L152" s="99"/>
      <c r="M152" s="99"/>
      <c r="N152" s="99"/>
      <c r="O152" s="99">
        <f>23031354+13000000+3860000</f>
        <v>39891354</v>
      </c>
      <c r="P152" s="99">
        <f t="shared" si="54"/>
        <v>60330154</v>
      </c>
      <c r="Q152" s="23"/>
      <c r="R152" s="32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</row>
    <row r="153" spans="1:527" s="22" customFormat="1" ht="24.75" customHeight="1" x14ac:dyDescent="0.25">
      <c r="A153" s="59" t="s">
        <v>416</v>
      </c>
      <c r="B153" s="42">
        <v>7322</v>
      </c>
      <c r="C153" s="103" t="s">
        <v>111</v>
      </c>
      <c r="D153" s="6" t="s">
        <v>549</v>
      </c>
      <c r="E153" s="99">
        <f>F153+I153</f>
        <v>0</v>
      </c>
      <c r="F153" s="99"/>
      <c r="G153" s="99"/>
      <c r="H153" s="99"/>
      <c r="I153" s="99"/>
      <c r="J153" s="99">
        <f t="shared" si="55"/>
        <v>35235972</v>
      </c>
      <c r="K153" s="99">
        <f>31128372-45000+3893200+259400</f>
        <v>35235972</v>
      </c>
      <c r="L153" s="99"/>
      <c r="M153" s="99"/>
      <c r="N153" s="99"/>
      <c r="O153" s="99">
        <f>31128372-45000+3893200+259400</f>
        <v>35235972</v>
      </c>
      <c r="P153" s="99">
        <f t="shared" si="54"/>
        <v>35235972</v>
      </c>
      <c r="Q153" s="23"/>
      <c r="R153" s="32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</row>
    <row r="154" spans="1:527" s="22" customFormat="1" ht="47.25" x14ac:dyDescent="0.25">
      <c r="A154" s="59" t="s">
        <v>373</v>
      </c>
      <c r="B154" s="42">
        <f>'дод 8'!A187</f>
        <v>7361</v>
      </c>
      <c r="C154" s="42" t="str">
        <f>'дод 8'!B187</f>
        <v>0490</v>
      </c>
      <c r="D154" s="36" t="str">
        <f>'дод 8'!C187</f>
        <v>Співфінансування інвестиційних проектів, що реалізуються за рахунок коштів державного фонду регіонального розвитку</v>
      </c>
      <c r="E154" s="99">
        <f t="shared" si="53"/>
        <v>0</v>
      </c>
      <c r="F154" s="99"/>
      <c r="G154" s="99"/>
      <c r="H154" s="99"/>
      <c r="I154" s="99"/>
      <c r="J154" s="99">
        <f t="shared" si="55"/>
        <v>5678000</v>
      </c>
      <c r="K154" s="99">
        <f>4289000+1389000</f>
        <v>5678000</v>
      </c>
      <c r="L154" s="99"/>
      <c r="M154" s="99"/>
      <c r="N154" s="99"/>
      <c r="O154" s="99">
        <f>4289000+1389000</f>
        <v>5678000</v>
      </c>
      <c r="P154" s="99">
        <f t="shared" si="54"/>
        <v>5678000</v>
      </c>
      <c r="Q154" s="23"/>
      <c r="R154" s="32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</row>
    <row r="155" spans="1:527" s="22" customFormat="1" ht="47.25" x14ac:dyDescent="0.25">
      <c r="A155" s="59" t="s">
        <v>423</v>
      </c>
      <c r="B155" s="42">
        <v>7363</v>
      </c>
      <c r="C155" s="103" t="s">
        <v>82</v>
      </c>
      <c r="D155" s="60" t="s">
        <v>398</v>
      </c>
      <c r="E155" s="99">
        <f t="shared" si="53"/>
        <v>0</v>
      </c>
      <c r="F155" s="99"/>
      <c r="G155" s="99"/>
      <c r="H155" s="99"/>
      <c r="I155" s="99"/>
      <c r="J155" s="99">
        <f t="shared" si="55"/>
        <v>156000</v>
      </c>
      <c r="K155" s="99">
        <v>156000</v>
      </c>
      <c r="L155" s="99"/>
      <c r="M155" s="99"/>
      <c r="N155" s="99"/>
      <c r="O155" s="99">
        <v>156000</v>
      </c>
      <c r="P155" s="99">
        <f t="shared" si="54"/>
        <v>156000</v>
      </c>
      <c r="Q155" s="23"/>
      <c r="R155" s="32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</row>
    <row r="156" spans="1:527" s="22" customFormat="1" ht="47.25" x14ac:dyDescent="0.25">
      <c r="A156" s="59"/>
      <c r="B156" s="42"/>
      <c r="C156" s="42"/>
      <c r="D156" s="87" t="s">
        <v>388</v>
      </c>
      <c r="E156" s="101">
        <f t="shared" si="53"/>
        <v>0</v>
      </c>
      <c r="F156" s="101"/>
      <c r="G156" s="101"/>
      <c r="H156" s="101"/>
      <c r="I156" s="101"/>
      <c r="J156" s="101">
        <f t="shared" si="55"/>
        <v>156000</v>
      </c>
      <c r="K156" s="101">
        <v>156000</v>
      </c>
      <c r="L156" s="101"/>
      <c r="M156" s="101"/>
      <c r="N156" s="101"/>
      <c r="O156" s="101">
        <v>156000</v>
      </c>
      <c r="P156" s="101">
        <f t="shared" si="54"/>
        <v>156000</v>
      </c>
      <c r="Q156" s="23"/>
      <c r="R156" s="32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</row>
    <row r="157" spans="1:527" s="22" customFormat="1" ht="18.75" customHeight="1" x14ac:dyDescent="0.25">
      <c r="A157" s="59" t="s">
        <v>173</v>
      </c>
      <c r="B157" s="93" t="str">
        <f>'дод 8'!A215</f>
        <v>7640</v>
      </c>
      <c r="C157" s="93" t="str">
        <f>'дод 8'!B215</f>
        <v>0470</v>
      </c>
      <c r="D157" s="60" t="s">
        <v>418</v>
      </c>
      <c r="E157" s="99">
        <f t="shared" si="53"/>
        <v>121500</v>
      </c>
      <c r="F157" s="99">
        <v>121500</v>
      </c>
      <c r="G157" s="99"/>
      <c r="H157" s="99"/>
      <c r="I157" s="99"/>
      <c r="J157" s="99">
        <f t="shared" si="55"/>
        <v>10527570.120000001</v>
      </c>
      <c r="K157" s="99">
        <v>10527570.120000001</v>
      </c>
      <c r="L157" s="99"/>
      <c r="M157" s="99"/>
      <c r="N157" s="99"/>
      <c r="O157" s="99">
        <v>10527570.120000001</v>
      </c>
      <c r="P157" s="99">
        <f t="shared" si="54"/>
        <v>10649070.120000001</v>
      </c>
      <c r="Q157" s="23"/>
      <c r="R157" s="32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</row>
    <row r="158" spans="1:527" s="24" customFormat="1" ht="15" customHeight="1" x14ac:dyDescent="0.25">
      <c r="A158" s="84"/>
      <c r="B158" s="111"/>
      <c r="C158" s="111"/>
      <c r="D158" s="85" t="s">
        <v>419</v>
      </c>
      <c r="E158" s="101">
        <f t="shared" si="53"/>
        <v>0</v>
      </c>
      <c r="F158" s="101"/>
      <c r="G158" s="101"/>
      <c r="H158" s="101"/>
      <c r="I158" s="101"/>
      <c r="J158" s="101">
        <f t="shared" si="55"/>
        <v>4662070.12</v>
      </c>
      <c r="K158" s="101">
        <v>4662070.12</v>
      </c>
      <c r="L158" s="101"/>
      <c r="M158" s="101"/>
      <c r="N158" s="101"/>
      <c r="O158" s="101">
        <v>4662070.12</v>
      </c>
      <c r="P158" s="101">
        <f t="shared" si="54"/>
        <v>4662070.12</v>
      </c>
      <c r="Q158" s="30"/>
      <c r="R158" s="32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30"/>
      <c r="JA158" s="30"/>
      <c r="JB158" s="30"/>
      <c r="JC158" s="30"/>
      <c r="JD158" s="30"/>
      <c r="JE158" s="30"/>
      <c r="JF158" s="30"/>
      <c r="JG158" s="30"/>
      <c r="JH158" s="30"/>
      <c r="JI158" s="30"/>
      <c r="JJ158" s="30"/>
      <c r="JK158" s="30"/>
      <c r="JL158" s="30"/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/>
      <c r="KF158" s="30"/>
      <c r="KG158" s="30"/>
      <c r="KH158" s="30"/>
      <c r="KI158" s="30"/>
      <c r="KJ158" s="30"/>
      <c r="KK158" s="30"/>
      <c r="KL158" s="30"/>
      <c r="KM158" s="30"/>
      <c r="KN158" s="30"/>
      <c r="KO158" s="30"/>
      <c r="KP158" s="30"/>
      <c r="KQ158" s="30"/>
      <c r="KR158" s="30"/>
      <c r="KS158" s="30"/>
      <c r="KT158" s="30"/>
      <c r="KU158" s="30"/>
      <c r="KV158" s="30"/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/>
      <c r="LK158" s="30"/>
      <c r="LL158" s="30"/>
      <c r="LM158" s="30"/>
      <c r="LN158" s="30"/>
      <c r="LO158" s="30"/>
      <c r="LP158" s="30"/>
      <c r="LQ158" s="30"/>
      <c r="LR158" s="30"/>
      <c r="LS158" s="30"/>
      <c r="LT158" s="30"/>
      <c r="LU158" s="30"/>
      <c r="LV158" s="30"/>
      <c r="LW158" s="30"/>
      <c r="LX158" s="30"/>
      <c r="LY158" s="30"/>
      <c r="LZ158" s="30"/>
      <c r="MA158" s="30"/>
      <c r="MB158" s="30"/>
      <c r="MC158" s="30"/>
      <c r="MD158" s="30"/>
      <c r="ME158" s="30"/>
      <c r="MF158" s="30"/>
      <c r="MG158" s="30"/>
      <c r="MH158" s="30"/>
      <c r="MI158" s="30"/>
      <c r="MJ158" s="30"/>
      <c r="MK158" s="30"/>
      <c r="ML158" s="30"/>
      <c r="MM158" s="30"/>
      <c r="MN158" s="30"/>
      <c r="MO158" s="30"/>
      <c r="MP158" s="30"/>
      <c r="MQ158" s="30"/>
      <c r="MR158" s="30"/>
      <c r="MS158" s="30"/>
      <c r="MT158" s="30"/>
      <c r="MU158" s="30"/>
      <c r="MV158" s="30"/>
      <c r="MW158" s="30"/>
      <c r="MX158" s="30"/>
      <c r="MY158" s="30"/>
      <c r="MZ158" s="30"/>
      <c r="NA158" s="30"/>
      <c r="NB158" s="30"/>
      <c r="NC158" s="30"/>
      <c r="ND158" s="30"/>
      <c r="NE158" s="30"/>
      <c r="NF158" s="30"/>
      <c r="NG158" s="30"/>
      <c r="NH158" s="30"/>
      <c r="NI158" s="30"/>
      <c r="NJ158" s="30"/>
      <c r="NK158" s="30"/>
      <c r="NL158" s="30"/>
      <c r="NM158" s="30"/>
      <c r="NN158" s="30"/>
      <c r="NO158" s="30"/>
      <c r="NP158" s="30"/>
      <c r="NQ158" s="30"/>
      <c r="NR158" s="30"/>
      <c r="NS158" s="30"/>
      <c r="NT158" s="30"/>
      <c r="NU158" s="30"/>
      <c r="NV158" s="30"/>
      <c r="NW158" s="30"/>
      <c r="NX158" s="30"/>
      <c r="NY158" s="30"/>
      <c r="NZ158" s="30"/>
      <c r="OA158" s="30"/>
      <c r="OB158" s="30"/>
      <c r="OC158" s="30"/>
      <c r="OD158" s="30"/>
      <c r="OE158" s="30"/>
      <c r="OF158" s="30"/>
      <c r="OG158" s="30"/>
      <c r="OH158" s="30"/>
      <c r="OI158" s="30"/>
      <c r="OJ158" s="30"/>
      <c r="OK158" s="30"/>
      <c r="OL158" s="30"/>
      <c r="OM158" s="30"/>
      <c r="ON158" s="30"/>
      <c r="OO158" s="30"/>
      <c r="OP158" s="30"/>
      <c r="OQ158" s="30"/>
      <c r="OR158" s="30"/>
      <c r="OS158" s="30"/>
      <c r="OT158" s="30"/>
      <c r="OU158" s="30"/>
      <c r="OV158" s="30"/>
      <c r="OW158" s="30"/>
      <c r="OX158" s="30"/>
      <c r="OY158" s="30"/>
      <c r="OZ158" s="30"/>
      <c r="PA158" s="30"/>
      <c r="PB158" s="30"/>
      <c r="PC158" s="30"/>
      <c r="PD158" s="30"/>
      <c r="PE158" s="30"/>
      <c r="PF158" s="30"/>
      <c r="PG158" s="30"/>
      <c r="PH158" s="30"/>
      <c r="PI158" s="30"/>
      <c r="PJ158" s="30"/>
      <c r="PK158" s="30"/>
      <c r="PL158" s="30"/>
      <c r="PM158" s="30"/>
      <c r="PN158" s="30"/>
      <c r="PO158" s="30"/>
      <c r="PP158" s="30"/>
      <c r="PQ158" s="30"/>
      <c r="PR158" s="30"/>
      <c r="PS158" s="30"/>
      <c r="PT158" s="30"/>
      <c r="PU158" s="30"/>
      <c r="PV158" s="30"/>
      <c r="PW158" s="30"/>
      <c r="PX158" s="30"/>
      <c r="PY158" s="30"/>
      <c r="PZ158" s="30"/>
      <c r="QA158" s="30"/>
      <c r="QB158" s="30"/>
      <c r="QC158" s="30"/>
      <c r="QD158" s="30"/>
      <c r="QE158" s="30"/>
      <c r="QF158" s="30"/>
      <c r="QG158" s="30"/>
      <c r="QH158" s="30"/>
      <c r="QI158" s="30"/>
      <c r="QJ158" s="30"/>
      <c r="QK158" s="30"/>
      <c r="QL158" s="30"/>
      <c r="QM158" s="30"/>
      <c r="QN158" s="30"/>
      <c r="QO158" s="30"/>
      <c r="QP158" s="30"/>
      <c r="QQ158" s="30"/>
      <c r="QR158" s="30"/>
      <c r="QS158" s="30"/>
      <c r="QT158" s="30"/>
      <c r="QU158" s="30"/>
      <c r="QV158" s="30"/>
      <c r="QW158" s="30"/>
      <c r="QX158" s="30"/>
      <c r="QY158" s="30"/>
      <c r="QZ158" s="30"/>
      <c r="RA158" s="30"/>
      <c r="RB158" s="30"/>
      <c r="RC158" s="30"/>
      <c r="RD158" s="30"/>
      <c r="RE158" s="30"/>
      <c r="RF158" s="30"/>
      <c r="RG158" s="30"/>
      <c r="RH158" s="30"/>
      <c r="RI158" s="30"/>
      <c r="RJ158" s="30"/>
      <c r="RK158" s="30"/>
      <c r="RL158" s="30"/>
      <c r="RM158" s="30"/>
      <c r="RN158" s="30"/>
      <c r="RO158" s="30"/>
      <c r="RP158" s="30"/>
      <c r="RQ158" s="30"/>
      <c r="RR158" s="30"/>
      <c r="RS158" s="30"/>
      <c r="RT158" s="30"/>
      <c r="RU158" s="30"/>
      <c r="RV158" s="30"/>
      <c r="RW158" s="30"/>
      <c r="RX158" s="30"/>
      <c r="RY158" s="30"/>
      <c r="RZ158" s="30"/>
      <c r="SA158" s="30"/>
      <c r="SB158" s="30"/>
      <c r="SC158" s="30"/>
      <c r="SD158" s="30"/>
      <c r="SE158" s="30"/>
      <c r="SF158" s="30"/>
      <c r="SG158" s="30"/>
      <c r="SH158" s="30"/>
      <c r="SI158" s="30"/>
      <c r="SJ158" s="30"/>
      <c r="SK158" s="30"/>
      <c r="SL158" s="30"/>
      <c r="SM158" s="30"/>
      <c r="SN158" s="30"/>
      <c r="SO158" s="30"/>
      <c r="SP158" s="30"/>
      <c r="SQ158" s="30"/>
      <c r="SR158" s="30"/>
      <c r="SS158" s="30"/>
      <c r="ST158" s="30"/>
      <c r="SU158" s="30"/>
      <c r="SV158" s="30"/>
      <c r="SW158" s="30"/>
      <c r="SX158" s="30"/>
      <c r="SY158" s="30"/>
      <c r="SZ158" s="30"/>
      <c r="TA158" s="30"/>
      <c r="TB158" s="30"/>
      <c r="TC158" s="30"/>
      <c r="TD158" s="30"/>
      <c r="TE158" s="30"/>
      <c r="TF158" s="30"/>
      <c r="TG158" s="30"/>
    </row>
    <row r="159" spans="1:527" s="22" customFormat="1" ht="45" hidden="1" customHeight="1" x14ac:dyDescent="0.25">
      <c r="A159" s="59" t="s">
        <v>361</v>
      </c>
      <c r="B159" s="93">
        <v>7700</v>
      </c>
      <c r="C159" s="59" t="s">
        <v>93</v>
      </c>
      <c r="D159" s="60" t="s">
        <v>362</v>
      </c>
      <c r="E159" s="99">
        <f t="shared" si="53"/>
        <v>0</v>
      </c>
      <c r="F159" s="99"/>
      <c r="G159" s="99"/>
      <c r="H159" s="99"/>
      <c r="I159" s="99"/>
      <c r="J159" s="99">
        <f t="shared" si="55"/>
        <v>0</v>
      </c>
      <c r="K159" s="99"/>
      <c r="L159" s="99"/>
      <c r="M159" s="99"/>
      <c r="N159" s="99"/>
      <c r="O159" s="99">
        <v>0</v>
      </c>
      <c r="P159" s="99">
        <f t="shared" si="54"/>
        <v>0</v>
      </c>
      <c r="Q159" s="23"/>
      <c r="R159" s="32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</row>
    <row r="160" spans="1:527" s="22" customFormat="1" ht="15.75" x14ac:dyDescent="0.25">
      <c r="A160" s="59" t="s">
        <v>432</v>
      </c>
      <c r="B160" s="93">
        <v>9770</v>
      </c>
      <c r="C160" s="59" t="s">
        <v>45</v>
      </c>
      <c r="D160" s="60" t="s">
        <v>433</v>
      </c>
      <c r="E160" s="99">
        <f t="shared" si="53"/>
        <v>0</v>
      </c>
      <c r="F160" s="99"/>
      <c r="G160" s="99"/>
      <c r="H160" s="99"/>
      <c r="I160" s="99"/>
      <c r="J160" s="99">
        <f t="shared" si="55"/>
        <v>10000111.600000001</v>
      </c>
      <c r="K160" s="99">
        <v>10000111.600000001</v>
      </c>
      <c r="L160" s="99"/>
      <c r="M160" s="99"/>
      <c r="N160" s="99"/>
      <c r="O160" s="99">
        <v>10000111.600000001</v>
      </c>
      <c r="P160" s="99">
        <f t="shared" si="54"/>
        <v>10000111.600000001</v>
      </c>
      <c r="Q160" s="23"/>
      <c r="R160" s="32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</row>
    <row r="161" spans="1:527" s="27" customFormat="1" ht="36" customHeight="1" x14ac:dyDescent="0.25">
      <c r="A161" s="110" t="s">
        <v>178</v>
      </c>
      <c r="B161" s="112"/>
      <c r="C161" s="112"/>
      <c r="D161" s="107" t="s">
        <v>38</v>
      </c>
      <c r="E161" s="95">
        <f>E162</f>
        <v>196893094.35000002</v>
      </c>
      <c r="F161" s="95">
        <f t="shared" ref="F161:J161" si="56">F162</f>
        <v>196893094.35000002</v>
      </c>
      <c r="G161" s="95">
        <f t="shared" si="56"/>
        <v>60863900</v>
      </c>
      <c r="H161" s="95">
        <f t="shared" si="56"/>
        <v>1758789</v>
      </c>
      <c r="I161" s="95">
        <f t="shared" si="56"/>
        <v>0</v>
      </c>
      <c r="J161" s="95">
        <f t="shared" si="56"/>
        <v>2938824.05</v>
      </c>
      <c r="K161" s="95">
        <f t="shared" ref="K161" si="57">K162</f>
        <v>2842624.05</v>
      </c>
      <c r="L161" s="95">
        <f t="shared" ref="L161" si="58">L162</f>
        <v>96200</v>
      </c>
      <c r="M161" s="95">
        <f t="shared" ref="M161" si="59">M162</f>
        <v>75000</v>
      </c>
      <c r="N161" s="95">
        <f t="shared" ref="N161" si="60">N162</f>
        <v>0</v>
      </c>
      <c r="O161" s="95">
        <f t="shared" ref="O161:P161" si="61">O162</f>
        <v>2842624.05</v>
      </c>
      <c r="P161" s="95">
        <f t="shared" si="61"/>
        <v>199831918.40000004</v>
      </c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  <c r="IU161" s="32"/>
      <c r="IV161" s="32"/>
      <c r="IW161" s="32"/>
      <c r="IX161" s="32"/>
      <c r="IY161" s="32"/>
      <c r="IZ161" s="32"/>
      <c r="JA161" s="32"/>
      <c r="JB161" s="32"/>
      <c r="JC161" s="32"/>
      <c r="JD161" s="32"/>
      <c r="JE161" s="32"/>
      <c r="JF161" s="32"/>
      <c r="JG161" s="32"/>
      <c r="JH161" s="32"/>
      <c r="JI161" s="32"/>
      <c r="JJ161" s="32"/>
      <c r="JK161" s="32"/>
      <c r="JL161" s="32"/>
      <c r="JM161" s="32"/>
      <c r="JN161" s="32"/>
      <c r="JO161" s="32"/>
      <c r="JP161" s="32"/>
      <c r="JQ161" s="32"/>
      <c r="JR161" s="32"/>
      <c r="JS161" s="32"/>
      <c r="JT161" s="32"/>
      <c r="JU161" s="32"/>
      <c r="JV161" s="32"/>
      <c r="JW161" s="32"/>
      <c r="JX161" s="32"/>
      <c r="JY161" s="32"/>
      <c r="JZ161" s="32"/>
      <c r="KA161" s="32"/>
      <c r="KB161" s="32"/>
      <c r="KC161" s="32"/>
      <c r="KD161" s="32"/>
      <c r="KE161" s="32"/>
      <c r="KF161" s="32"/>
      <c r="KG161" s="32"/>
      <c r="KH161" s="32"/>
      <c r="KI161" s="32"/>
      <c r="KJ161" s="32"/>
      <c r="KK161" s="32"/>
      <c r="KL161" s="32"/>
      <c r="KM161" s="32"/>
      <c r="KN161" s="32"/>
      <c r="KO161" s="32"/>
      <c r="KP161" s="32"/>
      <c r="KQ161" s="32"/>
      <c r="KR161" s="32"/>
      <c r="KS161" s="32"/>
      <c r="KT161" s="32"/>
      <c r="KU161" s="32"/>
      <c r="KV161" s="32"/>
      <c r="KW161" s="32"/>
      <c r="KX161" s="32"/>
      <c r="KY161" s="32"/>
      <c r="KZ161" s="32"/>
      <c r="LA161" s="32"/>
      <c r="LB161" s="32"/>
      <c r="LC161" s="32"/>
      <c r="LD161" s="32"/>
      <c r="LE161" s="32"/>
      <c r="LF161" s="32"/>
      <c r="LG161" s="32"/>
      <c r="LH161" s="32"/>
      <c r="LI161" s="32"/>
      <c r="LJ161" s="32"/>
      <c r="LK161" s="32"/>
      <c r="LL161" s="32"/>
      <c r="LM161" s="32"/>
      <c r="LN161" s="32"/>
      <c r="LO161" s="32"/>
      <c r="LP161" s="32"/>
      <c r="LQ161" s="32"/>
      <c r="LR161" s="32"/>
      <c r="LS161" s="32"/>
      <c r="LT161" s="32"/>
      <c r="LU161" s="32"/>
      <c r="LV161" s="32"/>
      <c r="LW161" s="32"/>
      <c r="LX161" s="32"/>
      <c r="LY161" s="32"/>
      <c r="LZ161" s="32"/>
      <c r="MA161" s="32"/>
      <c r="MB161" s="32"/>
      <c r="MC161" s="32"/>
      <c r="MD161" s="32"/>
      <c r="ME161" s="32"/>
      <c r="MF161" s="32"/>
      <c r="MG161" s="32"/>
      <c r="MH161" s="32"/>
      <c r="MI161" s="32"/>
      <c r="MJ161" s="32"/>
      <c r="MK161" s="32"/>
      <c r="ML161" s="32"/>
      <c r="MM161" s="32"/>
      <c r="MN161" s="32"/>
      <c r="MO161" s="32"/>
      <c r="MP161" s="32"/>
      <c r="MQ161" s="32"/>
      <c r="MR161" s="32"/>
      <c r="MS161" s="32"/>
      <c r="MT161" s="32"/>
      <c r="MU161" s="32"/>
      <c r="MV161" s="32"/>
      <c r="MW161" s="32"/>
      <c r="MX161" s="32"/>
      <c r="MY161" s="32"/>
      <c r="MZ161" s="32"/>
      <c r="NA161" s="32"/>
      <c r="NB161" s="32"/>
      <c r="NC161" s="32"/>
      <c r="ND161" s="32"/>
      <c r="NE161" s="32"/>
      <c r="NF161" s="32"/>
      <c r="NG161" s="32"/>
      <c r="NH161" s="32"/>
      <c r="NI161" s="32"/>
      <c r="NJ161" s="32"/>
      <c r="NK161" s="32"/>
      <c r="NL161" s="32"/>
      <c r="NM161" s="32"/>
      <c r="NN161" s="32"/>
      <c r="NO161" s="32"/>
      <c r="NP161" s="32"/>
      <c r="NQ161" s="32"/>
      <c r="NR161" s="32"/>
      <c r="NS161" s="32"/>
      <c r="NT161" s="32"/>
      <c r="NU161" s="32"/>
      <c r="NV161" s="32"/>
      <c r="NW161" s="32"/>
      <c r="NX161" s="32"/>
      <c r="NY161" s="32"/>
      <c r="NZ161" s="32"/>
      <c r="OA161" s="32"/>
      <c r="OB161" s="32"/>
      <c r="OC161" s="32"/>
      <c r="OD161" s="32"/>
      <c r="OE161" s="32"/>
      <c r="OF161" s="32"/>
      <c r="OG161" s="32"/>
      <c r="OH161" s="32"/>
      <c r="OI161" s="32"/>
      <c r="OJ161" s="32"/>
      <c r="OK161" s="32"/>
      <c r="OL161" s="32"/>
      <c r="OM161" s="32"/>
      <c r="ON161" s="32"/>
      <c r="OO161" s="32"/>
      <c r="OP161" s="32"/>
      <c r="OQ161" s="32"/>
      <c r="OR161" s="32"/>
      <c r="OS161" s="32"/>
      <c r="OT161" s="32"/>
      <c r="OU161" s="32"/>
      <c r="OV161" s="32"/>
      <c r="OW161" s="32"/>
      <c r="OX161" s="32"/>
      <c r="OY161" s="32"/>
      <c r="OZ161" s="32"/>
      <c r="PA161" s="32"/>
      <c r="PB161" s="32"/>
      <c r="PC161" s="32"/>
      <c r="PD161" s="32"/>
      <c r="PE161" s="32"/>
      <c r="PF161" s="32"/>
      <c r="PG161" s="32"/>
      <c r="PH161" s="32"/>
      <c r="PI161" s="32"/>
      <c r="PJ161" s="32"/>
      <c r="PK161" s="32"/>
      <c r="PL161" s="32"/>
      <c r="PM161" s="32"/>
      <c r="PN161" s="32"/>
      <c r="PO161" s="32"/>
      <c r="PP161" s="32"/>
      <c r="PQ161" s="32"/>
      <c r="PR161" s="32"/>
      <c r="PS161" s="32"/>
      <c r="PT161" s="32"/>
      <c r="PU161" s="32"/>
      <c r="PV161" s="32"/>
      <c r="PW161" s="32"/>
      <c r="PX161" s="32"/>
      <c r="PY161" s="32"/>
      <c r="PZ161" s="32"/>
      <c r="QA161" s="32"/>
      <c r="QB161" s="32"/>
      <c r="QC161" s="32"/>
      <c r="QD161" s="32"/>
      <c r="QE161" s="32"/>
      <c r="QF161" s="32"/>
      <c r="QG161" s="32"/>
      <c r="QH161" s="32"/>
      <c r="QI161" s="32"/>
      <c r="QJ161" s="32"/>
      <c r="QK161" s="32"/>
      <c r="QL161" s="32"/>
      <c r="QM161" s="32"/>
      <c r="QN161" s="32"/>
      <c r="QO161" s="32"/>
      <c r="QP161" s="32"/>
      <c r="QQ161" s="32"/>
      <c r="QR161" s="32"/>
      <c r="QS161" s="32"/>
      <c r="QT161" s="32"/>
      <c r="QU161" s="32"/>
      <c r="QV161" s="32"/>
      <c r="QW161" s="32"/>
      <c r="QX161" s="32"/>
      <c r="QY161" s="32"/>
      <c r="QZ161" s="32"/>
      <c r="RA161" s="32"/>
      <c r="RB161" s="32"/>
      <c r="RC161" s="32"/>
      <c r="RD161" s="32"/>
      <c r="RE161" s="32"/>
      <c r="RF161" s="32"/>
      <c r="RG161" s="32"/>
      <c r="RH161" s="32"/>
      <c r="RI161" s="32"/>
      <c r="RJ161" s="32"/>
      <c r="RK161" s="32"/>
      <c r="RL161" s="32"/>
      <c r="RM161" s="32"/>
      <c r="RN161" s="32"/>
      <c r="RO161" s="32"/>
      <c r="RP161" s="32"/>
      <c r="RQ161" s="32"/>
      <c r="RR161" s="32"/>
      <c r="RS161" s="32"/>
      <c r="RT161" s="32"/>
      <c r="RU161" s="32"/>
      <c r="RV161" s="32"/>
      <c r="RW161" s="32"/>
      <c r="RX161" s="32"/>
      <c r="RY161" s="32"/>
      <c r="RZ161" s="32"/>
      <c r="SA161" s="32"/>
      <c r="SB161" s="32"/>
      <c r="SC161" s="32"/>
      <c r="SD161" s="32"/>
      <c r="SE161" s="32"/>
      <c r="SF161" s="32"/>
      <c r="SG161" s="32"/>
      <c r="SH161" s="32"/>
      <c r="SI161" s="32"/>
      <c r="SJ161" s="32"/>
      <c r="SK161" s="32"/>
      <c r="SL161" s="32"/>
      <c r="SM161" s="32"/>
      <c r="SN161" s="32"/>
      <c r="SO161" s="32"/>
      <c r="SP161" s="32"/>
      <c r="SQ161" s="32"/>
      <c r="SR161" s="32"/>
      <c r="SS161" s="32"/>
      <c r="ST161" s="32"/>
      <c r="SU161" s="32"/>
      <c r="SV161" s="32"/>
      <c r="SW161" s="32"/>
      <c r="SX161" s="32"/>
      <c r="SY161" s="32"/>
      <c r="SZ161" s="32"/>
      <c r="TA161" s="32"/>
      <c r="TB161" s="32"/>
      <c r="TC161" s="32"/>
      <c r="TD161" s="32"/>
      <c r="TE161" s="32"/>
      <c r="TF161" s="32"/>
      <c r="TG161" s="32"/>
    </row>
    <row r="162" spans="1:527" s="34" customFormat="1" ht="32.25" customHeight="1" x14ac:dyDescent="0.25">
      <c r="A162" s="96" t="s">
        <v>179</v>
      </c>
      <c r="B162" s="109"/>
      <c r="C162" s="109"/>
      <c r="D162" s="77" t="s">
        <v>394</v>
      </c>
      <c r="E162" s="98">
        <f>E168+E169+E170+E171+E172+E174+E175+E176+E178+E180+E181+E182+E184+E186+E187+E188+E189+E190+E191+E193+E195+E197+E198+E200+E201</f>
        <v>196893094.35000002</v>
      </c>
      <c r="F162" s="98">
        <f t="shared" ref="F162:P162" si="62">F168+F169+F170+F171+F172+F174+F175+F176+F178+F180+F181+F182+F184+F186+F187+F188+F189+F190+F191+F193+F195+F197+F198+F200+F201</f>
        <v>196893094.35000002</v>
      </c>
      <c r="G162" s="98">
        <f t="shared" si="62"/>
        <v>60863900</v>
      </c>
      <c r="H162" s="98">
        <f t="shared" si="62"/>
        <v>1758789</v>
      </c>
      <c r="I162" s="98">
        <f t="shared" si="62"/>
        <v>0</v>
      </c>
      <c r="J162" s="98">
        <f t="shared" si="62"/>
        <v>2938824.05</v>
      </c>
      <c r="K162" s="98">
        <f t="shared" si="62"/>
        <v>2842624.05</v>
      </c>
      <c r="L162" s="98">
        <f t="shared" si="62"/>
        <v>96200</v>
      </c>
      <c r="M162" s="98">
        <f t="shared" si="62"/>
        <v>75000</v>
      </c>
      <c r="N162" s="98">
        <f t="shared" si="62"/>
        <v>0</v>
      </c>
      <c r="O162" s="98">
        <f t="shared" si="62"/>
        <v>2842624.05</v>
      </c>
      <c r="P162" s="98">
        <f t="shared" si="62"/>
        <v>199831918.40000004</v>
      </c>
      <c r="Q162" s="33"/>
      <c r="R162" s="32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3"/>
      <c r="KY162" s="33"/>
      <c r="KZ162" s="33"/>
      <c r="LA162" s="33"/>
      <c r="LB162" s="33"/>
      <c r="LC162" s="33"/>
      <c r="LD162" s="33"/>
      <c r="LE162" s="33"/>
      <c r="LF162" s="33"/>
      <c r="LG162" s="33"/>
      <c r="LH162" s="33"/>
      <c r="LI162" s="33"/>
      <c r="LJ162" s="33"/>
      <c r="LK162" s="33"/>
      <c r="LL162" s="33"/>
      <c r="LM162" s="33"/>
      <c r="LN162" s="33"/>
      <c r="LO162" s="33"/>
      <c r="LP162" s="33"/>
      <c r="LQ162" s="33"/>
      <c r="LR162" s="33"/>
      <c r="LS162" s="33"/>
      <c r="LT162" s="33"/>
      <c r="LU162" s="33"/>
      <c r="LV162" s="33"/>
      <c r="LW162" s="33"/>
      <c r="LX162" s="33"/>
      <c r="LY162" s="33"/>
      <c r="LZ162" s="33"/>
      <c r="MA162" s="33"/>
      <c r="MB162" s="33"/>
      <c r="MC162" s="33"/>
      <c r="MD162" s="33"/>
      <c r="ME162" s="33"/>
      <c r="MF162" s="33"/>
      <c r="MG162" s="33"/>
      <c r="MH162" s="33"/>
      <c r="MI162" s="33"/>
      <c r="MJ162" s="33"/>
      <c r="MK162" s="33"/>
      <c r="ML162" s="33"/>
      <c r="MM162" s="33"/>
      <c r="MN162" s="33"/>
      <c r="MO162" s="33"/>
      <c r="MP162" s="33"/>
      <c r="MQ162" s="33"/>
      <c r="MR162" s="33"/>
      <c r="MS162" s="33"/>
      <c r="MT162" s="33"/>
      <c r="MU162" s="33"/>
      <c r="MV162" s="33"/>
      <c r="MW162" s="33"/>
      <c r="MX162" s="33"/>
      <c r="MY162" s="33"/>
      <c r="MZ162" s="33"/>
      <c r="NA162" s="33"/>
      <c r="NB162" s="33"/>
      <c r="NC162" s="33"/>
      <c r="ND162" s="33"/>
      <c r="NE162" s="33"/>
      <c r="NF162" s="33"/>
      <c r="NG162" s="33"/>
      <c r="NH162" s="33"/>
      <c r="NI162" s="33"/>
      <c r="NJ162" s="33"/>
      <c r="NK162" s="33"/>
      <c r="NL162" s="33"/>
      <c r="NM162" s="33"/>
      <c r="NN162" s="33"/>
      <c r="NO162" s="33"/>
      <c r="NP162" s="33"/>
      <c r="NQ162" s="33"/>
      <c r="NR162" s="33"/>
      <c r="NS162" s="33"/>
      <c r="NT162" s="33"/>
      <c r="NU162" s="33"/>
      <c r="NV162" s="33"/>
      <c r="NW162" s="33"/>
      <c r="NX162" s="33"/>
      <c r="NY162" s="33"/>
      <c r="NZ162" s="33"/>
      <c r="OA162" s="33"/>
      <c r="OB162" s="33"/>
      <c r="OC162" s="33"/>
      <c r="OD162" s="33"/>
      <c r="OE162" s="33"/>
      <c r="OF162" s="33"/>
      <c r="OG162" s="33"/>
      <c r="OH162" s="33"/>
      <c r="OI162" s="33"/>
      <c r="OJ162" s="33"/>
      <c r="OK162" s="33"/>
      <c r="OL162" s="33"/>
      <c r="OM162" s="33"/>
      <c r="ON162" s="33"/>
      <c r="OO162" s="33"/>
      <c r="OP162" s="33"/>
      <c r="OQ162" s="33"/>
      <c r="OR162" s="33"/>
      <c r="OS162" s="33"/>
      <c r="OT162" s="33"/>
      <c r="OU162" s="33"/>
      <c r="OV162" s="33"/>
      <c r="OW162" s="33"/>
      <c r="OX162" s="33"/>
      <c r="OY162" s="33"/>
      <c r="OZ162" s="33"/>
      <c r="PA162" s="33"/>
      <c r="PB162" s="33"/>
      <c r="PC162" s="33"/>
      <c r="PD162" s="33"/>
      <c r="PE162" s="33"/>
      <c r="PF162" s="33"/>
      <c r="PG162" s="33"/>
      <c r="PH162" s="33"/>
      <c r="PI162" s="33"/>
      <c r="PJ162" s="33"/>
      <c r="PK162" s="33"/>
      <c r="PL162" s="33"/>
      <c r="PM162" s="33"/>
      <c r="PN162" s="33"/>
      <c r="PO162" s="33"/>
      <c r="PP162" s="33"/>
      <c r="PQ162" s="33"/>
      <c r="PR162" s="33"/>
      <c r="PS162" s="33"/>
      <c r="PT162" s="33"/>
      <c r="PU162" s="33"/>
      <c r="PV162" s="33"/>
      <c r="PW162" s="33"/>
      <c r="PX162" s="33"/>
      <c r="PY162" s="33"/>
      <c r="PZ162" s="33"/>
      <c r="QA162" s="33"/>
      <c r="QB162" s="33"/>
      <c r="QC162" s="33"/>
      <c r="QD162" s="33"/>
      <c r="QE162" s="33"/>
      <c r="QF162" s="33"/>
      <c r="QG162" s="33"/>
      <c r="QH162" s="33"/>
      <c r="QI162" s="33"/>
      <c r="QJ162" s="33"/>
      <c r="QK162" s="33"/>
      <c r="QL162" s="33"/>
      <c r="QM162" s="33"/>
      <c r="QN162" s="33"/>
      <c r="QO162" s="33"/>
      <c r="QP162" s="33"/>
      <c r="QQ162" s="33"/>
      <c r="QR162" s="33"/>
      <c r="QS162" s="33"/>
      <c r="QT162" s="33"/>
      <c r="QU162" s="33"/>
      <c r="QV162" s="33"/>
      <c r="QW162" s="33"/>
      <c r="QX162" s="33"/>
      <c r="QY162" s="33"/>
      <c r="QZ162" s="33"/>
      <c r="RA162" s="33"/>
      <c r="RB162" s="33"/>
      <c r="RC162" s="33"/>
      <c r="RD162" s="33"/>
      <c r="RE162" s="33"/>
      <c r="RF162" s="33"/>
      <c r="RG162" s="33"/>
      <c r="RH162" s="33"/>
      <c r="RI162" s="33"/>
      <c r="RJ162" s="33"/>
      <c r="RK162" s="33"/>
      <c r="RL162" s="33"/>
      <c r="RM162" s="33"/>
      <c r="RN162" s="33"/>
      <c r="RO162" s="33"/>
      <c r="RP162" s="33"/>
      <c r="RQ162" s="33"/>
      <c r="RR162" s="33"/>
      <c r="RS162" s="33"/>
      <c r="RT162" s="33"/>
      <c r="RU162" s="33"/>
      <c r="RV162" s="33"/>
      <c r="RW162" s="33"/>
      <c r="RX162" s="33"/>
      <c r="RY162" s="33"/>
      <c r="RZ162" s="33"/>
      <c r="SA162" s="33"/>
      <c r="SB162" s="33"/>
      <c r="SC162" s="33"/>
      <c r="SD162" s="33"/>
      <c r="SE162" s="33"/>
      <c r="SF162" s="33"/>
      <c r="SG162" s="33"/>
      <c r="SH162" s="33"/>
      <c r="SI162" s="33"/>
      <c r="SJ162" s="33"/>
      <c r="SK162" s="33"/>
      <c r="SL162" s="33"/>
      <c r="SM162" s="33"/>
      <c r="SN162" s="33"/>
      <c r="SO162" s="33"/>
      <c r="SP162" s="33"/>
      <c r="SQ162" s="33"/>
      <c r="SR162" s="33"/>
      <c r="SS162" s="33"/>
      <c r="ST162" s="33"/>
      <c r="SU162" s="33"/>
      <c r="SV162" s="33"/>
      <c r="SW162" s="33"/>
      <c r="SX162" s="33"/>
      <c r="SY162" s="33"/>
      <c r="SZ162" s="33"/>
      <c r="TA162" s="33"/>
      <c r="TB162" s="33"/>
      <c r="TC162" s="33"/>
      <c r="TD162" s="33"/>
      <c r="TE162" s="33"/>
      <c r="TF162" s="33"/>
      <c r="TG162" s="33"/>
    </row>
    <row r="163" spans="1:527" s="34" customFormat="1" ht="275.25" hidden="1" customHeight="1" x14ac:dyDescent="0.25">
      <c r="A163" s="96"/>
      <c r="B163" s="109"/>
      <c r="C163" s="109"/>
      <c r="D163" s="77" t="str">
        <f>'дод 8'!C101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3" s="98">
        <f>E192</f>
        <v>0</v>
      </c>
      <c r="F163" s="98">
        <f>L192</f>
        <v>0</v>
      </c>
      <c r="G163" s="98">
        <f t="shared" ref="G163:P163" si="63">G192</f>
        <v>0</v>
      </c>
      <c r="H163" s="98">
        <f t="shared" si="63"/>
        <v>0</v>
      </c>
      <c r="I163" s="98">
        <f t="shared" si="63"/>
        <v>0</v>
      </c>
      <c r="J163" s="98">
        <f t="shared" si="63"/>
        <v>975480.06</v>
      </c>
      <c r="K163" s="98">
        <f t="shared" si="63"/>
        <v>975480.06</v>
      </c>
      <c r="L163" s="98">
        <f t="shared" si="63"/>
        <v>0</v>
      </c>
      <c r="M163" s="98">
        <f t="shared" si="63"/>
        <v>0</v>
      </c>
      <c r="N163" s="98">
        <f t="shared" si="63"/>
        <v>0</v>
      </c>
      <c r="O163" s="98">
        <f t="shared" si="63"/>
        <v>975480.06</v>
      </c>
      <c r="P163" s="98">
        <f t="shared" si="63"/>
        <v>975480.06</v>
      </c>
      <c r="Q163" s="33"/>
      <c r="R163" s="32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  <c r="IW163" s="33"/>
      <c r="IX163" s="33"/>
      <c r="IY163" s="33"/>
      <c r="IZ163" s="33"/>
      <c r="JA163" s="33"/>
      <c r="JB163" s="33"/>
      <c r="JC163" s="33"/>
      <c r="JD163" s="33"/>
      <c r="JE163" s="33"/>
      <c r="JF163" s="33"/>
      <c r="JG163" s="33"/>
      <c r="JH163" s="33"/>
      <c r="JI163" s="33"/>
      <c r="JJ163" s="33"/>
      <c r="JK163" s="33"/>
      <c r="JL163" s="33"/>
      <c r="JM163" s="33"/>
      <c r="JN163" s="33"/>
      <c r="JO163" s="33"/>
      <c r="JP163" s="33"/>
      <c r="JQ163" s="33"/>
      <c r="JR163" s="33"/>
      <c r="JS163" s="33"/>
      <c r="JT163" s="33"/>
      <c r="JU163" s="33"/>
      <c r="JV163" s="33"/>
      <c r="JW163" s="33"/>
      <c r="JX163" s="33"/>
      <c r="JY163" s="33"/>
      <c r="JZ163" s="33"/>
      <c r="KA163" s="33"/>
      <c r="KB163" s="33"/>
      <c r="KC163" s="33"/>
      <c r="KD163" s="33"/>
      <c r="KE163" s="33"/>
      <c r="KF163" s="33"/>
      <c r="KG163" s="33"/>
      <c r="KH163" s="33"/>
      <c r="KI163" s="33"/>
      <c r="KJ163" s="33"/>
      <c r="KK163" s="33"/>
      <c r="KL163" s="33"/>
      <c r="KM163" s="33"/>
      <c r="KN163" s="33"/>
      <c r="KO163" s="33"/>
      <c r="KP163" s="33"/>
      <c r="KQ163" s="33"/>
      <c r="KR163" s="33"/>
      <c r="KS163" s="33"/>
      <c r="KT163" s="33"/>
      <c r="KU163" s="33"/>
      <c r="KV163" s="33"/>
      <c r="KW163" s="33"/>
      <c r="KX163" s="33"/>
      <c r="KY163" s="33"/>
      <c r="KZ163" s="33"/>
      <c r="LA163" s="33"/>
      <c r="LB163" s="33"/>
      <c r="LC163" s="33"/>
      <c r="LD163" s="33"/>
      <c r="LE163" s="33"/>
      <c r="LF163" s="33"/>
      <c r="LG163" s="33"/>
      <c r="LH163" s="33"/>
      <c r="LI163" s="33"/>
      <c r="LJ163" s="33"/>
      <c r="LK163" s="33"/>
      <c r="LL163" s="33"/>
      <c r="LM163" s="33"/>
      <c r="LN163" s="33"/>
      <c r="LO163" s="33"/>
      <c r="LP163" s="33"/>
      <c r="LQ163" s="33"/>
      <c r="LR163" s="33"/>
      <c r="LS163" s="33"/>
      <c r="LT163" s="33"/>
      <c r="LU163" s="33"/>
      <c r="LV163" s="33"/>
      <c r="LW163" s="33"/>
      <c r="LX163" s="33"/>
      <c r="LY163" s="33"/>
      <c r="LZ163" s="33"/>
      <c r="MA163" s="33"/>
      <c r="MB163" s="33"/>
      <c r="MC163" s="33"/>
      <c r="MD163" s="33"/>
      <c r="ME163" s="33"/>
      <c r="MF163" s="33"/>
      <c r="MG163" s="33"/>
      <c r="MH163" s="33"/>
      <c r="MI163" s="33"/>
      <c r="MJ163" s="33"/>
      <c r="MK163" s="33"/>
      <c r="ML163" s="33"/>
      <c r="MM163" s="33"/>
      <c r="MN163" s="33"/>
      <c r="MO163" s="33"/>
      <c r="MP163" s="33"/>
      <c r="MQ163" s="33"/>
      <c r="MR163" s="33"/>
      <c r="MS163" s="33"/>
      <c r="MT163" s="33"/>
      <c r="MU163" s="33"/>
      <c r="MV163" s="33"/>
      <c r="MW163" s="33"/>
      <c r="MX163" s="33"/>
      <c r="MY163" s="33"/>
      <c r="MZ163" s="33"/>
      <c r="NA163" s="33"/>
      <c r="NB163" s="33"/>
      <c r="NC163" s="33"/>
      <c r="ND163" s="33"/>
      <c r="NE163" s="33"/>
      <c r="NF163" s="33"/>
      <c r="NG163" s="33"/>
      <c r="NH163" s="33"/>
      <c r="NI163" s="33"/>
      <c r="NJ163" s="33"/>
      <c r="NK163" s="33"/>
      <c r="NL163" s="33"/>
      <c r="NM163" s="33"/>
      <c r="NN163" s="33"/>
      <c r="NO163" s="33"/>
      <c r="NP163" s="33"/>
      <c r="NQ163" s="33"/>
      <c r="NR163" s="33"/>
      <c r="NS163" s="33"/>
      <c r="NT163" s="33"/>
      <c r="NU163" s="33"/>
      <c r="NV163" s="33"/>
      <c r="NW163" s="33"/>
      <c r="NX163" s="33"/>
      <c r="NY163" s="33"/>
      <c r="NZ163" s="33"/>
      <c r="OA163" s="33"/>
      <c r="OB163" s="33"/>
      <c r="OC163" s="33"/>
      <c r="OD163" s="33"/>
      <c r="OE163" s="33"/>
      <c r="OF163" s="33"/>
      <c r="OG163" s="33"/>
      <c r="OH163" s="33"/>
      <c r="OI163" s="33"/>
      <c r="OJ163" s="33"/>
      <c r="OK163" s="33"/>
      <c r="OL163" s="33"/>
      <c r="OM163" s="33"/>
      <c r="ON163" s="33"/>
      <c r="OO163" s="33"/>
      <c r="OP163" s="33"/>
      <c r="OQ163" s="33"/>
      <c r="OR163" s="33"/>
      <c r="OS163" s="33"/>
      <c r="OT163" s="33"/>
      <c r="OU163" s="33"/>
      <c r="OV163" s="33"/>
      <c r="OW163" s="33"/>
      <c r="OX163" s="33"/>
      <c r="OY163" s="33"/>
      <c r="OZ163" s="33"/>
      <c r="PA163" s="33"/>
      <c r="PB163" s="33"/>
      <c r="PC163" s="33"/>
      <c r="PD163" s="33"/>
      <c r="PE163" s="33"/>
      <c r="PF163" s="33"/>
      <c r="PG163" s="33"/>
      <c r="PH163" s="33"/>
      <c r="PI163" s="33"/>
      <c r="PJ163" s="33"/>
      <c r="PK163" s="33"/>
      <c r="PL163" s="33"/>
      <c r="PM163" s="33"/>
      <c r="PN163" s="33"/>
      <c r="PO163" s="33"/>
      <c r="PP163" s="33"/>
      <c r="PQ163" s="33"/>
      <c r="PR163" s="33"/>
      <c r="PS163" s="33"/>
      <c r="PT163" s="33"/>
      <c r="PU163" s="33"/>
      <c r="PV163" s="33"/>
      <c r="PW163" s="33"/>
      <c r="PX163" s="33"/>
      <c r="PY163" s="33"/>
      <c r="PZ163" s="33"/>
      <c r="QA163" s="33"/>
      <c r="QB163" s="33"/>
      <c r="QC163" s="33"/>
      <c r="QD163" s="33"/>
      <c r="QE163" s="33"/>
      <c r="QF163" s="33"/>
      <c r="QG163" s="33"/>
      <c r="QH163" s="33"/>
      <c r="QI163" s="33"/>
      <c r="QJ163" s="33"/>
      <c r="QK163" s="33"/>
      <c r="QL163" s="33"/>
      <c r="QM163" s="33"/>
      <c r="QN163" s="33"/>
      <c r="QO163" s="33"/>
      <c r="QP163" s="33"/>
      <c r="QQ163" s="33"/>
      <c r="QR163" s="33"/>
      <c r="QS163" s="33"/>
      <c r="QT163" s="33"/>
      <c r="QU163" s="33"/>
      <c r="QV163" s="33"/>
      <c r="QW163" s="33"/>
      <c r="QX163" s="33"/>
      <c r="QY163" s="33"/>
      <c r="QZ163" s="33"/>
      <c r="RA163" s="33"/>
      <c r="RB163" s="33"/>
      <c r="RC163" s="33"/>
      <c r="RD163" s="33"/>
      <c r="RE163" s="33"/>
      <c r="RF163" s="33"/>
      <c r="RG163" s="33"/>
      <c r="RH163" s="33"/>
      <c r="RI163" s="33"/>
      <c r="RJ163" s="33"/>
      <c r="RK163" s="33"/>
      <c r="RL163" s="33"/>
      <c r="RM163" s="33"/>
      <c r="RN163" s="33"/>
      <c r="RO163" s="33"/>
      <c r="RP163" s="33"/>
      <c r="RQ163" s="33"/>
      <c r="RR163" s="33"/>
      <c r="RS163" s="33"/>
      <c r="RT163" s="33"/>
      <c r="RU163" s="33"/>
      <c r="RV163" s="33"/>
      <c r="RW163" s="33"/>
      <c r="RX163" s="33"/>
      <c r="RY163" s="33"/>
      <c r="RZ163" s="33"/>
      <c r="SA163" s="33"/>
      <c r="SB163" s="33"/>
      <c r="SC163" s="33"/>
      <c r="SD163" s="33"/>
      <c r="SE163" s="33"/>
      <c r="SF163" s="33"/>
      <c r="SG163" s="33"/>
      <c r="SH163" s="33"/>
      <c r="SI163" s="33"/>
      <c r="SJ163" s="33"/>
      <c r="SK163" s="33"/>
      <c r="SL163" s="33"/>
      <c r="SM163" s="33"/>
      <c r="SN163" s="33"/>
      <c r="SO163" s="33"/>
      <c r="SP163" s="33"/>
      <c r="SQ163" s="33"/>
      <c r="SR163" s="33"/>
      <c r="SS163" s="33"/>
      <c r="ST163" s="33"/>
      <c r="SU163" s="33"/>
      <c r="SV163" s="33"/>
      <c r="SW163" s="33"/>
      <c r="SX163" s="33"/>
      <c r="SY163" s="33"/>
      <c r="SZ163" s="33"/>
      <c r="TA163" s="33"/>
      <c r="TB163" s="33"/>
      <c r="TC163" s="33"/>
      <c r="TD163" s="33"/>
      <c r="TE163" s="33"/>
      <c r="TF163" s="33"/>
      <c r="TG163" s="33"/>
    </row>
    <row r="164" spans="1:527" s="34" customFormat="1" ht="255" hidden="1" customHeight="1" x14ac:dyDescent="0.25">
      <c r="A164" s="96"/>
      <c r="B164" s="109"/>
      <c r="C164" s="109"/>
      <c r="D164" s="77" t="str">
        <f>'дод 8'!C102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4" s="98">
        <f>E196</f>
        <v>0</v>
      </c>
      <c r="F164" s="98">
        <f t="shared" ref="F164:P164" si="64">F196</f>
        <v>0</v>
      </c>
      <c r="G164" s="98">
        <f t="shared" si="64"/>
        <v>0</v>
      </c>
      <c r="H164" s="98">
        <f t="shared" si="64"/>
        <v>0</v>
      </c>
      <c r="I164" s="98">
        <f t="shared" si="64"/>
        <v>0</v>
      </c>
      <c r="J164" s="98">
        <f t="shared" si="64"/>
        <v>0</v>
      </c>
      <c r="K164" s="98">
        <f t="shared" si="64"/>
        <v>0</v>
      </c>
      <c r="L164" s="98">
        <f t="shared" si="64"/>
        <v>0</v>
      </c>
      <c r="M164" s="98">
        <f t="shared" si="64"/>
        <v>0</v>
      </c>
      <c r="N164" s="98">
        <f t="shared" si="64"/>
        <v>0</v>
      </c>
      <c r="O164" s="98">
        <f t="shared" si="64"/>
        <v>0</v>
      </c>
      <c r="P164" s="98">
        <f t="shared" si="64"/>
        <v>0</v>
      </c>
      <c r="Q164" s="33"/>
      <c r="R164" s="32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  <c r="TG164" s="33"/>
    </row>
    <row r="165" spans="1:527" s="34" customFormat="1" ht="15.75" x14ac:dyDescent="0.25">
      <c r="A165" s="96"/>
      <c r="B165" s="109"/>
      <c r="C165" s="109"/>
      <c r="D165" s="77" t="s">
        <v>395</v>
      </c>
      <c r="E165" s="98">
        <f>E173+E177+E179+E183+E185+E199</f>
        <v>5817068.2400000002</v>
      </c>
      <c r="F165" s="98">
        <f t="shared" ref="F165:P165" si="65">F173+F177+F179+F183+F185+F199</f>
        <v>5817068.2400000002</v>
      </c>
      <c r="G165" s="98">
        <f t="shared" si="65"/>
        <v>0</v>
      </c>
      <c r="H165" s="98">
        <f t="shared" si="65"/>
        <v>0</v>
      </c>
      <c r="I165" s="98">
        <f t="shared" si="65"/>
        <v>0</v>
      </c>
      <c r="J165" s="98">
        <f t="shared" si="65"/>
        <v>0</v>
      </c>
      <c r="K165" s="98">
        <f t="shared" si="65"/>
        <v>0</v>
      </c>
      <c r="L165" s="98">
        <f t="shared" si="65"/>
        <v>0</v>
      </c>
      <c r="M165" s="98">
        <f t="shared" si="65"/>
        <v>0</v>
      </c>
      <c r="N165" s="98">
        <f t="shared" si="65"/>
        <v>0</v>
      </c>
      <c r="O165" s="98">
        <f t="shared" si="65"/>
        <v>0</v>
      </c>
      <c r="P165" s="98">
        <f t="shared" si="65"/>
        <v>5817068.2400000002</v>
      </c>
      <c r="Q165" s="33"/>
      <c r="R165" s="32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</row>
    <row r="166" spans="1:527" s="34" customFormat="1" ht="306.75" customHeight="1" x14ac:dyDescent="0.25">
      <c r="A166" s="96"/>
      <c r="B166" s="109"/>
      <c r="C166" s="109"/>
      <c r="D166" s="77" t="s">
        <v>583</v>
      </c>
      <c r="E166" s="98">
        <f>E192</f>
        <v>0</v>
      </c>
      <c r="F166" s="98">
        <f t="shared" ref="F166:P166" si="66">F192</f>
        <v>0</v>
      </c>
      <c r="G166" s="98">
        <f t="shared" si="66"/>
        <v>0</v>
      </c>
      <c r="H166" s="98">
        <f t="shared" si="66"/>
        <v>0</v>
      </c>
      <c r="I166" s="98">
        <f t="shared" si="66"/>
        <v>0</v>
      </c>
      <c r="J166" s="98">
        <f t="shared" si="66"/>
        <v>975480.06</v>
      </c>
      <c r="K166" s="98">
        <f t="shared" si="66"/>
        <v>975480.06</v>
      </c>
      <c r="L166" s="98">
        <f t="shared" si="66"/>
        <v>0</v>
      </c>
      <c r="M166" s="98">
        <f t="shared" si="66"/>
        <v>0</v>
      </c>
      <c r="N166" s="98">
        <f t="shared" si="66"/>
        <v>0</v>
      </c>
      <c r="O166" s="98">
        <f t="shared" si="66"/>
        <v>975480.06</v>
      </c>
      <c r="P166" s="98">
        <f t="shared" si="66"/>
        <v>975480.06</v>
      </c>
      <c r="Q166" s="33"/>
      <c r="R166" s="32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</row>
    <row r="167" spans="1:527" s="34" customFormat="1" ht="369.75" customHeight="1" x14ac:dyDescent="0.25">
      <c r="A167" s="96"/>
      <c r="B167" s="109"/>
      <c r="C167" s="109"/>
      <c r="D167" s="77" t="s">
        <v>609</v>
      </c>
      <c r="E167" s="98">
        <f>E194</f>
        <v>0</v>
      </c>
      <c r="F167" s="98">
        <f t="shared" ref="F167:P167" si="67">F194</f>
        <v>0</v>
      </c>
      <c r="G167" s="98">
        <f t="shared" si="67"/>
        <v>0</v>
      </c>
      <c r="H167" s="98">
        <f t="shared" si="67"/>
        <v>0</v>
      </c>
      <c r="I167" s="98">
        <f t="shared" si="67"/>
        <v>0</v>
      </c>
      <c r="J167" s="98">
        <f t="shared" si="67"/>
        <v>1176130.99</v>
      </c>
      <c r="K167" s="98">
        <f t="shared" si="67"/>
        <v>1176130.99</v>
      </c>
      <c r="L167" s="98">
        <f t="shared" si="67"/>
        <v>0</v>
      </c>
      <c r="M167" s="98">
        <f t="shared" si="67"/>
        <v>0</v>
      </c>
      <c r="N167" s="98">
        <f t="shared" si="67"/>
        <v>0</v>
      </c>
      <c r="O167" s="98">
        <f t="shared" si="67"/>
        <v>1176130.99</v>
      </c>
      <c r="P167" s="98">
        <f t="shared" si="67"/>
        <v>1176130.99</v>
      </c>
      <c r="Q167" s="33"/>
      <c r="R167" s="32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</row>
    <row r="168" spans="1:527" s="22" customFormat="1" ht="45.75" customHeight="1" x14ac:dyDescent="0.25">
      <c r="A168" s="59" t="s">
        <v>180</v>
      </c>
      <c r="B168" s="93" t="str">
        <f>'дод 8'!A19</f>
        <v>0160</v>
      </c>
      <c r="C168" s="93" t="str">
        <f>'дод 8'!B19</f>
        <v>0111</v>
      </c>
      <c r="D168" s="36" t="s">
        <v>494</v>
      </c>
      <c r="E168" s="99">
        <f t="shared" ref="E168:E201" si="68">F168+I168</f>
        <v>55760954</v>
      </c>
      <c r="F168" s="99">
        <f>55404100-2500-39500+158460+68000-38700+143094+68000</f>
        <v>55760954</v>
      </c>
      <c r="G168" s="99">
        <f>43270200-41500-31700</f>
        <v>43197000</v>
      </c>
      <c r="H168" s="99">
        <f>762000+158460+68000</f>
        <v>988460</v>
      </c>
      <c r="I168" s="99"/>
      <c r="J168" s="99">
        <f>L168+O168</f>
        <v>0</v>
      </c>
      <c r="K168" s="99">
        <f>68000-68000</f>
        <v>0</v>
      </c>
      <c r="L168" s="99"/>
      <c r="M168" s="99"/>
      <c r="N168" s="99"/>
      <c r="O168" s="99">
        <f>68000-68000</f>
        <v>0</v>
      </c>
      <c r="P168" s="99">
        <f t="shared" ref="P168:P201" si="69">E168+J168</f>
        <v>55760954</v>
      </c>
      <c r="Q168" s="23"/>
      <c r="R168" s="32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</row>
    <row r="169" spans="1:527" s="22" customFormat="1" ht="23.25" customHeight="1" x14ac:dyDescent="0.25">
      <c r="A169" s="59" t="s">
        <v>534</v>
      </c>
      <c r="B169" s="59" t="s">
        <v>45</v>
      </c>
      <c r="C169" s="59" t="s">
        <v>93</v>
      </c>
      <c r="D169" s="36" t="s">
        <v>242</v>
      </c>
      <c r="E169" s="99">
        <f t="shared" si="68"/>
        <v>39500</v>
      </c>
      <c r="F169" s="99">
        <v>39500</v>
      </c>
      <c r="G169" s="99"/>
      <c r="H169" s="99"/>
      <c r="I169" s="99"/>
      <c r="J169" s="99">
        <f>L169+O169</f>
        <v>0</v>
      </c>
      <c r="K169" s="99"/>
      <c r="L169" s="99"/>
      <c r="M169" s="99"/>
      <c r="N169" s="99"/>
      <c r="O169" s="99"/>
      <c r="P169" s="99">
        <f t="shared" si="69"/>
        <v>39500</v>
      </c>
      <c r="Q169" s="23"/>
      <c r="R169" s="32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</row>
    <row r="170" spans="1:527" s="23" customFormat="1" ht="36" customHeight="1" x14ac:dyDescent="0.25">
      <c r="A170" s="59" t="s">
        <v>181</v>
      </c>
      <c r="B170" s="93" t="str">
        <f>'дод 8'!A106</f>
        <v>3031</v>
      </c>
      <c r="C170" s="93" t="str">
        <f>'дод 8'!B106</f>
        <v>1030</v>
      </c>
      <c r="D170" s="60" t="str">
        <f>'дод 8'!C106</f>
        <v>Надання інших пільг окремим категоріям громадян відповідно до законодавства</v>
      </c>
      <c r="E170" s="99">
        <f t="shared" si="68"/>
        <v>806663</v>
      </c>
      <c r="F170" s="99">
        <f>604900+1763+200000</f>
        <v>806663</v>
      </c>
      <c r="G170" s="99"/>
      <c r="H170" s="99"/>
      <c r="I170" s="99"/>
      <c r="J170" s="99">
        <f t="shared" ref="J170:J196" si="70">L170+O170</f>
        <v>0</v>
      </c>
      <c r="K170" s="99"/>
      <c r="L170" s="99"/>
      <c r="M170" s="99"/>
      <c r="N170" s="99"/>
      <c r="O170" s="99"/>
      <c r="P170" s="99">
        <f t="shared" si="69"/>
        <v>806663</v>
      </c>
      <c r="R170" s="32"/>
    </row>
    <row r="171" spans="1:527" s="23" customFormat="1" ht="33" customHeight="1" x14ac:dyDescent="0.25">
      <c r="A171" s="59" t="s">
        <v>182</v>
      </c>
      <c r="B171" s="93" t="str">
        <f>'дод 8'!A107</f>
        <v>3032</v>
      </c>
      <c r="C171" s="93" t="str">
        <f>'дод 8'!B107</f>
        <v>1070</v>
      </c>
      <c r="D171" s="60" t="str">
        <f>'дод 8'!C107</f>
        <v>Надання пільг окремим категоріям громадян з оплати послуг зв'язку</v>
      </c>
      <c r="E171" s="99">
        <f t="shared" si="68"/>
        <v>900230</v>
      </c>
      <c r="F171" s="99">
        <f>1150000-20770-229000</f>
        <v>900230</v>
      </c>
      <c r="G171" s="99"/>
      <c r="H171" s="99"/>
      <c r="I171" s="99"/>
      <c r="J171" s="99">
        <f t="shared" si="70"/>
        <v>0</v>
      </c>
      <c r="K171" s="99"/>
      <c r="L171" s="99"/>
      <c r="M171" s="99"/>
      <c r="N171" s="99"/>
      <c r="O171" s="99"/>
      <c r="P171" s="99">
        <f t="shared" si="69"/>
        <v>900230</v>
      </c>
      <c r="R171" s="32"/>
    </row>
    <row r="172" spans="1:527" s="23" customFormat="1" ht="48.75" customHeight="1" x14ac:dyDescent="0.25">
      <c r="A172" s="59" t="s">
        <v>352</v>
      </c>
      <c r="B172" s="93" t="str">
        <f>'дод 8'!A108</f>
        <v>3033</v>
      </c>
      <c r="C172" s="93" t="str">
        <f>'дод 8'!B108</f>
        <v>1070</v>
      </c>
      <c r="D172" s="60" t="str">
        <f>'дод 8'!C108</f>
        <v>Компенсаційні виплати на пільговий проїзд автомобільним транспортом окремим категоріям громадян, у т.ч. за рахунок:</v>
      </c>
      <c r="E172" s="99">
        <f t="shared" si="68"/>
        <v>20637869.240000002</v>
      </c>
      <c r="F172" s="99">
        <f>3342111.24+19700200+44220+1920+11410+500000+678100-2550000+958608-2048700</f>
        <v>20637869.240000002</v>
      </c>
      <c r="G172" s="99"/>
      <c r="H172" s="99"/>
      <c r="I172" s="99"/>
      <c r="J172" s="99">
        <f t="shared" si="70"/>
        <v>0</v>
      </c>
      <c r="K172" s="99"/>
      <c r="L172" s="99"/>
      <c r="M172" s="99"/>
      <c r="N172" s="99"/>
      <c r="O172" s="99"/>
      <c r="P172" s="99">
        <f t="shared" si="69"/>
        <v>20637869.240000002</v>
      </c>
      <c r="R172" s="32"/>
    </row>
    <row r="173" spans="1:527" s="30" customFormat="1" ht="20.25" customHeight="1" x14ac:dyDescent="0.25">
      <c r="A173" s="84"/>
      <c r="B173" s="111"/>
      <c r="C173" s="111"/>
      <c r="D173" s="85" t="s">
        <v>393</v>
      </c>
      <c r="E173" s="101">
        <f t="shared" si="68"/>
        <v>4358269.24</v>
      </c>
      <c r="F173" s="101">
        <f>3342111.24+44220+1920+11410+958608</f>
        <v>4358269.24</v>
      </c>
      <c r="G173" s="101"/>
      <c r="H173" s="101"/>
      <c r="I173" s="101"/>
      <c r="J173" s="101">
        <f t="shared" si="70"/>
        <v>0</v>
      </c>
      <c r="K173" s="101"/>
      <c r="L173" s="101"/>
      <c r="M173" s="101"/>
      <c r="N173" s="101"/>
      <c r="O173" s="101"/>
      <c r="P173" s="101">
        <f t="shared" si="69"/>
        <v>4358269.24</v>
      </c>
      <c r="R173" s="32"/>
    </row>
    <row r="174" spans="1:527" s="23" customFormat="1" ht="47.25" x14ac:dyDescent="0.25">
      <c r="A174" s="59" t="s">
        <v>324</v>
      </c>
      <c r="B174" s="93" t="str">
        <f>'дод 8'!A110</f>
        <v>3035</v>
      </c>
      <c r="C174" s="93" t="str">
        <f>'дод 8'!B110</f>
        <v>1070</v>
      </c>
      <c r="D174" s="60" t="str">
        <f>'дод 8'!C110</f>
        <v>Компенсаційні виплати за пільговий проїзд окремих категорій громадян на залізничному транспорті</v>
      </c>
      <c r="E174" s="99">
        <f t="shared" si="68"/>
        <v>2000000</v>
      </c>
      <c r="F174" s="99">
        <f>1500000+500000</f>
        <v>2000000</v>
      </c>
      <c r="G174" s="99"/>
      <c r="H174" s="99"/>
      <c r="I174" s="99"/>
      <c r="J174" s="99">
        <f t="shared" si="70"/>
        <v>0</v>
      </c>
      <c r="K174" s="99"/>
      <c r="L174" s="99"/>
      <c r="M174" s="99"/>
      <c r="N174" s="99"/>
      <c r="O174" s="99"/>
      <c r="P174" s="99">
        <f t="shared" si="69"/>
        <v>2000000</v>
      </c>
      <c r="R174" s="32"/>
    </row>
    <row r="175" spans="1:527" s="23" customFormat="1" ht="36" customHeight="1" x14ac:dyDescent="0.25">
      <c r="A175" s="59" t="s">
        <v>183</v>
      </c>
      <c r="B175" s="93" t="str">
        <f>'дод 8'!A111</f>
        <v>3036</v>
      </c>
      <c r="C175" s="93" t="str">
        <f>'дод 8'!B111</f>
        <v>1070</v>
      </c>
      <c r="D175" s="60" t="str">
        <f>'дод 8'!C111</f>
        <v>Компенсаційні виплати на пільговий проїзд електротранспортом окремим категоріям громадян</v>
      </c>
      <c r="E175" s="99">
        <f t="shared" si="68"/>
        <v>35575500</v>
      </c>
      <c r="F175" s="99">
        <f>37333000+3760700-5950000+431800</f>
        <v>35575500</v>
      </c>
      <c r="G175" s="99"/>
      <c r="H175" s="99"/>
      <c r="I175" s="99"/>
      <c r="J175" s="99">
        <f t="shared" si="70"/>
        <v>0</v>
      </c>
      <c r="K175" s="99"/>
      <c r="L175" s="99"/>
      <c r="M175" s="99"/>
      <c r="N175" s="99"/>
      <c r="O175" s="99"/>
      <c r="P175" s="99">
        <f t="shared" si="69"/>
        <v>35575500</v>
      </c>
      <c r="R175" s="32"/>
    </row>
    <row r="176" spans="1:527" s="22" customFormat="1" ht="47.25" x14ac:dyDescent="0.25">
      <c r="A176" s="59" t="s">
        <v>350</v>
      </c>
      <c r="B176" s="93" t="str">
        <f>'дод 8'!A112</f>
        <v>3050</v>
      </c>
      <c r="C176" s="93" t="str">
        <f>'дод 8'!B112</f>
        <v>1070</v>
      </c>
      <c r="D176" s="60" t="str">
        <f>'дод 8'!C112</f>
        <v>Пільгове медичне обслуговування осіб, які постраждали внаслідок Чорнобильської катастрофи, у т.ч. за рахунок:</v>
      </c>
      <c r="E176" s="99">
        <f t="shared" si="68"/>
        <v>667500</v>
      </c>
      <c r="F176" s="99">
        <v>667500</v>
      </c>
      <c r="G176" s="99"/>
      <c r="H176" s="99"/>
      <c r="I176" s="99"/>
      <c r="J176" s="99">
        <f t="shared" si="70"/>
        <v>0</v>
      </c>
      <c r="K176" s="99"/>
      <c r="L176" s="99"/>
      <c r="M176" s="99"/>
      <c r="N176" s="99"/>
      <c r="O176" s="99"/>
      <c r="P176" s="99">
        <f t="shared" si="69"/>
        <v>667500</v>
      </c>
      <c r="Q176" s="23"/>
      <c r="R176" s="32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  <c r="TF176" s="23"/>
      <c r="TG176" s="23"/>
    </row>
    <row r="177" spans="1:527" s="24" customFormat="1" ht="15.75" x14ac:dyDescent="0.25">
      <c r="A177" s="84"/>
      <c r="B177" s="111"/>
      <c r="C177" s="111"/>
      <c r="D177" s="85" t="s">
        <v>393</v>
      </c>
      <c r="E177" s="101">
        <f t="shared" si="68"/>
        <v>667500</v>
      </c>
      <c r="F177" s="101">
        <v>667500</v>
      </c>
      <c r="G177" s="101"/>
      <c r="H177" s="101"/>
      <c r="I177" s="101"/>
      <c r="J177" s="101">
        <f t="shared" si="70"/>
        <v>0</v>
      </c>
      <c r="K177" s="101"/>
      <c r="L177" s="101"/>
      <c r="M177" s="101"/>
      <c r="N177" s="101"/>
      <c r="O177" s="101"/>
      <c r="P177" s="101">
        <f t="shared" si="69"/>
        <v>667500</v>
      </c>
      <c r="Q177" s="30"/>
      <c r="R177" s="32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/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30"/>
      <c r="MW177" s="30"/>
      <c r="MX177" s="30"/>
      <c r="MY177" s="30"/>
      <c r="MZ177" s="30"/>
      <c r="NA177" s="30"/>
      <c r="NB177" s="30"/>
      <c r="NC177" s="30"/>
      <c r="ND177" s="30"/>
      <c r="NE177" s="30"/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0"/>
      <c r="NR177" s="30"/>
      <c r="NS177" s="30"/>
      <c r="NT177" s="30"/>
      <c r="NU177" s="30"/>
      <c r="NV177" s="30"/>
      <c r="NW177" s="30"/>
      <c r="NX177" s="30"/>
      <c r="NY177" s="30"/>
      <c r="NZ177" s="30"/>
      <c r="OA177" s="30"/>
      <c r="OB177" s="30"/>
      <c r="OC177" s="30"/>
      <c r="OD177" s="30"/>
      <c r="OE177" s="30"/>
      <c r="OF177" s="30"/>
      <c r="OG177" s="30"/>
      <c r="OH177" s="30"/>
      <c r="OI177" s="30"/>
      <c r="OJ177" s="30"/>
      <c r="OK177" s="30"/>
      <c r="OL177" s="30"/>
      <c r="OM177" s="30"/>
      <c r="ON177" s="30"/>
      <c r="OO177" s="30"/>
      <c r="OP177" s="30"/>
      <c r="OQ177" s="30"/>
      <c r="OR177" s="30"/>
      <c r="OS177" s="30"/>
      <c r="OT177" s="30"/>
      <c r="OU177" s="30"/>
      <c r="OV177" s="30"/>
      <c r="OW177" s="30"/>
      <c r="OX177" s="30"/>
      <c r="OY177" s="30"/>
      <c r="OZ177" s="30"/>
      <c r="PA177" s="30"/>
      <c r="PB177" s="30"/>
      <c r="PC177" s="30"/>
      <c r="PD177" s="30"/>
      <c r="PE177" s="30"/>
      <c r="PF177" s="30"/>
      <c r="PG177" s="30"/>
      <c r="PH177" s="30"/>
      <c r="PI177" s="30"/>
      <c r="PJ177" s="30"/>
      <c r="PK177" s="30"/>
      <c r="PL177" s="30"/>
      <c r="PM177" s="30"/>
      <c r="PN177" s="30"/>
      <c r="PO177" s="30"/>
      <c r="PP177" s="30"/>
      <c r="PQ177" s="30"/>
      <c r="PR177" s="30"/>
      <c r="PS177" s="30"/>
      <c r="PT177" s="30"/>
      <c r="PU177" s="30"/>
      <c r="PV177" s="30"/>
      <c r="PW177" s="30"/>
      <c r="PX177" s="30"/>
      <c r="PY177" s="30"/>
      <c r="PZ177" s="30"/>
      <c r="QA177" s="30"/>
      <c r="QB177" s="30"/>
      <c r="QC177" s="30"/>
      <c r="QD177" s="30"/>
      <c r="QE177" s="30"/>
      <c r="QF177" s="30"/>
      <c r="QG177" s="30"/>
      <c r="QH177" s="30"/>
      <c r="QI177" s="30"/>
      <c r="QJ177" s="30"/>
      <c r="QK177" s="30"/>
      <c r="QL177" s="30"/>
      <c r="QM177" s="30"/>
      <c r="QN177" s="30"/>
      <c r="QO177" s="30"/>
      <c r="QP177" s="30"/>
      <c r="QQ177" s="30"/>
      <c r="QR177" s="30"/>
      <c r="QS177" s="30"/>
      <c r="QT177" s="30"/>
      <c r="QU177" s="30"/>
      <c r="QV177" s="30"/>
      <c r="QW177" s="30"/>
      <c r="QX177" s="30"/>
      <c r="QY177" s="30"/>
      <c r="QZ177" s="30"/>
      <c r="RA177" s="30"/>
      <c r="RB177" s="30"/>
      <c r="RC177" s="30"/>
      <c r="RD177" s="30"/>
      <c r="RE177" s="30"/>
      <c r="RF177" s="30"/>
      <c r="RG177" s="30"/>
      <c r="RH177" s="30"/>
      <c r="RI177" s="30"/>
      <c r="RJ177" s="30"/>
      <c r="RK177" s="30"/>
      <c r="RL177" s="30"/>
      <c r="RM177" s="30"/>
      <c r="RN177" s="30"/>
      <c r="RO177" s="30"/>
      <c r="RP177" s="30"/>
      <c r="RQ177" s="30"/>
      <c r="RR177" s="30"/>
      <c r="RS177" s="30"/>
      <c r="RT177" s="30"/>
      <c r="RU177" s="30"/>
      <c r="RV177" s="30"/>
      <c r="RW177" s="30"/>
      <c r="RX177" s="30"/>
      <c r="RY177" s="30"/>
      <c r="RZ177" s="30"/>
      <c r="SA177" s="30"/>
      <c r="SB177" s="30"/>
      <c r="SC177" s="30"/>
      <c r="SD177" s="30"/>
      <c r="SE177" s="30"/>
      <c r="SF177" s="30"/>
      <c r="SG177" s="30"/>
      <c r="SH177" s="30"/>
      <c r="SI177" s="30"/>
      <c r="SJ177" s="30"/>
      <c r="SK177" s="30"/>
      <c r="SL177" s="30"/>
      <c r="SM177" s="30"/>
      <c r="SN177" s="30"/>
      <c r="SO177" s="30"/>
      <c r="SP177" s="30"/>
      <c r="SQ177" s="30"/>
      <c r="SR177" s="30"/>
      <c r="SS177" s="30"/>
      <c r="ST177" s="30"/>
      <c r="SU177" s="30"/>
      <c r="SV177" s="30"/>
      <c r="SW177" s="30"/>
      <c r="SX177" s="30"/>
      <c r="SY177" s="30"/>
      <c r="SZ177" s="30"/>
      <c r="TA177" s="30"/>
      <c r="TB177" s="30"/>
      <c r="TC177" s="30"/>
      <c r="TD177" s="30"/>
      <c r="TE177" s="30"/>
      <c r="TF177" s="30"/>
      <c r="TG177" s="30"/>
    </row>
    <row r="178" spans="1:527" s="22" customFormat="1" ht="47.25" x14ac:dyDescent="0.25">
      <c r="A178" s="59" t="s">
        <v>351</v>
      </c>
      <c r="B178" s="93" t="str">
        <f>'дод 8'!A114</f>
        <v>3090</v>
      </c>
      <c r="C178" s="93" t="str">
        <f>'дод 8'!B114</f>
        <v>1030</v>
      </c>
      <c r="D178" s="60" t="str">
        <f>'дод 8'!C114</f>
        <v>Видатки на поховання учасників бойових дій та осіб з інвалідністю внаслідок війни, у т.ч. за рахунок:</v>
      </c>
      <c r="E178" s="99">
        <f t="shared" si="68"/>
        <v>245000</v>
      </c>
      <c r="F178" s="99">
        <v>245000</v>
      </c>
      <c r="G178" s="99"/>
      <c r="H178" s="99"/>
      <c r="I178" s="99"/>
      <c r="J178" s="99">
        <f t="shared" si="70"/>
        <v>0</v>
      </c>
      <c r="K178" s="99"/>
      <c r="L178" s="99"/>
      <c r="M178" s="99"/>
      <c r="N178" s="99"/>
      <c r="O178" s="99"/>
      <c r="P178" s="99">
        <f t="shared" si="69"/>
        <v>245000</v>
      </c>
      <c r="Q178" s="23"/>
      <c r="R178" s="32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</row>
    <row r="179" spans="1:527" s="24" customFormat="1" ht="15.75" x14ac:dyDescent="0.25">
      <c r="A179" s="84"/>
      <c r="B179" s="111"/>
      <c r="C179" s="111"/>
      <c r="D179" s="85" t="s">
        <v>393</v>
      </c>
      <c r="E179" s="101">
        <f t="shared" si="68"/>
        <v>245000</v>
      </c>
      <c r="F179" s="101">
        <v>245000</v>
      </c>
      <c r="G179" s="101"/>
      <c r="H179" s="101"/>
      <c r="I179" s="101"/>
      <c r="J179" s="101">
        <f t="shared" si="70"/>
        <v>0</v>
      </c>
      <c r="K179" s="101"/>
      <c r="L179" s="101"/>
      <c r="M179" s="101"/>
      <c r="N179" s="101"/>
      <c r="O179" s="101"/>
      <c r="P179" s="101">
        <f t="shared" si="69"/>
        <v>245000</v>
      </c>
      <c r="Q179" s="30"/>
      <c r="R179" s="32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  <c r="SO179" s="30"/>
      <c r="SP179" s="30"/>
      <c r="SQ179" s="30"/>
      <c r="SR179" s="30"/>
      <c r="SS179" s="30"/>
      <c r="ST179" s="30"/>
      <c r="SU179" s="30"/>
      <c r="SV179" s="30"/>
      <c r="SW179" s="30"/>
      <c r="SX179" s="30"/>
      <c r="SY179" s="30"/>
      <c r="SZ179" s="30"/>
      <c r="TA179" s="30"/>
      <c r="TB179" s="30"/>
      <c r="TC179" s="30"/>
      <c r="TD179" s="30"/>
      <c r="TE179" s="30"/>
      <c r="TF179" s="30"/>
      <c r="TG179" s="30"/>
    </row>
    <row r="180" spans="1:527" s="22" customFormat="1" ht="64.5" customHeight="1" x14ac:dyDescent="0.25">
      <c r="A180" s="59" t="s">
        <v>184</v>
      </c>
      <c r="B180" s="93" t="str">
        <f>'дод 8'!A116</f>
        <v>3104</v>
      </c>
      <c r="C180" s="93" t="str">
        <f>'дод 8'!B116</f>
        <v>1020</v>
      </c>
      <c r="D180" s="60" t="str">
        <f>'дод 8'!C116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0" s="99">
        <f t="shared" si="68"/>
        <v>18389917.48</v>
      </c>
      <c r="F180" s="99">
        <f>17394450+20000+20000-20000+65000+42515+19000+796052.48+8000+44900</f>
        <v>18389917.48</v>
      </c>
      <c r="G180" s="99">
        <f>13551350+476164.66</f>
        <v>14027514.66</v>
      </c>
      <c r="H180" s="99">
        <f>208050+26750+42515+74659.4+44900</f>
        <v>396874.4</v>
      </c>
      <c r="I180" s="99"/>
      <c r="J180" s="99">
        <f t="shared" si="70"/>
        <v>96200</v>
      </c>
      <c r="K180" s="99"/>
      <c r="L180" s="99">
        <v>96200</v>
      </c>
      <c r="M180" s="99">
        <v>75000</v>
      </c>
      <c r="N180" s="99"/>
      <c r="O180" s="99"/>
      <c r="P180" s="99">
        <f t="shared" si="69"/>
        <v>18486117.48</v>
      </c>
      <c r="Q180" s="23"/>
      <c r="R180" s="32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</row>
    <row r="181" spans="1:527" s="22" customFormat="1" ht="81.75" customHeight="1" x14ac:dyDescent="0.25">
      <c r="A181" s="59" t="s">
        <v>185</v>
      </c>
      <c r="B181" s="93" t="str">
        <f>'дод 8'!A122</f>
        <v>3160</v>
      </c>
      <c r="C181" s="93">
        <f>'дод 8'!B122</f>
        <v>1010</v>
      </c>
      <c r="D181" s="60" t="str">
        <f>'дод 8'!C122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1" s="99">
        <f t="shared" si="68"/>
        <v>3956000</v>
      </c>
      <c r="F181" s="99">
        <f>2500000+500000+956000</f>
        <v>3956000</v>
      </c>
      <c r="G181" s="99"/>
      <c r="H181" s="99"/>
      <c r="I181" s="99"/>
      <c r="J181" s="99">
        <f t="shared" si="70"/>
        <v>0</v>
      </c>
      <c r="K181" s="99"/>
      <c r="L181" s="99"/>
      <c r="M181" s="99"/>
      <c r="N181" s="99"/>
      <c r="O181" s="99"/>
      <c r="P181" s="99">
        <f t="shared" si="69"/>
        <v>3956000</v>
      </c>
      <c r="Q181" s="23"/>
      <c r="R181" s="32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</row>
    <row r="182" spans="1:527" s="22" customFormat="1" ht="63" x14ac:dyDescent="0.25">
      <c r="A182" s="59" t="s">
        <v>353</v>
      </c>
      <c r="B182" s="93" t="str">
        <f>'дод 8'!A123</f>
        <v>3171</v>
      </c>
      <c r="C182" s="93">
        <f>'дод 8'!B123</f>
        <v>1010</v>
      </c>
      <c r="D182" s="60" t="str">
        <f>'дод 8'!C123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82" s="99">
        <f t="shared" si="68"/>
        <v>198209</v>
      </c>
      <c r="F182" s="99">
        <v>198209</v>
      </c>
      <c r="G182" s="99"/>
      <c r="H182" s="99"/>
      <c r="I182" s="99"/>
      <c r="J182" s="99">
        <f t="shared" si="70"/>
        <v>0</v>
      </c>
      <c r="K182" s="99"/>
      <c r="L182" s="99"/>
      <c r="M182" s="99"/>
      <c r="N182" s="99"/>
      <c r="O182" s="99"/>
      <c r="P182" s="99">
        <f t="shared" si="69"/>
        <v>198209</v>
      </c>
      <c r="Q182" s="23"/>
      <c r="R182" s="32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</row>
    <row r="183" spans="1:527" s="24" customFormat="1" ht="18" customHeight="1" x14ac:dyDescent="0.25">
      <c r="A183" s="84"/>
      <c r="B183" s="111"/>
      <c r="C183" s="111"/>
      <c r="D183" s="85" t="s">
        <v>393</v>
      </c>
      <c r="E183" s="101">
        <f t="shared" si="68"/>
        <v>198209</v>
      </c>
      <c r="F183" s="101">
        <v>198209</v>
      </c>
      <c r="G183" s="101"/>
      <c r="H183" s="101"/>
      <c r="I183" s="101"/>
      <c r="J183" s="101">
        <f t="shared" si="70"/>
        <v>0</v>
      </c>
      <c r="K183" s="101"/>
      <c r="L183" s="101"/>
      <c r="M183" s="101"/>
      <c r="N183" s="101"/>
      <c r="O183" s="101"/>
      <c r="P183" s="101">
        <f t="shared" si="69"/>
        <v>198209</v>
      </c>
      <c r="Q183" s="30"/>
      <c r="R183" s="32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  <c r="SO183" s="30"/>
      <c r="SP183" s="30"/>
      <c r="SQ183" s="30"/>
      <c r="SR183" s="30"/>
      <c r="SS183" s="30"/>
      <c r="ST183" s="30"/>
      <c r="SU183" s="30"/>
      <c r="SV183" s="30"/>
      <c r="SW183" s="30"/>
      <c r="SX183" s="30"/>
      <c r="SY183" s="30"/>
      <c r="SZ183" s="30"/>
      <c r="TA183" s="30"/>
      <c r="TB183" s="30"/>
      <c r="TC183" s="30"/>
      <c r="TD183" s="30"/>
      <c r="TE183" s="30"/>
      <c r="TF183" s="30"/>
      <c r="TG183" s="30"/>
    </row>
    <row r="184" spans="1:527" s="22" customFormat="1" ht="31.5" x14ac:dyDescent="0.25">
      <c r="A184" s="59" t="s">
        <v>354</v>
      </c>
      <c r="B184" s="93" t="str">
        <f>'дод 8'!A125</f>
        <v>3172</v>
      </c>
      <c r="C184" s="93">
        <f>'дод 8'!B125</f>
        <v>1010</v>
      </c>
      <c r="D184" s="60" t="s">
        <v>406</v>
      </c>
      <c r="E184" s="99">
        <f t="shared" si="68"/>
        <v>90</v>
      </c>
      <c r="F184" s="99">
        <v>90</v>
      </c>
      <c r="G184" s="99"/>
      <c r="H184" s="99"/>
      <c r="I184" s="99"/>
      <c r="J184" s="99">
        <f t="shared" si="70"/>
        <v>0</v>
      </c>
      <c r="K184" s="99"/>
      <c r="L184" s="99"/>
      <c r="M184" s="99"/>
      <c r="N184" s="99"/>
      <c r="O184" s="99"/>
      <c r="P184" s="99">
        <f t="shared" si="69"/>
        <v>90</v>
      </c>
      <c r="Q184" s="23"/>
      <c r="R184" s="32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</row>
    <row r="185" spans="1:527" s="24" customFormat="1" ht="15.75" x14ac:dyDescent="0.25">
      <c r="A185" s="84"/>
      <c r="B185" s="111"/>
      <c r="C185" s="111"/>
      <c r="D185" s="85" t="s">
        <v>393</v>
      </c>
      <c r="E185" s="101">
        <f t="shared" si="68"/>
        <v>90</v>
      </c>
      <c r="F185" s="101">
        <v>90</v>
      </c>
      <c r="G185" s="101"/>
      <c r="H185" s="101"/>
      <c r="I185" s="101"/>
      <c r="J185" s="101">
        <f t="shared" si="70"/>
        <v>0</v>
      </c>
      <c r="K185" s="101"/>
      <c r="L185" s="101"/>
      <c r="M185" s="101"/>
      <c r="N185" s="101"/>
      <c r="O185" s="101"/>
      <c r="P185" s="101">
        <f t="shared" si="69"/>
        <v>90</v>
      </c>
      <c r="Q185" s="30"/>
      <c r="R185" s="32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/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30"/>
      <c r="MW185" s="30"/>
      <c r="MX185" s="30"/>
      <c r="MY185" s="30"/>
      <c r="MZ185" s="30"/>
      <c r="NA185" s="30"/>
      <c r="NB185" s="30"/>
      <c r="NC185" s="30"/>
      <c r="ND185" s="30"/>
      <c r="NE185" s="30"/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30"/>
      <c r="NY185" s="30"/>
      <c r="NZ185" s="30"/>
      <c r="OA185" s="30"/>
      <c r="OB185" s="30"/>
      <c r="OC185" s="30"/>
      <c r="OD185" s="30"/>
      <c r="OE185" s="30"/>
      <c r="OF185" s="30"/>
      <c r="OG185" s="30"/>
      <c r="OH185" s="30"/>
      <c r="OI185" s="30"/>
      <c r="OJ185" s="30"/>
      <c r="OK185" s="30"/>
      <c r="OL185" s="30"/>
      <c r="OM185" s="30"/>
      <c r="ON185" s="30"/>
      <c r="OO185" s="30"/>
      <c r="OP185" s="30"/>
      <c r="OQ185" s="30"/>
      <c r="OR185" s="30"/>
      <c r="OS185" s="30"/>
      <c r="OT185" s="30"/>
      <c r="OU185" s="30"/>
      <c r="OV185" s="30"/>
      <c r="OW185" s="30"/>
      <c r="OX185" s="30"/>
      <c r="OY185" s="30"/>
      <c r="OZ185" s="30"/>
      <c r="PA185" s="30"/>
      <c r="PB185" s="30"/>
      <c r="PC185" s="30"/>
      <c r="PD185" s="30"/>
      <c r="PE185" s="30"/>
      <c r="PF185" s="30"/>
      <c r="PG185" s="30"/>
      <c r="PH185" s="30"/>
      <c r="PI185" s="30"/>
      <c r="PJ185" s="30"/>
      <c r="PK185" s="30"/>
      <c r="PL185" s="30"/>
      <c r="PM185" s="30"/>
      <c r="PN185" s="30"/>
      <c r="PO185" s="30"/>
      <c r="PP185" s="30"/>
      <c r="PQ185" s="30"/>
      <c r="PR185" s="30"/>
      <c r="PS185" s="30"/>
      <c r="PT185" s="30"/>
      <c r="PU185" s="30"/>
      <c r="PV185" s="30"/>
      <c r="PW185" s="30"/>
      <c r="PX185" s="30"/>
      <c r="PY185" s="30"/>
      <c r="PZ185" s="30"/>
      <c r="QA185" s="30"/>
      <c r="QB185" s="30"/>
      <c r="QC185" s="30"/>
      <c r="QD185" s="30"/>
      <c r="QE185" s="30"/>
      <c r="QF185" s="30"/>
      <c r="QG185" s="30"/>
      <c r="QH185" s="30"/>
      <c r="QI185" s="30"/>
      <c r="QJ185" s="30"/>
      <c r="QK185" s="30"/>
      <c r="QL185" s="30"/>
      <c r="QM185" s="30"/>
      <c r="QN185" s="30"/>
      <c r="QO185" s="30"/>
      <c r="QP185" s="30"/>
      <c r="QQ185" s="30"/>
      <c r="QR185" s="30"/>
      <c r="QS185" s="30"/>
      <c r="QT185" s="30"/>
      <c r="QU185" s="30"/>
      <c r="QV185" s="30"/>
      <c r="QW185" s="30"/>
      <c r="QX185" s="30"/>
      <c r="QY185" s="30"/>
      <c r="QZ185" s="30"/>
      <c r="RA185" s="30"/>
      <c r="RB185" s="30"/>
      <c r="RC185" s="30"/>
      <c r="RD185" s="30"/>
      <c r="RE185" s="30"/>
      <c r="RF185" s="30"/>
      <c r="RG185" s="30"/>
      <c r="RH185" s="30"/>
      <c r="RI185" s="30"/>
      <c r="RJ185" s="30"/>
      <c r="RK185" s="30"/>
      <c r="RL185" s="30"/>
      <c r="RM185" s="30"/>
      <c r="RN185" s="30"/>
      <c r="RO185" s="30"/>
      <c r="RP185" s="30"/>
      <c r="RQ185" s="30"/>
      <c r="RR185" s="30"/>
      <c r="RS185" s="30"/>
      <c r="RT185" s="30"/>
      <c r="RU185" s="30"/>
      <c r="RV185" s="30"/>
      <c r="RW185" s="30"/>
      <c r="RX185" s="30"/>
      <c r="RY185" s="30"/>
      <c r="RZ185" s="30"/>
      <c r="SA185" s="30"/>
      <c r="SB185" s="30"/>
      <c r="SC185" s="30"/>
      <c r="SD185" s="30"/>
      <c r="SE185" s="30"/>
      <c r="SF185" s="30"/>
      <c r="SG185" s="30"/>
      <c r="SH185" s="30"/>
      <c r="SI185" s="30"/>
      <c r="SJ185" s="30"/>
      <c r="SK185" s="30"/>
      <c r="SL185" s="30"/>
      <c r="SM185" s="30"/>
      <c r="SN185" s="30"/>
      <c r="SO185" s="30"/>
      <c r="SP185" s="30"/>
      <c r="SQ185" s="30"/>
      <c r="SR185" s="30"/>
      <c r="SS185" s="30"/>
      <c r="ST185" s="30"/>
      <c r="SU185" s="30"/>
      <c r="SV185" s="30"/>
      <c r="SW185" s="30"/>
      <c r="SX185" s="30"/>
      <c r="SY185" s="30"/>
      <c r="SZ185" s="30"/>
      <c r="TA185" s="30"/>
      <c r="TB185" s="30"/>
      <c r="TC185" s="30"/>
      <c r="TD185" s="30"/>
      <c r="TE185" s="30"/>
      <c r="TF185" s="30"/>
      <c r="TG185" s="30"/>
    </row>
    <row r="186" spans="1:527" s="22" customFormat="1" ht="78.75" x14ac:dyDescent="0.25">
      <c r="A186" s="59" t="s">
        <v>186</v>
      </c>
      <c r="B186" s="93" t="str">
        <f>'дод 8'!A127</f>
        <v>3180</v>
      </c>
      <c r="C186" s="93" t="str">
        <f>'дод 8'!B127</f>
        <v>1060</v>
      </c>
      <c r="D186" s="60" t="str">
        <f>'дод 8'!C127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86" s="99">
        <f t="shared" si="68"/>
        <v>2452811</v>
      </c>
      <c r="F186" s="99">
        <f>2213520+239291</f>
        <v>2452811</v>
      </c>
      <c r="G186" s="99"/>
      <c r="H186" s="99"/>
      <c r="I186" s="99"/>
      <c r="J186" s="99">
        <f t="shared" si="70"/>
        <v>0</v>
      </c>
      <c r="K186" s="99"/>
      <c r="L186" s="99"/>
      <c r="M186" s="99"/>
      <c r="N186" s="99"/>
      <c r="O186" s="99"/>
      <c r="P186" s="99">
        <f t="shared" si="69"/>
        <v>2452811</v>
      </c>
      <c r="Q186" s="23"/>
      <c r="R186" s="32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  <c r="TF186" s="23"/>
      <c r="TG186" s="23"/>
    </row>
    <row r="187" spans="1:527" s="22" customFormat="1" ht="31.5" customHeight="1" x14ac:dyDescent="0.25">
      <c r="A187" s="59" t="s">
        <v>308</v>
      </c>
      <c r="B187" s="93" t="str">
        <f>'дод 8'!A128</f>
        <v>3191</v>
      </c>
      <c r="C187" s="93" t="str">
        <f>'дод 8'!B128</f>
        <v>1030</v>
      </c>
      <c r="D187" s="60" t="str">
        <f>'дод 8'!C128</f>
        <v>Інші видатки на соціальний захист ветеранів війни та праці</v>
      </c>
      <c r="E187" s="99">
        <f t="shared" si="68"/>
        <v>1952159</v>
      </c>
      <c r="F187" s="99">
        <f>2089960-47000-90801</f>
        <v>1952159</v>
      </c>
      <c r="G187" s="99"/>
      <c r="H187" s="99"/>
      <c r="I187" s="99"/>
      <c r="J187" s="99">
        <f t="shared" si="70"/>
        <v>0</v>
      </c>
      <c r="K187" s="99"/>
      <c r="L187" s="99"/>
      <c r="M187" s="99"/>
      <c r="N187" s="99"/>
      <c r="O187" s="99"/>
      <c r="P187" s="99">
        <f t="shared" si="69"/>
        <v>1952159</v>
      </c>
      <c r="Q187" s="23"/>
      <c r="R187" s="32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</row>
    <row r="188" spans="1:527" s="22" customFormat="1" ht="47.25" x14ac:dyDescent="0.25">
      <c r="A188" s="59" t="s">
        <v>309</v>
      </c>
      <c r="B188" s="93" t="str">
        <f>'дод 8'!A129</f>
        <v>3192</v>
      </c>
      <c r="C188" s="93" t="str">
        <f>'дод 8'!B129</f>
        <v>1030</v>
      </c>
      <c r="D188" s="60" t="s">
        <v>502</v>
      </c>
      <c r="E188" s="99">
        <f t="shared" si="68"/>
        <v>2250688</v>
      </c>
      <c r="F188" s="99">
        <v>2250688</v>
      </c>
      <c r="G188" s="99"/>
      <c r="H188" s="99"/>
      <c r="I188" s="99"/>
      <c r="J188" s="99">
        <f t="shared" si="70"/>
        <v>0</v>
      </c>
      <c r="K188" s="99"/>
      <c r="L188" s="99"/>
      <c r="M188" s="99"/>
      <c r="N188" s="99"/>
      <c r="O188" s="99"/>
      <c r="P188" s="99">
        <f t="shared" si="69"/>
        <v>2250688</v>
      </c>
      <c r="Q188" s="23"/>
      <c r="R188" s="32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</row>
    <row r="189" spans="1:527" s="22" customFormat="1" ht="34.5" customHeight="1" x14ac:dyDescent="0.25">
      <c r="A189" s="59" t="s">
        <v>187</v>
      </c>
      <c r="B189" s="93" t="str">
        <f>'дод 8'!A130</f>
        <v>3200</v>
      </c>
      <c r="C189" s="93" t="str">
        <f>'дод 8'!B130</f>
        <v>1090</v>
      </c>
      <c r="D189" s="60" t="str">
        <f>'дод 8'!C130</f>
        <v>Забезпечення обробки інформації з нарахування та виплати допомог і компенсацій</v>
      </c>
      <c r="E189" s="99">
        <f t="shared" si="68"/>
        <v>92000</v>
      </c>
      <c r="F189" s="99">
        <v>92000</v>
      </c>
      <c r="G189" s="99"/>
      <c r="H189" s="99"/>
      <c r="I189" s="99"/>
      <c r="J189" s="99">
        <f t="shared" si="70"/>
        <v>0</v>
      </c>
      <c r="K189" s="99"/>
      <c r="L189" s="99"/>
      <c r="M189" s="99"/>
      <c r="N189" s="99"/>
      <c r="O189" s="99"/>
      <c r="P189" s="99">
        <f t="shared" si="69"/>
        <v>92000</v>
      </c>
      <c r="Q189" s="23"/>
      <c r="R189" s="32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2" customFormat="1" ht="19.5" customHeight="1" x14ac:dyDescent="0.25">
      <c r="A190" s="103" t="s">
        <v>310</v>
      </c>
      <c r="B190" s="42" t="str">
        <f>'дод 8'!A131</f>
        <v>3210</v>
      </c>
      <c r="C190" s="42" t="str">
        <f>'дод 8'!B131</f>
        <v>1050</v>
      </c>
      <c r="D190" s="36" t="str">
        <f>'дод 8'!C131</f>
        <v>Організація та проведення громадських робіт</v>
      </c>
      <c r="E190" s="99">
        <f t="shared" si="68"/>
        <v>50000</v>
      </c>
      <c r="F190" s="99">
        <v>50000</v>
      </c>
      <c r="G190" s="99">
        <v>40900</v>
      </c>
      <c r="H190" s="99"/>
      <c r="I190" s="99"/>
      <c r="J190" s="99">
        <f t="shared" si="70"/>
        <v>0</v>
      </c>
      <c r="K190" s="99"/>
      <c r="L190" s="99"/>
      <c r="M190" s="99"/>
      <c r="N190" s="99"/>
      <c r="O190" s="99"/>
      <c r="P190" s="99">
        <f t="shared" si="69"/>
        <v>50000</v>
      </c>
      <c r="Q190" s="23"/>
      <c r="R190" s="32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</row>
    <row r="191" spans="1:527" s="22" customFormat="1" ht="261" customHeight="1" x14ac:dyDescent="0.25">
      <c r="A191" s="103" t="s">
        <v>441</v>
      </c>
      <c r="B191" s="42">
        <v>3221</v>
      </c>
      <c r="C191" s="103" t="s">
        <v>53</v>
      </c>
      <c r="D191" s="36" t="s">
        <v>585</v>
      </c>
      <c r="E191" s="99">
        <f t="shared" si="68"/>
        <v>0</v>
      </c>
      <c r="F191" s="116"/>
      <c r="G191" s="99"/>
      <c r="H191" s="99"/>
      <c r="I191" s="99"/>
      <c r="J191" s="99">
        <f t="shared" si="70"/>
        <v>975480.06</v>
      </c>
      <c r="K191" s="99">
        <v>975480.06</v>
      </c>
      <c r="L191" s="99"/>
      <c r="M191" s="99"/>
      <c r="N191" s="99"/>
      <c r="O191" s="99">
        <v>975480.06</v>
      </c>
      <c r="P191" s="99">
        <f t="shared" si="69"/>
        <v>975480.06</v>
      </c>
      <c r="Q191" s="23"/>
      <c r="R191" s="32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</row>
    <row r="192" spans="1:527" s="24" customFormat="1" ht="306.75" customHeight="1" x14ac:dyDescent="0.25">
      <c r="A192" s="105"/>
      <c r="B192" s="88"/>
      <c r="C192" s="105"/>
      <c r="D192" s="87" t="s">
        <v>583</v>
      </c>
      <c r="E192" s="99">
        <f t="shared" si="68"/>
        <v>0</v>
      </c>
      <c r="F192" s="141"/>
      <c r="G192" s="101"/>
      <c r="H192" s="101"/>
      <c r="I192" s="101"/>
      <c r="J192" s="99">
        <f t="shared" si="70"/>
        <v>975480.06</v>
      </c>
      <c r="K192" s="101">
        <v>975480.06</v>
      </c>
      <c r="L192" s="101"/>
      <c r="M192" s="101"/>
      <c r="N192" s="101"/>
      <c r="O192" s="101">
        <v>975480.06</v>
      </c>
      <c r="P192" s="101">
        <f t="shared" si="69"/>
        <v>975480.06</v>
      </c>
      <c r="Q192" s="30"/>
      <c r="R192" s="32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  <c r="IX192" s="30"/>
      <c r="IY192" s="30"/>
      <c r="IZ192" s="30"/>
      <c r="JA192" s="30"/>
      <c r="JB192" s="30"/>
      <c r="JC192" s="30"/>
      <c r="JD192" s="30"/>
      <c r="JE192" s="30"/>
      <c r="JF192" s="30"/>
      <c r="JG192" s="30"/>
      <c r="JH192" s="30"/>
      <c r="JI192" s="30"/>
      <c r="JJ192" s="30"/>
      <c r="JK192" s="30"/>
      <c r="JL192" s="30"/>
      <c r="JM192" s="30"/>
      <c r="JN192" s="30"/>
      <c r="JO192" s="30"/>
      <c r="JP192" s="30"/>
      <c r="JQ192" s="30"/>
      <c r="JR192" s="30"/>
      <c r="JS192" s="30"/>
      <c r="JT192" s="30"/>
      <c r="JU192" s="30"/>
      <c r="JV192" s="30"/>
      <c r="JW192" s="30"/>
      <c r="JX192" s="30"/>
      <c r="JY192" s="30"/>
      <c r="JZ192" s="30"/>
      <c r="KA192" s="30"/>
      <c r="KB192" s="30"/>
      <c r="KC192" s="30"/>
      <c r="KD192" s="30"/>
      <c r="KE192" s="30"/>
      <c r="KF192" s="30"/>
      <c r="KG192" s="30"/>
      <c r="KH192" s="30"/>
      <c r="KI192" s="30"/>
      <c r="KJ192" s="30"/>
      <c r="KK192" s="30"/>
      <c r="KL192" s="30"/>
      <c r="KM192" s="30"/>
      <c r="KN192" s="30"/>
      <c r="KO192" s="30"/>
      <c r="KP192" s="30"/>
      <c r="KQ192" s="30"/>
      <c r="KR192" s="30"/>
      <c r="KS192" s="30"/>
      <c r="KT192" s="30"/>
      <c r="KU192" s="30"/>
      <c r="KV192" s="30"/>
      <c r="KW192" s="30"/>
      <c r="KX192" s="30"/>
      <c r="KY192" s="30"/>
      <c r="KZ192" s="30"/>
      <c r="LA192" s="30"/>
      <c r="LB192" s="30"/>
      <c r="LC192" s="30"/>
      <c r="LD192" s="30"/>
      <c r="LE192" s="30"/>
      <c r="LF192" s="30"/>
      <c r="LG192" s="30"/>
      <c r="LH192" s="30"/>
      <c r="LI192" s="30"/>
      <c r="LJ192" s="30"/>
      <c r="LK192" s="30"/>
      <c r="LL192" s="30"/>
      <c r="LM192" s="30"/>
      <c r="LN192" s="30"/>
      <c r="LO192" s="30"/>
      <c r="LP192" s="30"/>
      <c r="LQ192" s="30"/>
      <c r="LR192" s="30"/>
      <c r="LS192" s="30"/>
      <c r="LT192" s="30"/>
      <c r="LU192" s="30"/>
      <c r="LV192" s="30"/>
      <c r="LW192" s="30"/>
      <c r="LX192" s="30"/>
      <c r="LY192" s="30"/>
      <c r="LZ192" s="30"/>
      <c r="MA192" s="30"/>
      <c r="MB192" s="30"/>
      <c r="MC192" s="30"/>
      <c r="MD192" s="30"/>
      <c r="ME192" s="30"/>
      <c r="MF192" s="30"/>
      <c r="MG192" s="30"/>
      <c r="MH192" s="30"/>
      <c r="MI192" s="30"/>
      <c r="MJ192" s="30"/>
      <c r="MK192" s="30"/>
      <c r="ML192" s="30"/>
      <c r="MM192" s="30"/>
      <c r="MN192" s="30"/>
      <c r="MO192" s="30"/>
      <c r="MP192" s="30"/>
      <c r="MQ192" s="30"/>
      <c r="MR192" s="30"/>
      <c r="MS192" s="30"/>
      <c r="MT192" s="30"/>
      <c r="MU192" s="30"/>
      <c r="MV192" s="30"/>
      <c r="MW192" s="30"/>
      <c r="MX192" s="30"/>
      <c r="MY192" s="30"/>
      <c r="MZ192" s="30"/>
      <c r="NA192" s="30"/>
      <c r="NB192" s="30"/>
      <c r="NC192" s="30"/>
      <c r="ND192" s="30"/>
      <c r="NE192" s="30"/>
      <c r="NF192" s="30"/>
      <c r="NG192" s="30"/>
      <c r="NH192" s="30"/>
      <c r="NI192" s="30"/>
      <c r="NJ192" s="30"/>
      <c r="NK192" s="30"/>
      <c r="NL192" s="30"/>
      <c r="NM192" s="30"/>
      <c r="NN192" s="30"/>
      <c r="NO192" s="30"/>
      <c r="NP192" s="30"/>
      <c r="NQ192" s="30"/>
      <c r="NR192" s="30"/>
      <c r="NS192" s="30"/>
      <c r="NT192" s="30"/>
      <c r="NU192" s="30"/>
      <c r="NV192" s="30"/>
      <c r="NW192" s="30"/>
      <c r="NX192" s="30"/>
      <c r="NY192" s="30"/>
      <c r="NZ192" s="30"/>
      <c r="OA192" s="30"/>
      <c r="OB192" s="30"/>
      <c r="OC192" s="30"/>
      <c r="OD192" s="30"/>
      <c r="OE192" s="30"/>
      <c r="OF192" s="30"/>
      <c r="OG192" s="30"/>
      <c r="OH192" s="30"/>
      <c r="OI192" s="30"/>
      <c r="OJ192" s="30"/>
      <c r="OK192" s="30"/>
      <c r="OL192" s="30"/>
      <c r="OM192" s="30"/>
      <c r="ON192" s="30"/>
      <c r="OO192" s="30"/>
      <c r="OP192" s="30"/>
      <c r="OQ192" s="30"/>
      <c r="OR192" s="30"/>
      <c r="OS192" s="30"/>
      <c r="OT192" s="30"/>
      <c r="OU192" s="30"/>
      <c r="OV192" s="30"/>
      <c r="OW192" s="30"/>
      <c r="OX192" s="30"/>
      <c r="OY192" s="30"/>
      <c r="OZ192" s="30"/>
      <c r="PA192" s="30"/>
      <c r="PB192" s="30"/>
      <c r="PC192" s="30"/>
      <c r="PD192" s="30"/>
      <c r="PE192" s="30"/>
      <c r="PF192" s="30"/>
      <c r="PG192" s="30"/>
      <c r="PH192" s="30"/>
      <c r="PI192" s="30"/>
      <c r="PJ192" s="30"/>
      <c r="PK192" s="30"/>
      <c r="PL192" s="30"/>
      <c r="PM192" s="30"/>
      <c r="PN192" s="30"/>
      <c r="PO192" s="30"/>
      <c r="PP192" s="30"/>
      <c r="PQ192" s="30"/>
      <c r="PR192" s="30"/>
      <c r="PS192" s="30"/>
      <c r="PT192" s="30"/>
      <c r="PU192" s="30"/>
      <c r="PV192" s="30"/>
      <c r="PW192" s="30"/>
      <c r="PX192" s="30"/>
      <c r="PY192" s="30"/>
      <c r="PZ192" s="30"/>
      <c r="QA192" s="30"/>
      <c r="QB192" s="30"/>
      <c r="QC192" s="30"/>
      <c r="QD192" s="30"/>
      <c r="QE192" s="30"/>
      <c r="QF192" s="30"/>
      <c r="QG192" s="30"/>
      <c r="QH192" s="30"/>
      <c r="QI192" s="30"/>
      <c r="QJ192" s="30"/>
      <c r="QK192" s="30"/>
      <c r="QL192" s="30"/>
      <c r="QM192" s="30"/>
      <c r="QN192" s="30"/>
      <c r="QO192" s="30"/>
      <c r="QP192" s="30"/>
      <c r="QQ192" s="30"/>
      <c r="QR192" s="30"/>
      <c r="QS192" s="30"/>
      <c r="QT192" s="30"/>
      <c r="QU192" s="30"/>
      <c r="QV192" s="30"/>
      <c r="QW192" s="30"/>
      <c r="QX192" s="30"/>
      <c r="QY192" s="30"/>
      <c r="QZ192" s="30"/>
      <c r="RA192" s="30"/>
      <c r="RB192" s="30"/>
      <c r="RC192" s="30"/>
      <c r="RD192" s="30"/>
      <c r="RE192" s="30"/>
      <c r="RF192" s="30"/>
      <c r="RG192" s="30"/>
      <c r="RH192" s="30"/>
      <c r="RI192" s="30"/>
      <c r="RJ192" s="30"/>
      <c r="RK192" s="30"/>
      <c r="RL192" s="30"/>
      <c r="RM192" s="30"/>
      <c r="RN192" s="30"/>
      <c r="RO192" s="30"/>
      <c r="RP192" s="30"/>
      <c r="RQ192" s="30"/>
      <c r="RR192" s="30"/>
      <c r="RS192" s="30"/>
      <c r="RT192" s="30"/>
      <c r="RU192" s="30"/>
      <c r="RV192" s="30"/>
      <c r="RW192" s="30"/>
      <c r="RX192" s="30"/>
      <c r="RY192" s="30"/>
      <c r="RZ192" s="30"/>
      <c r="SA192" s="30"/>
      <c r="SB192" s="30"/>
      <c r="SC192" s="30"/>
      <c r="SD192" s="30"/>
      <c r="SE192" s="30"/>
      <c r="SF192" s="30"/>
      <c r="SG192" s="30"/>
      <c r="SH192" s="30"/>
      <c r="SI192" s="30"/>
      <c r="SJ192" s="30"/>
      <c r="SK192" s="30"/>
      <c r="SL192" s="30"/>
      <c r="SM192" s="30"/>
      <c r="SN192" s="30"/>
      <c r="SO192" s="30"/>
      <c r="SP192" s="30"/>
      <c r="SQ192" s="30"/>
      <c r="SR192" s="30"/>
      <c r="SS192" s="30"/>
      <c r="ST192" s="30"/>
      <c r="SU192" s="30"/>
      <c r="SV192" s="30"/>
      <c r="SW192" s="30"/>
      <c r="SX192" s="30"/>
      <c r="SY192" s="30"/>
      <c r="SZ192" s="30"/>
      <c r="TA192" s="30"/>
      <c r="TB192" s="30"/>
      <c r="TC192" s="30"/>
      <c r="TD192" s="30"/>
      <c r="TE192" s="30"/>
      <c r="TF192" s="30"/>
      <c r="TG192" s="30"/>
    </row>
    <row r="193" spans="1:527" s="22" customFormat="1" ht="324.75" customHeight="1" x14ac:dyDescent="0.25">
      <c r="A193" s="103" t="s">
        <v>564</v>
      </c>
      <c r="B193" s="42">
        <v>3222</v>
      </c>
      <c r="C193" s="103" t="s">
        <v>53</v>
      </c>
      <c r="D193" s="36" t="s">
        <v>608</v>
      </c>
      <c r="E193" s="99">
        <f t="shared" ref="E193:E194" si="71">F193+I193</f>
        <v>0</v>
      </c>
      <c r="F193" s="142"/>
      <c r="G193" s="99"/>
      <c r="H193" s="99"/>
      <c r="I193" s="99"/>
      <c r="J193" s="99">
        <f t="shared" ref="J193:J194" si="72">L193+O193</f>
        <v>1176130.99</v>
      </c>
      <c r="K193" s="99">
        <v>1176130.99</v>
      </c>
      <c r="L193" s="99"/>
      <c r="M193" s="99"/>
      <c r="N193" s="99"/>
      <c r="O193" s="99">
        <v>1176130.99</v>
      </c>
      <c r="P193" s="99">
        <f t="shared" si="69"/>
        <v>1176130.99</v>
      </c>
      <c r="Q193" s="23"/>
      <c r="R193" s="32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</row>
    <row r="194" spans="1:527" s="24" customFormat="1" ht="332.25" customHeight="1" x14ac:dyDescent="0.25">
      <c r="A194" s="105"/>
      <c r="B194" s="88"/>
      <c r="C194" s="105"/>
      <c r="D194" s="87" t="s">
        <v>609</v>
      </c>
      <c r="E194" s="101">
        <f t="shared" si="71"/>
        <v>0</v>
      </c>
      <c r="F194" s="141"/>
      <c r="G194" s="101"/>
      <c r="H194" s="101"/>
      <c r="I194" s="101"/>
      <c r="J194" s="101">
        <f t="shared" si="72"/>
        <v>1176130.99</v>
      </c>
      <c r="K194" s="101">
        <v>1176130.99</v>
      </c>
      <c r="L194" s="101"/>
      <c r="M194" s="101"/>
      <c r="N194" s="101"/>
      <c r="O194" s="101">
        <v>1176130.99</v>
      </c>
      <c r="P194" s="101">
        <f t="shared" si="69"/>
        <v>1176130.99</v>
      </c>
      <c r="Q194" s="30"/>
      <c r="R194" s="32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  <c r="LU194" s="30"/>
      <c r="LV194" s="30"/>
      <c r="LW194" s="30"/>
      <c r="LX194" s="30"/>
      <c r="LY194" s="30"/>
      <c r="LZ194" s="30"/>
      <c r="MA194" s="30"/>
      <c r="MB194" s="30"/>
      <c r="MC194" s="30"/>
      <c r="MD194" s="30"/>
      <c r="ME194" s="30"/>
      <c r="MF194" s="30"/>
      <c r="MG194" s="30"/>
      <c r="MH194" s="30"/>
      <c r="MI194" s="30"/>
      <c r="MJ194" s="30"/>
      <c r="MK194" s="30"/>
      <c r="ML194" s="30"/>
      <c r="MM194" s="30"/>
      <c r="MN194" s="30"/>
      <c r="MO194" s="30"/>
      <c r="MP194" s="30"/>
      <c r="MQ194" s="30"/>
      <c r="MR194" s="30"/>
      <c r="MS194" s="30"/>
      <c r="MT194" s="30"/>
      <c r="MU194" s="30"/>
      <c r="MV194" s="30"/>
      <c r="MW194" s="30"/>
      <c r="MX194" s="30"/>
      <c r="MY194" s="30"/>
      <c r="MZ194" s="30"/>
      <c r="NA194" s="30"/>
      <c r="NB194" s="30"/>
      <c r="NC194" s="30"/>
      <c r="ND194" s="30"/>
      <c r="NE194" s="30"/>
      <c r="NF194" s="30"/>
      <c r="NG194" s="30"/>
      <c r="NH194" s="30"/>
      <c r="NI194" s="30"/>
      <c r="NJ194" s="30"/>
      <c r="NK194" s="30"/>
      <c r="NL194" s="30"/>
      <c r="NM194" s="30"/>
      <c r="NN194" s="30"/>
      <c r="NO194" s="30"/>
      <c r="NP194" s="30"/>
      <c r="NQ194" s="30"/>
      <c r="NR194" s="30"/>
      <c r="NS194" s="30"/>
      <c r="NT194" s="30"/>
      <c r="NU194" s="30"/>
      <c r="NV194" s="30"/>
      <c r="NW194" s="30"/>
      <c r="NX194" s="30"/>
      <c r="NY194" s="30"/>
      <c r="NZ194" s="30"/>
      <c r="OA194" s="30"/>
      <c r="OB194" s="30"/>
      <c r="OC194" s="30"/>
      <c r="OD194" s="30"/>
      <c r="OE194" s="30"/>
      <c r="OF194" s="30"/>
      <c r="OG194" s="30"/>
      <c r="OH194" s="30"/>
      <c r="OI194" s="30"/>
      <c r="OJ194" s="30"/>
      <c r="OK194" s="30"/>
      <c r="OL194" s="30"/>
      <c r="OM194" s="30"/>
      <c r="ON194" s="30"/>
      <c r="OO194" s="30"/>
      <c r="OP194" s="30"/>
      <c r="OQ194" s="30"/>
      <c r="OR194" s="30"/>
      <c r="OS194" s="30"/>
      <c r="OT194" s="30"/>
      <c r="OU194" s="30"/>
      <c r="OV194" s="30"/>
      <c r="OW194" s="30"/>
      <c r="OX194" s="30"/>
      <c r="OY194" s="30"/>
      <c r="OZ194" s="30"/>
      <c r="PA194" s="30"/>
      <c r="PB194" s="30"/>
      <c r="PC194" s="30"/>
      <c r="PD194" s="30"/>
      <c r="PE194" s="30"/>
      <c r="PF194" s="30"/>
      <c r="PG194" s="30"/>
      <c r="PH194" s="30"/>
      <c r="PI194" s="30"/>
      <c r="PJ194" s="30"/>
      <c r="PK194" s="30"/>
      <c r="PL194" s="30"/>
      <c r="PM194" s="30"/>
      <c r="PN194" s="30"/>
      <c r="PO194" s="30"/>
      <c r="PP194" s="30"/>
      <c r="PQ194" s="30"/>
      <c r="PR194" s="30"/>
      <c r="PS194" s="30"/>
      <c r="PT194" s="30"/>
      <c r="PU194" s="30"/>
      <c r="PV194" s="30"/>
      <c r="PW194" s="30"/>
      <c r="PX194" s="30"/>
      <c r="PY194" s="30"/>
      <c r="PZ194" s="30"/>
      <c r="QA194" s="30"/>
      <c r="QB194" s="30"/>
      <c r="QC194" s="30"/>
      <c r="QD194" s="30"/>
      <c r="QE194" s="30"/>
      <c r="QF194" s="30"/>
      <c r="QG194" s="30"/>
      <c r="QH194" s="30"/>
      <c r="QI194" s="30"/>
      <c r="QJ194" s="30"/>
      <c r="QK194" s="30"/>
      <c r="QL194" s="30"/>
      <c r="QM194" s="30"/>
      <c r="QN194" s="30"/>
      <c r="QO194" s="30"/>
      <c r="QP194" s="30"/>
      <c r="QQ194" s="30"/>
      <c r="QR194" s="30"/>
      <c r="QS194" s="30"/>
      <c r="QT194" s="30"/>
      <c r="QU194" s="30"/>
      <c r="QV194" s="30"/>
      <c r="QW194" s="30"/>
      <c r="QX194" s="30"/>
      <c r="QY194" s="30"/>
      <c r="QZ194" s="30"/>
      <c r="RA194" s="30"/>
      <c r="RB194" s="30"/>
      <c r="RC194" s="30"/>
      <c r="RD194" s="30"/>
      <c r="RE194" s="30"/>
      <c r="RF194" s="30"/>
      <c r="RG194" s="30"/>
      <c r="RH194" s="30"/>
      <c r="RI194" s="30"/>
      <c r="RJ194" s="30"/>
      <c r="RK194" s="30"/>
      <c r="RL194" s="30"/>
      <c r="RM194" s="30"/>
      <c r="RN194" s="30"/>
      <c r="RO194" s="30"/>
      <c r="RP194" s="30"/>
      <c r="RQ194" s="30"/>
      <c r="RR194" s="30"/>
      <c r="RS194" s="30"/>
      <c r="RT194" s="30"/>
      <c r="RU194" s="30"/>
      <c r="RV194" s="30"/>
      <c r="RW194" s="30"/>
      <c r="RX194" s="30"/>
      <c r="RY194" s="30"/>
      <c r="RZ194" s="30"/>
      <c r="SA194" s="30"/>
      <c r="SB194" s="30"/>
      <c r="SC194" s="30"/>
      <c r="SD194" s="30"/>
      <c r="SE194" s="30"/>
      <c r="SF194" s="30"/>
      <c r="SG194" s="30"/>
      <c r="SH194" s="30"/>
      <c r="SI194" s="30"/>
      <c r="SJ194" s="30"/>
      <c r="SK194" s="30"/>
      <c r="SL194" s="30"/>
      <c r="SM194" s="30"/>
      <c r="SN194" s="30"/>
      <c r="SO194" s="30"/>
      <c r="SP194" s="30"/>
      <c r="SQ194" s="30"/>
      <c r="SR194" s="30"/>
      <c r="SS194" s="30"/>
      <c r="ST194" s="30"/>
      <c r="SU194" s="30"/>
      <c r="SV194" s="30"/>
      <c r="SW194" s="30"/>
      <c r="SX194" s="30"/>
      <c r="SY194" s="30"/>
      <c r="SZ194" s="30"/>
      <c r="TA194" s="30"/>
      <c r="TB194" s="30"/>
      <c r="TC194" s="30"/>
      <c r="TD194" s="30"/>
      <c r="TE194" s="30"/>
      <c r="TF194" s="30"/>
      <c r="TG194" s="30"/>
    </row>
    <row r="195" spans="1:527" s="22" customFormat="1" ht="220.5" hidden="1" x14ac:dyDescent="0.25">
      <c r="A195" s="103" t="s">
        <v>440</v>
      </c>
      <c r="B195" s="42">
        <v>3223</v>
      </c>
      <c r="C195" s="103" t="s">
        <v>53</v>
      </c>
      <c r="D195" s="36" t="str">
        <f>'дод 8'!C136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95" s="99">
        <f t="shared" si="68"/>
        <v>0</v>
      </c>
      <c r="F195" s="99"/>
      <c r="G195" s="99"/>
      <c r="H195" s="99"/>
      <c r="I195" s="99"/>
      <c r="J195" s="99">
        <f t="shared" si="70"/>
        <v>0</v>
      </c>
      <c r="K195" s="99"/>
      <c r="L195" s="99"/>
      <c r="M195" s="99"/>
      <c r="N195" s="99"/>
      <c r="O195" s="99"/>
      <c r="P195" s="99">
        <f t="shared" si="69"/>
        <v>0</v>
      </c>
      <c r="Q195" s="23"/>
      <c r="R195" s="32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</row>
    <row r="196" spans="1:527" s="24" customFormat="1" ht="267.75" hidden="1" x14ac:dyDescent="0.25">
      <c r="A196" s="105"/>
      <c r="B196" s="88"/>
      <c r="C196" s="105"/>
      <c r="D196" s="87" t="str">
        <f>'дод 8'!C137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96" s="101">
        <f t="shared" si="68"/>
        <v>0</v>
      </c>
      <c r="F196" s="101"/>
      <c r="G196" s="101"/>
      <c r="H196" s="101"/>
      <c r="I196" s="101"/>
      <c r="J196" s="101">
        <f t="shared" si="70"/>
        <v>0</v>
      </c>
      <c r="K196" s="101"/>
      <c r="L196" s="101"/>
      <c r="M196" s="101"/>
      <c r="N196" s="101"/>
      <c r="O196" s="101"/>
      <c r="P196" s="101">
        <f t="shared" si="69"/>
        <v>0</v>
      </c>
      <c r="Q196" s="30"/>
      <c r="R196" s="32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  <c r="SQ196" s="30"/>
      <c r="SR196" s="30"/>
      <c r="SS196" s="30"/>
      <c r="ST196" s="30"/>
      <c r="SU196" s="30"/>
      <c r="SV196" s="30"/>
      <c r="SW196" s="30"/>
      <c r="SX196" s="30"/>
      <c r="SY196" s="30"/>
      <c r="SZ196" s="30"/>
      <c r="TA196" s="30"/>
      <c r="TB196" s="30"/>
      <c r="TC196" s="30"/>
      <c r="TD196" s="30"/>
      <c r="TE196" s="30"/>
      <c r="TF196" s="30"/>
      <c r="TG196" s="30"/>
    </row>
    <row r="197" spans="1:527" s="22" customFormat="1" ht="31.5" customHeight="1" x14ac:dyDescent="0.25">
      <c r="A197" s="59" t="s">
        <v>307</v>
      </c>
      <c r="B197" s="93" t="str">
        <f>'дод 8'!A138</f>
        <v>3241</v>
      </c>
      <c r="C197" s="93" t="str">
        <f>'дод 8'!B138</f>
        <v>1090</v>
      </c>
      <c r="D197" s="60" t="str">
        <f>'дод 8'!C138</f>
        <v>Забезпечення діяльності інших закладів у сфері соціального захисту і соціального забезпечення</v>
      </c>
      <c r="E197" s="99">
        <f t="shared" si="68"/>
        <v>6171670.0800000001</v>
      </c>
      <c r="F197" s="99">
        <f>6615708.56+38000+199000+75614-795852.48+39200</f>
        <v>6171670.0800000001</v>
      </c>
      <c r="G197" s="99">
        <f>4074650-476164.66</f>
        <v>3598485.34</v>
      </c>
      <c r="H197" s="99">
        <f>333300+75614-74659.4+39200</f>
        <v>373454.6</v>
      </c>
      <c r="I197" s="99"/>
      <c r="J197" s="99">
        <f t="shared" ref="J197:J201" si="73">L197+O197</f>
        <v>160800</v>
      </c>
      <c r="K197" s="99">
        <f>360000-199000-200</f>
        <v>160800</v>
      </c>
      <c r="L197" s="99"/>
      <c r="M197" s="99"/>
      <c r="N197" s="99"/>
      <c r="O197" s="99">
        <f>360000-199000-200</f>
        <v>160800</v>
      </c>
      <c r="P197" s="99">
        <f t="shared" si="69"/>
        <v>6332470.0800000001</v>
      </c>
      <c r="Q197" s="23"/>
      <c r="R197" s="32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</row>
    <row r="198" spans="1:527" s="22" customFormat="1" ht="33" customHeight="1" x14ac:dyDescent="0.25">
      <c r="A198" s="59" t="s">
        <v>355</v>
      </c>
      <c r="B198" s="93" t="str">
        <f>'дод 8'!A139</f>
        <v>3242</v>
      </c>
      <c r="C198" s="93" t="str">
        <f>'дод 8'!B139</f>
        <v>1090</v>
      </c>
      <c r="D198" s="60" t="s">
        <v>516</v>
      </c>
      <c r="E198" s="99">
        <f t="shared" si="68"/>
        <v>39515549.549999997</v>
      </c>
      <c r="F198" s="99">
        <f>34325670+76000+12000+250000+1652252.55+881000+791200+57000+20770+189500+106000+5000+5000+10000+25000+47000+1000+45000+69500+38800+125610-12000+90000+148000+100000+78747+27500+350000</f>
        <v>39515549.549999997</v>
      </c>
      <c r="G198" s="99"/>
      <c r="H198" s="99"/>
      <c r="I198" s="99"/>
      <c r="J198" s="99">
        <f t="shared" si="73"/>
        <v>57000</v>
      </c>
      <c r="K198" s="99">
        <f>45000+12000</f>
        <v>57000</v>
      </c>
      <c r="L198" s="99"/>
      <c r="M198" s="99"/>
      <c r="N198" s="99"/>
      <c r="O198" s="99">
        <f>45000+12000</f>
        <v>57000</v>
      </c>
      <c r="P198" s="99">
        <f t="shared" si="69"/>
        <v>39572549.549999997</v>
      </c>
      <c r="Q198" s="23"/>
      <c r="R198" s="32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</row>
    <row r="199" spans="1:527" s="24" customFormat="1" ht="15" customHeight="1" x14ac:dyDescent="0.25">
      <c r="A199" s="84"/>
      <c r="B199" s="111"/>
      <c r="C199" s="111"/>
      <c r="D199" s="85" t="s">
        <v>393</v>
      </c>
      <c r="E199" s="101">
        <f t="shared" si="68"/>
        <v>348000</v>
      </c>
      <c r="F199" s="101">
        <f>336000+12000</f>
        <v>348000</v>
      </c>
      <c r="G199" s="101"/>
      <c r="H199" s="101"/>
      <c r="I199" s="101"/>
      <c r="J199" s="101">
        <f t="shared" si="73"/>
        <v>0</v>
      </c>
      <c r="K199" s="101"/>
      <c r="L199" s="101"/>
      <c r="M199" s="101"/>
      <c r="N199" s="101"/>
      <c r="O199" s="101"/>
      <c r="P199" s="101">
        <f t="shared" si="69"/>
        <v>348000</v>
      </c>
      <c r="Q199" s="30"/>
      <c r="R199" s="32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</row>
    <row r="200" spans="1:527" s="22" customFormat="1" ht="18.75" x14ac:dyDescent="0.25">
      <c r="A200" s="59" t="s">
        <v>417</v>
      </c>
      <c r="B200" s="93">
        <v>7323</v>
      </c>
      <c r="C200" s="59" t="s">
        <v>111</v>
      </c>
      <c r="D200" s="134" t="s">
        <v>550</v>
      </c>
      <c r="E200" s="99">
        <f t="shared" si="68"/>
        <v>0</v>
      </c>
      <c r="F200" s="99"/>
      <c r="G200" s="99"/>
      <c r="H200" s="99"/>
      <c r="I200" s="99"/>
      <c r="J200" s="99">
        <f t="shared" si="73"/>
        <v>473213</v>
      </c>
      <c r="K200" s="99">
        <f>400000+73213</f>
        <v>473213</v>
      </c>
      <c r="L200" s="99"/>
      <c r="M200" s="99"/>
      <c r="N200" s="99"/>
      <c r="O200" s="99">
        <f>400000+73213</f>
        <v>473213</v>
      </c>
      <c r="P200" s="99">
        <f t="shared" si="69"/>
        <v>473213</v>
      </c>
      <c r="Q200" s="23"/>
      <c r="R200" s="32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</row>
    <row r="201" spans="1:527" s="22" customFormat="1" ht="22.5" customHeight="1" x14ac:dyDescent="0.25">
      <c r="A201" s="59" t="s">
        <v>265</v>
      </c>
      <c r="B201" s="93" t="str">
        <f>'дод 8'!A253</f>
        <v>9770</v>
      </c>
      <c r="C201" s="93" t="str">
        <f>'дод 8'!B253</f>
        <v>0180</v>
      </c>
      <c r="D201" s="60" t="str">
        <f>'дод 8'!C253</f>
        <v>Інші субвенції з місцевого бюджету</v>
      </c>
      <c r="E201" s="99">
        <f t="shared" si="68"/>
        <v>5230784</v>
      </c>
      <c r="F201" s="99">
        <f>2500000+1145344+1585440</f>
        <v>5230784</v>
      </c>
      <c r="G201" s="99"/>
      <c r="H201" s="99"/>
      <c r="I201" s="99"/>
      <c r="J201" s="99">
        <f t="shared" si="73"/>
        <v>0</v>
      </c>
      <c r="K201" s="99"/>
      <c r="L201" s="99"/>
      <c r="M201" s="99"/>
      <c r="N201" s="99"/>
      <c r="O201" s="99"/>
      <c r="P201" s="99">
        <f t="shared" si="69"/>
        <v>5230784</v>
      </c>
      <c r="Q201" s="23"/>
      <c r="R201" s="32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</row>
    <row r="202" spans="1:527" s="27" customFormat="1" ht="31.5" x14ac:dyDescent="0.25">
      <c r="A202" s="106" t="s">
        <v>188</v>
      </c>
      <c r="B202" s="39"/>
      <c r="C202" s="39"/>
      <c r="D202" s="107" t="s">
        <v>363</v>
      </c>
      <c r="E202" s="95">
        <f>E203</f>
        <v>5902461</v>
      </c>
      <c r="F202" s="95">
        <f t="shared" ref="F202:J202" si="74">F203</f>
        <v>5902461</v>
      </c>
      <c r="G202" s="95">
        <f t="shared" si="74"/>
        <v>4491300</v>
      </c>
      <c r="H202" s="95">
        <f t="shared" si="74"/>
        <v>68181</v>
      </c>
      <c r="I202" s="95">
        <f t="shared" si="74"/>
        <v>0</v>
      </c>
      <c r="J202" s="95">
        <f t="shared" si="74"/>
        <v>10322698</v>
      </c>
      <c r="K202" s="95">
        <f t="shared" ref="K202" si="75">K203</f>
        <v>10322698</v>
      </c>
      <c r="L202" s="95">
        <f t="shared" ref="L202" si="76">L203</f>
        <v>0</v>
      </c>
      <c r="M202" s="95">
        <f t="shared" ref="M202" si="77">M203</f>
        <v>0</v>
      </c>
      <c r="N202" s="95">
        <f t="shared" ref="N202" si="78">N203</f>
        <v>0</v>
      </c>
      <c r="O202" s="95">
        <f t="shared" ref="O202:P202" si="79">O203</f>
        <v>10322698</v>
      </c>
      <c r="P202" s="95">
        <f t="shared" si="79"/>
        <v>16225159</v>
      </c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  <c r="IT202" s="32"/>
      <c r="IU202" s="32"/>
      <c r="IV202" s="32"/>
      <c r="IW202" s="32"/>
      <c r="IX202" s="32"/>
      <c r="IY202" s="32"/>
      <c r="IZ202" s="32"/>
      <c r="JA202" s="32"/>
      <c r="JB202" s="32"/>
      <c r="JC202" s="32"/>
      <c r="JD202" s="32"/>
      <c r="JE202" s="32"/>
      <c r="JF202" s="32"/>
      <c r="JG202" s="32"/>
      <c r="JH202" s="32"/>
      <c r="JI202" s="32"/>
      <c r="JJ202" s="32"/>
      <c r="JK202" s="32"/>
      <c r="JL202" s="32"/>
      <c r="JM202" s="32"/>
      <c r="JN202" s="32"/>
      <c r="JO202" s="32"/>
      <c r="JP202" s="32"/>
      <c r="JQ202" s="32"/>
      <c r="JR202" s="32"/>
      <c r="JS202" s="32"/>
      <c r="JT202" s="32"/>
      <c r="JU202" s="32"/>
      <c r="JV202" s="32"/>
      <c r="JW202" s="32"/>
      <c r="JX202" s="32"/>
      <c r="JY202" s="32"/>
      <c r="JZ202" s="32"/>
      <c r="KA202" s="32"/>
      <c r="KB202" s="32"/>
      <c r="KC202" s="32"/>
      <c r="KD202" s="32"/>
      <c r="KE202" s="32"/>
      <c r="KF202" s="32"/>
      <c r="KG202" s="32"/>
      <c r="KH202" s="32"/>
      <c r="KI202" s="32"/>
      <c r="KJ202" s="32"/>
      <c r="KK202" s="32"/>
      <c r="KL202" s="32"/>
      <c r="KM202" s="32"/>
      <c r="KN202" s="32"/>
      <c r="KO202" s="32"/>
      <c r="KP202" s="32"/>
      <c r="KQ202" s="32"/>
      <c r="KR202" s="32"/>
      <c r="KS202" s="32"/>
      <c r="KT202" s="32"/>
      <c r="KU202" s="32"/>
      <c r="KV202" s="32"/>
      <c r="KW202" s="32"/>
      <c r="KX202" s="32"/>
      <c r="KY202" s="32"/>
      <c r="KZ202" s="32"/>
      <c r="LA202" s="32"/>
      <c r="LB202" s="32"/>
      <c r="LC202" s="32"/>
      <c r="LD202" s="32"/>
      <c r="LE202" s="32"/>
      <c r="LF202" s="32"/>
      <c r="LG202" s="32"/>
      <c r="LH202" s="32"/>
      <c r="LI202" s="32"/>
      <c r="LJ202" s="32"/>
      <c r="LK202" s="32"/>
      <c r="LL202" s="32"/>
      <c r="LM202" s="32"/>
      <c r="LN202" s="32"/>
      <c r="LO202" s="32"/>
      <c r="LP202" s="32"/>
      <c r="LQ202" s="32"/>
      <c r="LR202" s="32"/>
      <c r="LS202" s="32"/>
      <c r="LT202" s="32"/>
      <c r="LU202" s="32"/>
      <c r="LV202" s="32"/>
      <c r="LW202" s="32"/>
      <c r="LX202" s="32"/>
      <c r="LY202" s="32"/>
      <c r="LZ202" s="32"/>
      <c r="MA202" s="32"/>
      <c r="MB202" s="32"/>
      <c r="MC202" s="32"/>
      <c r="MD202" s="32"/>
      <c r="ME202" s="32"/>
      <c r="MF202" s="32"/>
      <c r="MG202" s="32"/>
      <c r="MH202" s="32"/>
      <c r="MI202" s="32"/>
      <c r="MJ202" s="32"/>
      <c r="MK202" s="32"/>
      <c r="ML202" s="32"/>
      <c r="MM202" s="32"/>
      <c r="MN202" s="32"/>
      <c r="MO202" s="32"/>
      <c r="MP202" s="32"/>
      <c r="MQ202" s="32"/>
      <c r="MR202" s="32"/>
      <c r="MS202" s="32"/>
      <c r="MT202" s="32"/>
      <c r="MU202" s="32"/>
      <c r="MV202" s="32"/>
      <c r="MW202" s="32"/>
      <c r="MX202" s="32"/>
      <c r="MY202" s="32"/>
      <c r="MZ202" s="32"/>
      <c r="NA202" s="32"/>
      <c r="NB202" s="32"/>
      <c r="NC202" s="32"/>
      <c r="ND202" s="32"/>
      <c r="NE202" s="32"/>
      <c r="NF202" s="32"/>
      <c r="NG202" s="32"/>
      <c r="NH202" s="32"/>
      <c r="NI202" s="32"/>
      <c r="NJ202" s="32"/>
      <c r="NK202" s="32"/>
      <c r="NL202" s="32"/>
      <c r="NM202" s="32"/>
      <c r="NN202" s="32"/>
      <c r="NO202" s="32"/>
      <c r="NP202" s="32"/>
      <c r="NQ202" s="32"/>
      <c r="NR202" s="32"/>
      <c r="NS202" s="32"/>
      <c r="NT202" s="32"/>
      <c r="NU202" s="32"/>
      <c r="NV202" s="32"/>
      <c r="NW202" s="32"/>
      <c r="NX202" s="32"/>
      <c r="NY202" s="32"/>
      <c r="NZ202" s="32"/>
      <c r="OA202" s="32"/>
      <c r="OB202" s="32"/>
      <c r="OC202" s="32"/>
      <c r="OD202" s="32"/>
      <c r="OE202" s="32"/>
      <c r="OF202" s="32"/>
      <c r="OG202" s="32"/>
      <c r="OH202" s="32"/>
      <c r="OI202" s="32"/>
      <c r="OJ202" s="32"/>
      <c r="OK202" s="32"/>
      <c r="OL202" s="32"/>
      <c r="OM202" s="32"/>
      <c r="ON202" s="32"/>
      <c r="OO202" s="32"/>
      <c r="OP202" s="32"/>
      <c r="OQ202" s="32"/>
      <c r="OR202" s="32"/>
      <c r="OS202" s="32"/>
      <c r="OT202" s="32"/>
      <c r="OU202" s="32"/>
      <c r="OV202" s="32"/>
      <c r="OW202" s="32"/>
      <c r="OX202" s="32"/>
      <c r="OY202" s="32"/>
      <c r="OZ202" s="32"/>
      <c r="PA202" s="32"/>
      <c r="PB202" s="32"/>
      <c r="PC202" s="32"/>
      <c r="PD202" s="32"/>
      <c r="PE202" s="32"/>
      <c r="PF202" s="32"/>
      <c r="PG202" s="32"/>
      <c r="PH202" s="32"/>
      <c r="PI202" s="32"/>
      <c r="PJ202" s="32"/>
      <c r="PK202" s="32"/>
      <c r="PL202" s="32"/>
      <c r="PM202" s="32"/>
      <c r="PN202" s="32"/>
      <c r="PO202" s="32"/>
      <c r="PP202" s="32"/>
      <c r="PQ202" s="32"/>
      <c r="PR202" s="32"/>
      <c r="PS202" s="32"/>
      <c r="PT202" s="32"/>
      <c r="PU202" s="32"/>
      <c r="PV202" s="32"/>
      <c r="PW202" s="32"/>
      <c r="PX202" s="32"/>
      <c r="PY202" s="32"/>
      <c r="PZ202" s="32"/>
      <c r="QA202" s="32"/>
      <c r="QB202" s="32"/>
      <c r="QC202" s="32"/>
      <c r="QD202" s="32"/>
      <c r="QE202" s="32"/>
      <c r="QF202" s="32"/>
      <c r="QG202" s="32"/>
      <c r="QH202" s="32"/>
      <c r="QI202" s="32"/>
      <c r="QJ202" s="32"/>
      <c r="QK202" s="32"/>
      <c r="QL202" s="32"/>
      <c r="QM202" s="32"/>
      <c r="QN202" s="32"/>
      <c r="QO202" s="32"/>
      <c r="QP202" s="32"/>
      <c r="QQ202" s="32"/>
      <c r="QR202" s="32"/>
      <c r="QS202" s="32"/>
      <c r="QT202" s="32"/>
      <c r="QU202" s="32"/>
      <c r="QV202" s="32"/>
      <c r="QW202" s="32"/>
      <c r="QX202" s="32"/>
      <c r="QY202" s="32"/>
      <c r="QZ202" s="32"/>
      <c r="RA202" s="32"/>
      <c r="RB202" s="32"/>
      <c r="RC202" s="32"/>
      <c r="RD202" s="32"/>
      <c r="RE202" s="32"/>
      <c r="RF202" s="32"/>
      <c r="RG202" s="32"/>
      <c r="RH202" s="32"/>
      <c r="RI202" s="32"/>
      <c r="RJ202" s="32"/>
      <c r="RK202" s="32"/>
      <c r="RL202" s="32"/>
      <c r="RM202" s="32"/>
      <c r="RN202" s="32"/>
      <c r="RO202" s="32"/>
      <c r="RP202" s="32"/>
      <c r="RQ202" s="32"/>
      <c r="RR202" s="32"/>
      <c r="RS202" s="32"/>
      <c r="RT202" s="32"/>
      <c r="RU202" s="32"/>
      <c r="RV202" s="32"/>
      <c r="RW202" s="32"/>
      <c r="RX202" s="32"/>
      <c r="RY202" s="32"/>
      <c r="RZ202" s="32"/>
      <c r="SA202" s="32"/>
      <c r="SB202" s="32"/>
      <c r="SC202" s="32"/>
      <c r="SD202" s="32"/>
      <c r="SE202" s="32"/>
      <c r="SF202" s="32"/>
      <c r="SG202" s="32"/>
      <c r="SH202" s="32"/>
      <c r="SI202" s="32"/>
      <c r="SJ202" s="32"/>
      <c r="SK202" s="32"/>
      <c r="SL202" s="32"/>
      <c r="SM202" s="32"/>
      <c r="SN202" s="32"/>
      <c r="SO202" s="32"/>
      <c r="SP202" s="32"/>
      <c r="SQ202" s="32"/>
      <c r="SR202" s="32"/>
      <c r="SS202" s="32"/>
      <c r="ST202" s="32"/>
      <c r="SU202" s="32"/>
      <c r="SV202" s="32"/>
      <c r="SW202" s="32"/>
      <c r="SX202" s="32"/>
      <c r="SY202" s="32"/>
      <c r="SZ202" s="32"/>
      <c r="TA202" s="32"/>
      <c r="TB202" s="32"/>
      <c r="TC202" s="32"/>
      <c r="TD202" s="32"/>
      <c r="TE202" s="32"/>
      <c r="TF202" s="32"/>
      <c r="TG202" s="32"/>
    </row>
    <row r="203" spans="1:527" s="34" customFormat="1" ht="31.5" x14ac:dyDescent="0.25">
      <c r="A203" s="108" t="s">
        <v>189</v>
      </c>
      <c r="B203" s="74"/>
      <c r="C203" s="74"/>
      <c r="D203" s="77" t="s">
        <v>363</v>
      </c>
      <c r="E203" s="98">
        <f>E205+E206+E207+E208</f>
        <v>5902461</v>
      </c>
      <c r="F203" s="98">
        <f t="shared" ref="F203:P203" si="80">F205+F206+F207+F208</f>
        <v>5902461</v>
      </c>
      <c r="G203" s="98">
        <f t="shared" si="80"/>
        <v>4491300</v>
      </c>
      <c r="H203" s="98">
        <f t="shared" si="80"/>
        <v>68181</v>
      </c>
      <c r="I203" s="98">
        <f t="shared" si="80"/>
        <v>0</v>
      </c>
      <c r="J203" s="98">
        <f t="shared" si="80"/>
        <v>10322698</v>
      </c>
      <c r="K203" s="98">
        <f>K205+K206+K207+K208</f>
        <v>10322698</v>
      </c>
      <c r="L203" s="98">
        <f t="shared" si="80"/>
        <v>0</v>
      </c>
      <c r="M203" s="98">
        <f t="shared" si="80"/>
        <v>0</v>
      </c>
      <c r="N203" s="98">
        <f t="shared" si="80"/>
        <v>0</v>
      </c>
      <c r="O203" s="98">
        <f t="shared" si="80"/>
        <v>10322698</v>
      </c>
      <c r="P203" s="98">
        <f t="shared" si="80"/>
        <v>16225159</v>
      </c>
      <c r="Q203" s="33"/>
      <c r="R203" s="32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  <c r="IW203" s="33"/>
      <c r="IX203" s="33"/>
      <c r="IY203" s="33"/>
      <c r="IZ203" s="33"/>
      <c r="JA203" s="33"/>
      <c r="JB203" s="33"/>
      <c r="JC203" s="33"/>
      <c r="JD203" s="33"/>
      <c r="JE203" s="33"/>
      <c r="JF203" s="33"/>
      <c r="JG203" s="33"/>
      <c r="JH203" s="33"/>
      <c r="JI203" s="33"/>
      <c r="JJ203" s="33"/>
      <c r="JK203" s="33"/>
      <c r="JL203" s="33"/>
      <c r="JM203" s="33"/>
      <c r="JN203" s="33"/>
      <c r="JO203" s="33"/>
      <c r="JP203" s="33"/>
      <c r="JQ203" s="33"/>
      <c r="JR203" s="33"/>
      <c r="JS203" s="33"/>
      <c r="JT203" s="33"/>
      <c r="JU203" s="33"/>
      <c r="JV203" s="33"/>
      <c r="JW203" s="33"/>
      <c r="JX203" s="33"/>
      <c r="JY203" s="33"/>
      <c r="JZ203" s="33"/>
      <c r="KA203" s="33"/>
      <c r="KB203" s="33"/>
      <c r="KC203" s="33"/>
      <c r="KD203" s="33"/>
      <c r="KE203" s="33"/>
      <c r="KF203" s="33"/>
      <c r="KG203" s="33"/>
      <c r="KH203" s="33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3"/>
      <c r="LC203" s="33"/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3"/>
      <c r="LO203" s="33"/>
      <c r="LP203" s="33"/>
      <c r="LQ203" s="33"/>
      <c r="LR203" s="33"/>
      <c r="LS203" s="33"/>
      <c r="LT203" s="33"/>
      <c r="LU203" s="33"/>
      <c r="LV203" s="33"/>
      <c r="LW203" s="33"/>
      <c r="LX203" s="33"/>
      <c r="LY203" s="33"/>
      <c r="LZ203" s="33"/>
      <c r="MA203" s="33"/>
      <c r="MB203" s="33"/>
      <c r="MC203" s="33"/>
      <c r="MD203" s="33"/>
      <c r="ME203" s="33"/>
      <c r="MF203" s="33"/>
      <c r="MG203" s="33"/>
      <c r="MH203" s="33"/>
      <c r="MI203" s="33"/>
      <c r="MJ203" s="33"/>
      <c r="MK203" s="33"/>
      <c r="ML203" s="33"/>
      <c r="MM203" s="33"/>
      <c r="MN203" s="33"/>
      <c r="MO203" s="33"/>
      <c r="MP203" s="33"/>
      <c r="MQ203" s="33"/>
      <c r="MR203" s="33"/>
      <c r="MS203" s="33"/>
      <c r="MT203" s="33"/>
      <c r="MU203" s="33"/>
      <c r="MV203" s="33"/>
      <c r="MW203" s="33"/>
      <c r="MX203" s="33"/>
      <c r="MY203" s="33"/>
      <c r="MZ203" s="33"/>
      <c r="NA203" s="33"/>
      <c r="NB203" s="33"/>
      <c r="NC203" s="33"/>
      <c r="ND203" s="33"/>
      <c r="NE203" s="33"/>
      <c r="NF203" s="33"/>
      <c r="NG203" s="33"/>
      <c r="NH203" s="33"/>
      <c r="NI203" s="33"/>
      <c r="NJ203" s="33"/>
      <c r="NK203" s="33"/>
      <c r="NL203" s="33"/>
      <c r="NM203" s="33"/>
      <c r="NN203" s="33"/>
      <c r="NO203" s="33"/>
      <c r="NP203" s="33"/>
      <c r="NQ203" s="33"/>
      <c r="NR203" s="33"/>
      <c r="NS203" s="33"/>
      <c r="NT203" s="33"/>
      <c r="NU203" s="33"/>
      <c r="NV203" s="33"/>
      <c r="NW203" s="33"/>
      <c r="NX203" s="33"/>
      <c r="NY203" s="33"/>
      <c r="NZ203" s="33"/>
      <c r="OA203" s="33"/>
      <c r="OB203" s="33"/>
      <c r="OC203" s="33"/>
      <c r="OD203" s="33"/>
      <c r="OE203" s="33"/>
      <c r="OF203" s="33"/>
      <c r="OG203" s="33"/>
      <c r="OH203" s="33"/>
      <c r="OI203" s="33"/>
      <c r="OJ203" s="33"/>
      <c r="OK203" s="33"/>
      <c r="OL203" s="33"/>
      <c r="OM203" s="33"/>
      <c r="ON203" s="33"/>
      <c r="OO203" s="33"/>
      <c r="OP203" s="33"/>
      <c r="OQ203" s="33"/>
      <c r="OR203" s="33"/>
      <c r="OS203" s="33"/>
      <c r="OT203" s="33"/>
      <c r="OU203" s="33"/>
      <c r="OV203" s="33"/>
      <c r="OW203" s="33"/>
      <c r="OX203" s="33"/>
      <c r="OY203" s="33"/>
      <c r="OZ203" s="33"/>
      <c r="PA203" s="33"/>
      <c r="PB203" s="33"/>
      <c r="PC203" s="33"/>
      <c r="PD203" s="33"/>
      <c r="PE203" s="33"/>
      <c r="PF203" s="33"/>
      <c r="PG203" s="33"/>
      <c r="PH203" s="33"/>
      <c r="PI203" s="33"/>
      <c r="PJ203" s="33"/>
      <c r="PK203" s="33"/>
      <c r="PL203" s="33"/>
      <c r="PM203" s="33"/>
      <c r="PN203" s="33"/>
      <c r="PO203" s="33"/>
      <c r="PP203" s="33"/>
      <c r="PQ203" s="33"/>
      <c r="PR203" s="33"/>
      <c r="PS203" s="33"/>
      <c r="PT203" s="33"/>
      <c r="PU203" s="33"/>
      <c r="PV203" s="33"/>
      <c r="PW203" s="33"/>
      <c r="PX203" s="33"/>
      <c r="PY203" s="33"/>
      <c r="PZ203" s="33"/>
      <c r="QA203" s="33"/>
      <c r="QB203" s="33"/>
      <c r="QC203" s="33"/>
      <c r="QD203" s="33"/>
      <c r="QE203" s="33"/>
      <c r="QF203" s="33"/>
      <c r="QG203" s="33"/>
      <c r="QH203" s="33"/>
      <c r="QI203" s="33"/>
      <c r="QJ203" s="33"/>
      <c r="QK203" s="33"/>
      <c r="QL203" s="33"/>
      <c r="QM203" s="33"/>
      <c r="QN203" s="33"/>
      <c r="QO203" s="33"/>
      <c r="QP203" s="33"/>
      <c r="QQ203" s="33"/>
      <c r="QR203" s="33"/>
      <c r="QS203" s="33"/>
      <c r="QT203" s="33"/>
      <c r="QU203" s="33"/>
      <c r="QV203" s="33"/>
      <c r="QW203" s="33"/>
      <c r="QX203" s="33"/>
      <c r="QY203" s="33"/>
      <c r="QZ203" s="33"/>
      <c r="RA203" s="33"/>
      <c r="RB203" s="33"/>
      <c r="RC203" s="33"/>
      <c r="RD203" s="33"/>
      <c r="RE203" s="33"/>
      <c r="RF203" s="33"/>
      <c r="RG203" s="33"/>
      <c r="RH203" s="33"/>
      <c r="RI203" s="33"/>
      <c r="RJ203" s="33"/>
      <c r="RK203" s="33"/>
      <c r="RL203" s="33"/>
      <c r="RM203" s="33"/>
      <c r="RN203" s="33"/>
      <c r="RO203" s="33"/>
      <c r="RP203" s="33"/>
      <c r="RQ203" s="33"/>
      <c r="RR203" s="33"/>
      <c r="RS203" s="33"/>
      <c r="RT203" s="33"/>
      <c r="RU203" s="33"/>
      <c r="RV203" s="33"/>
      <c r="RW203" s="33"/>
      <c r="RX203" s="33"/>
      <c r="RY203" s="33"/>
      <c r="RZ203" s="33"/>
      <c r="SA203" s="33"/>
      <c r="SB203" s="33"/>
      <c r="SC203" s="33"/>
      <c r="SD203" s="33"/>
      <c r="SE203" s="33"/>
      <c r="SF203" s="33"/>
      <c r="SG203" s="33"/>
      <c r="SH203" s="33"/>
      <c r="SI203" s="33"/>
      <c r="SJ203" s="33"/>
      <c r="SK203" s="33"/>
      <c r="SL203" s="33"/>
      <c r="SM203" s="33"/>
      <c r="SN203" s="33"/>
      <c r="SO203" s="33"/>
      <c r="SP203" s="33"/>
      <c r="SQ203" s="33"/>
      <c r="SR203" s="33"/>
      <c r="SS203" s="33"/>
      <c r="ST203" s="33"/>
      <c r="SU203" s="33"/>
      <c r="SV203" s="33"/>
      <c r="SW203" s="33"/>
      <c r="SX203" s="33"/>
      <c r="SY203" s="33"/>
      <c r="SZ203" s="33"/>
      <c r="TA203" s="33"/>
      <c r="TB203" s="33"/>
      <c r="TC203" s="33"/>
      <c r="TD203" s="33"/>
      <c r="TE203" s="33"/>
      <c r="TF203" s="33"/>
      <c r="TG203" s="33"/>
    </row>
    <row r="204" spans="1:527" s="34" customFormat="1" ht="126" x14ac:dyDescent="0.25">
      <c r="A204" s="108"/>
      <c r="B204" s="74"/>
      <c r="C204" s="74"/>
      <c r="D204" s="77" t="s">
        <v>445</v>
      </c>
      <c r="E204" s="98">
        <f>E209</f>
        <v>0</v>
      </c>
      <c r="F204" s="98">
        <f t="shared" ref="F204:P204" si="81">F209</f>
        <v>0</v>
      </c>
      <c r="G204" s="98">
        <f t="shared" si="81"/>
        <v>0</v>
      </c>
      <c r="H204" s="98">
        <f t="shared" si="81"/>
        <v>0</v>
      </c>
      <c r="I204" s="98">
        <f t="shared" si="81"/>
        <v>0</v>
      </c>
      <c r="J204" s="98">
        <f t="shared" si="81"/>
        <v>8984154</v>
      </c>
      <c r="K204" s="98">
        <f t="shared" si="81"/>
        <v>8984154</v>
      </c>
      <c r="L204" s="98">
        <f t="shared" si="81"/>
        <v>0</v>
      </c>
      <c r="M204" s="98">
        <f t="shared" si="81"/>
        <v>0</v>
      </c>
      <c r="N204" s="98">
        <f t="shared" si="81"/>
        <v>0</v>
      </c>
      <c r="O204" s="98">
        <f t="shared" si="81"/>
        <v>8984154</v>
      </c>
      <c r="P204" s="98">
        <f t="shared" si="81"/>
        <v>8984154</v>
      </c>
      <c r="Q204" s="33"/>
      <c r="R204" s="32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  <c r="IW204" s="33"/>
      <c r="IX204" s="33"/>
      <c r="IY204" s="33"/>
      <c r="IZ204" s="33"/>
      <c r="JA204" s="33"/>
      <c r="JB204" s="33"/>
      <c r="JC204" s="33"/>
      <c r="JD204" s="33"/>
      <c r="JE204" s="33"/>
      <c r="JF204" s="33"/>
      <c r="JG204" s="33"/>
      <c r="JH204" s="33"/>
      <c r="JI204" s="33"/>
      <c r="JJ204" s="33"/>
      <c r="JK204" s="33"/>
      <c r="JL204" s="33"/>
      <c r="JM204" s="33"/>
      <c r="JN204" s="33"/>
      <c r="JO204" s="33"/>
      <c r="JP204" s="33"/>
      <c r="JQ204" s="33"/>
      <c r="JR204" s="33"/>
      <c r="JS204" s="33"/>
      <c r="JT204" s="33"/>
      <c r="JU204" s="33"/>
      <c r="JV204" s="33"/>
      <c r="JW204" s="33"/>
      <c r="JX204" s="33"/>
      <c r="JY204" s="33"/>
      <c r="JZ204" s="33"/>
      <c r="KA204" s="33"/>
      <c r="KB204" s="33"/>
      <c r="KC204" s="33"/>
      <c r="KD204" s="33"/>
      <c r="KE204" s="33"/>
      <c r="KF204" s="33"/>
      <c r="KG204" s="33"/>
      <c r="KH204" s="33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3"/>
      <c r="LC204" s="33"/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3"/>
      <c r="LO204" s="33"/>
      <c r="LP204" s="33"/>
      <c r="LQ204" s="33"/>
      <c r="LR204" s="33"/>
      <c r="LS204" s="33"/>
      <c r="LT204" s="33"/>
      <c r="LU204" s="33"/>
      <c r="LV204" s="33"/>
      <c r="LW204" s="33"/>
      <c r="LX204" s="33"/>
      <c r="LY204" s="33"/>
      <c r="LZ204" s="33"/>
      <c r="MA204" s="33"/>
      <c r="MB204" s="33"/>
      <c r="MC204" s="33"/>
      <c r="MD204" s="33"/>
      <c r="ME204" s="33"/>
      <c r="MF204" s="33"/>
      <c r="MG204" s="33"/>
      <c r="MH204" s="33"/>
      <c r="MI204" s="33"/>
      <c r="MJ204" s="33"/>
      <c r="MK204" s="33"/>
      <c r="ML204" s="33"/>
      <c r="MM204" s="33"/>
      <c r="MN204" s="33"/>
      <c r="MO204" s="33"/>
      <c r="MP204" s="33"/>
      <c r="MQ204" s="33"/>
      <c r="MR204" s="33"/>
      <c r="MS204" s="33"/>
      <c r="MT204" s="33"/>
      <c r="MU204" s="33"/>
      <c r="MV204" s="33"/>
      <c r="MW204" s="33"/>
      <c r="MX204" s="33"/>
      <c r="MY204" s="33"/>
      <c r="MZ204" s="33"/>
      <c r="NA204" s="33"/>
      <c r="NB204" s="33"/>
      <c r="NC204" s="33"/>
      <c r="ND204" s="33"/>
      <c r="NE204" s="33"/>
      <c r="NF204" s="33"/>
      <c r="NG204" s="33"/>
      <c r="NH204" s="33"/>
      <c r="NI204" s="33"/>
      <c r="NJ204" s="33"/>
      <c r="NK204" s="33"/>
      <c r="NL204" s="33"/>
      <c r="NM204" s="33"/>
      <c r="NN204" s="33"/>
      <c r="NO204" s="33"/>
      <c r="NP204" s="33"/>
      <c r="NQ204" s="33"/>
      <c r="NR204" s="33"/>
      <c r="NS204" s="33"/>
      <c r="NT204" s="33"/>
      <c r="NU204" s="33"/>
      <c r="NV204" s="33"/>
      <c r="NW204" s="33"/>
      <c r="NX204" s="33"/>
      <c r="NY204" s="33"/>
      <c r="NZ204" s="33"/>
      <c r="OA204" s="33"/>
      <c r="OB204" s="33"/>
      <c r="OC204" s="33"/>
      <c r="OD204" s="33"/>
      <c r="OE204" s="33"/>
      <c r="OF204" s="33"/>
      <c r="OG204" s="33"/>
      <c r="OH204" s="33"/>
      <c r="OI204" s="33"/>
      <c r="OJ204" s="33"/>
      <c r="OK204" s="33"/>
      <c r="OL204" s="33"/>
      <c r="OM204" s="33"/>
      <c r="ON204" s="33"/>
      <c r="OO204" s="33"/>
      <c r="OP204" s="33"/>
      <c r="OQ204" s="33"/>
      <c r="OR204" s="33"/>
      <c r="OS204" s="33"/>
      <c r="OT204" s="33"/>
      <c r="OU204" s="33"/>
      <c r="OV204" s="33"/>
      <c r="OW204" s="33"/>
      <c r="OX204" s="33"/>
      <c r="OY204" s="33"/>
      <c r="OZ204" s="33"/>
      <c r="PA204" s="33"/>
      <c r="PB204" s="33"/>
      <c r="PC204" s="33"/>
      <c r="PD204" s="33"/>
      <c r="PE204" s="33"/>
      <c r="PF204" s="33"/>
      <c r="PG204" s="33"/>
      <c r="PH204" s="33"/>
      <c r="PI204" s="33"/>
      <c r="PJ204" s="33"/>
      <c r="PK204" s="33"/>
      <c r="PL204" s="33"/>
      <c r="PM204" s="33"/>
      <c r="PN204" s="33"/>
      <c r="PO204" s="33"/>
      <c r="PP204" s="33"/>
      <c r="PQ204" s="33"/>
      <c r="PR204" s="33"/>
      <c r="PS204" s="33"/>
      <c r="PT204" s="33"/>
      <c r="PU204" s="33"/>
      <c r="PV204" s="33"/>
      <c r="PW204" s="33"/>
      <c r="PX204" s="33"/>
      <c r="PY204" s="33"/>
      <c r="PZ204" s="33"/>
      <c r="QA204" s="33"/>
      <c r="QB204" s="33"/>
      <c r="QC204" s="33"/>
      <c r="QD204" s="33"/>
      <c r="QE204" s="33"/>
      <c r="QF204" s="33"/>
      <c r="QG204" s="33"/>
      <c r="QH204" s="33"/>
      <c r="QI204" s="33"/>
      <c r="QJ204" s="33"/>
      <c r="QK204" s="33"/>
      <c r="QL204" s="33"/>
      <c r="QM204" s="33"/>
      <c r="QN204" s="33"/>
      <c r="QO204" s="33"/>
      <c r="QP204" s="33"/>
      <c r="QQ204" s="33"/>
      <c r="QR204" s="33"/>
      <c r="QS204" s="33"/>
      <c r="QT204" s="33"/>
      <c r="QU204" s="33"/>
      <c r="QV204" s="33"/>
      <c r="QW204" s="33"/>
      <c r="QX204" s="33"/>
      <c r="QY204" s="33"/>
      <c r="QZ204" s="33"/>
      <c r="RA204" s="33"/>
      <c r="RB204" s="33"/>
      <c r="RC204" s="33"/>
      <c r="RD204" s="33"/>
      <c r="RE204" s="33"/>
      <c r="RF204" s="33"/>
      <c r="RG204" s="33"/>
      <c r="RH204" s="33"/>
      <c r="RI204" s="33"/>
      <c r="RJ204" s="33"/>
      <c r="RK204" s="33"/>
      <c r="RL204" s="33"/>
      <c r="RM204" s="33"/>
      <c r="RN204" s="33"/>
      <c r="RO204" s="33"/>
      <c r="RP204" s="33"/>
      <c r="RQ204" s="33"/>
      <c r="RR204" s="33"/>
      <c r="RS204" s="33"/>
      <c r="RT204" s="33"/>
      <c r="RU204" s="33"/>
      <c r="RV204" s="33"/>
      <c r="RW204" s="33"/>
      <c r="RX204" s="33"/>
      <c r="RY204" s="33"/>
      <c r="RZ204" s="33"/>
      <c r="SA204" s="33"/>
      <c r="SB204" s="33"/>
      <c r="SC204" s="33"/>
      <c r="SD204" s="33"/>
      <c r="SE204" s="33"/>
      <c r="SF204" s="33"/>
      <c r="SG204" s="33"/>
      <c r="SH204" s="33"/>
      <c r="SI204" s="33"/>
      <c r="SJ204" s="33"/>
      <c r="SK204" s="33"/>
      <c r="SL204" s="33"/>
      <c r="SM204" s="33"/>
      <c r="SN204" s="33"/>
      <c r="SO204" s="33"/>
      <c r="SP204" s="33"/>
      <c r="SQ204" s="33"/>
      <c r="SR204" s="33"/>
      <c r="SS204" s="33"/>
      <c r="ST204" s="33"/>
      <c r="SU204" s="33"/>
      <c r="SV204" s="33"/>
      <c r="SW204" s="33"/>
      <c r="SX204" s="33"/>
      <c r="SY204" s="33"/>
      <c r="SZ204" s="33"/>
      <c r="TA204" s="33"/>
      <c r="TB204" s="33"/>
      <c r="TC204" s="33"/>
      <c r="TD204" s="33"/>
      <c r="TE204" s="33"/>
      <c r="TF204" s="33"/>
      <c r="TG204" s="33"/>
    </row>
    <row r="205" spans="1:527" s="22" customFormat="1" ht="47.25" x14ac:dyDescent="0.25">
      <c r="A205" s="59" t="s">
        <v>190</v>
      </c>
      <c r="B205" s="93" t="str">
        <f>'дод 8'!A19</f>
        <v>0160</v>
      </c>
      <c r="C205" s="93" t="str">
        <f>'дод 8'!B19</f>
        <v>0111</v>
      </c>
      <c r="D205" s="36" t="s">
        <v>494</v>
      </c>
      <c r="E205" s="99">
        <f>F205+I205</f>
        <v>5718281</v>
      </c>
      <c r="F205" s="99">
        <f>5689700+12000+4281+12300</f>
        <v>5718281</v>
      </c>
      <c r="G205" s="99">
        <v>4491300</v>
      </c>
      <c r="H205" s="99">
        <f>51600+4281+12300</f>
        <v>68181</v>
      </c>
      <c r="I205" s="99"/>
      <c r="J205" s="99">
        <f>L205+O205</f>
        <v>0</v>
      </c>
      <c r="K205" s="99">
        <f>12000-12000</f>
        <v>0</v>
      </c>
      <c r="L205" s="99"/>
      <c r="M205" s="99"/>
      <c r="N205" s="99"/>
      <c r="O205" s="99">
        <f>12000-12000</f>
        <v>0</v>
      </c>
      <c r="P205" s="99">
        <f>E205+J205</f>
        <v>5718281</v>
      </c>
      <c r="Q205" s="23"/>
      <c r="R205" s="32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  <c r="TF205" s="23"/>
      <c r="TG205" s="23"/>
    </row>
    <row r="206" spans="1:527" s="22" customFormat="1" ht="63" x14ac:dyDescent="0.25">
      <c r="A206" s="59" t="s">
        <v>334</v>
      </c>
      <c r="B206" s="93">
        <v>3111</v>
      </c>
      <c r="C206" s="93">
        <v>1040</v>
      </c>
      <c r="D206" s="36" t="str">
        <f>'дод 8'!C117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06" s="99">
        <f>F206+I206</f>
        <v>91140</v>
      </c>
      <c r="F206" s="99">
        <f>50000+21140+20000</f>
        <v>91140</v>
      </c>
      <c r="G206" s="99"/>
      <c r="H206" s="99"/>
      <c r="I206" s="99"/>
      <c r="J206" s="99">
        <f t="shared" ref="J206:J209" si="82">L206+O206</f>
        <v>0</v>
      </c>
      <c r="K206" s="99">
        <f>21140-21140</f>
        <v>0</v>
      </c>
      <c r="L206" s="99"/>
      <c r="M206" s="99"/>
      <c r="N206" s="99"/>
      <c r="O206" s="99">
        <f>21140-21140</f>
        <v>0</v>
      </c>
      <c r="P206" s="99">
        <f>E206+J206</f>
        <v>91140</v>
      </c>
      <c r="Q206" s="23"/>
      <c r="R206" s="32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</row>
    <row r="207" spans="1:527" s="22" customFormat="1" ht="31.5" customHeight="1" x14ac:dyDescent="0.25">
      <c r="A207" s="59" t="s">
        <v>191</v>
      </c>
      <c r="B207" s="93" t="str">
        <f>'дод 8'!A118</f>
        <v>3112</v>
      </c>
      <c r="C207" s="93" t="str">
        <f>'дод 8'!B118</f>
        <v>1040</v>
      </c>
      <c r="D207" s="60" t="str">
        <f>'дод 8'!C118</f>
        <v>Заходи державної політики з питань дітей та їх соціального захисту</v>
      </c>
      <c r="E207" s="99">
        <f>F207+I207</f>
        <v>93040</v>
      </c>
      <c r="F207" s="99">
        <f>96240-3200</f>
        <v>93040</v>
      </c>
      <c r="G207" s="99"/>
      <c r="H207" s="99"/>
      <c r="I207" s="99"/>
      <c r="J207" s="99">
        <f t="shared" si="82"/>
        <v>0</v>
      </c>
      <c r="K207" s="99"/>
      <c r="L207" s="99"/>
      <c r="M207" s="99"/>
      <c r="N207" s="99"/>
      <c r="O207" s="99"/>
      <c r="P207" s="99">
        <f>E207+J207</f>
        <v>93040</v>
      </c>
      <c r="Q207" s="23"/>
      <c r="R207" s="32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</row>
    <row r="208" spans="1:527" s="22" customFormat="1" ht="94.5" x14ac:dyDescent="0.25">
      <c r="A208" s="59" t="s">
        <v>437</v>
      </c>
      <c r="B208" s="93">
        <v>6083</v>
      </c>
      <c r="C208" s="59" t="s">
        <v>68</v>
      </c>
      <c r="D208" s="11" t="s">
        <v>438</v>
      </c>
      <c r="E208" s="99">
        <f>F208+I208</f>
        <v>0</v>
      </c>
      <c r="F208" s="99"/>
      <c r="G208" s="99"/>
      <c r="H208" s="99"/>
      <c r="I208" s="99"/>
      <c r="J208" s="99">
        <f t="shared" si="82"/>
        <v>10322698</v>
      </c>
      <c r="K208" s="99">
        <f>30000+3200+11386782-2402628+1305344</f>
        <v>10322698</v>
      </c>
      <c r="L208" s="99"/>
      <c r="M208" s="99"/>
      <c r="N208" s="99"/>
      <c r="O208" s="99">
        <f>30000+3200+11386782-2402628+1305344</f>
        <v>10322698</v>
      </c>
      <c r="P208" s="99">
        <f>E208+J208</f>
        <v>10322698</v>
      </c>
      <c r="Q208" s="23"/>
      <c r="R208" s="32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</row>
    <row r="209" spans="1:527" s="24" customFormat="1" ht="126" x14ac:dyDescent="0.25">
      <c r="A209" s="84"/>
      <c r="B209" s="111"/>
      <c r="C209" s="84"/>
      <c r="D209" s="90" t="s">
        <v>445</v>
      </c>
      <c r="E209" s="99">
        <f>F209+I209</f>
        <v>0</v>
      </c>
      <c r="F209" s="101"/>
      <c r="G209" s="101"/>
      <c r="H209" s="101"/>
      <c r="I209" s="101"/>
      <c r="J209" s="99">
        <f t="shared" si="82"/>
        <v>8984154</v>
      </c>
      <c r="K209" s="101">
        <f>11386782-2402628</f>
        <v>8984154</v>
      </c>
      <c r="L209" s="101"/>
      <c r="M209" s="101"/>
      <c r="N209" s="101"/>
      <c r="O209" s="101">
        <f>11386782-2402628</f>
        <v>8984154</v>
      </c>
      <c r="P209" s="99">
        <f>E209+J209</f>
        <v>8984154</v>
      </c>
      <c r="Q209" s="30"/>
      <c r="R209" s="32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  <c r="LU209" s="30"/>
      <c r="LV209" s="30"/>
      <c r="LW209" s="30"/>
      <c r="LX209" s="30"/>
      <c r="LY209" s="30"/>
      <c r="LZ209" s="30"/>
      <c r="MA209" s="30"/>
      <c r="MB209" s="30"/>
      <c r="MC209" s="30"/>
      <c r="MD209" s="30"/>
      <c r="ME209" s="30"/>
      <c r="MF209" s="30"/>
      <c r="MG209" s="30"/>
      <c r="MH209" s="30"/>
      <c r="MI209" s="30"/>
      <c r="MJ209" s="30"/>
      <c r="MK209" s="30"/>
      <c r="ML209" s="30"/>
      <c r="MM209" s="30"/>
      <c r="MN209" s="30"/>
      <c r="MO209" s="30"/>
      <c r="MP209" s="30"/>
      <c r="MQ209" s="30"/>
      <c r="MR209" s="30"/>
      <c r="MS209" s="30"/>
      <c r="MT209" s="30"/>
      <c r="MU209" s="30"/>
      <c r="MV209" s="30"/>
      <c r="MW209" s="30"/>
      <c r="MX209" s="30"/>
      <c r="MY209" s="30"/>
      <c r="MZ209" s="30"/>
      <c r="NA209" s="30"/>
      <c r="NB209" s="30"/>
      <c r="NC209" s="30"/>
      <c r="ND209" s="30"/>
      <c r="NE209" s="30"/>
      <c r="NF209" s="30"/>
      <c r="NG209" s="30"/>
      <c r="NH209" s="30"/>
      <c r="NI209" s="30"/>
      <c r="NJ209" s="30"/>
      <c r="NK209" s="30"/>
      <c r="NL209" s="30"/>
      <c r="NM209" s="30"/>
      <c r="NN209" s="30"/>
      <c r="NO209" s="30"/>
      <c r="NP209" s="30"/>
      <c r="NQ209" s="30"/>
      <c r="NR209" s="30"/>
      <c r="NS209" s="30"/>
      <c r="NT209" s="30"/>
      <c r="NU209" s="30"/>
      <c r="NV209" s="30"/>
      <c r="NW209" s="30"/>
      <c r="NX209" s="30"/>
      <c r="NY209" s="30"/>
      <c r="NZ209" s="30"/>
      <c r="OA209" s="30"/>
      <c r="OB209" s="30"/>
      <c r="OC209" s="30"/>
      <c r="OD209" s="30"/>
      <c r="OE209" s="30"/>
      <c r="OF209" s="30"/>
      <c r="OG209" s="30"/>
      <c r="OH209" s="30"/>
      <c r="OI209" s="30"/>
      <c r="OJ209" s="30"/>
      <c r="OK209" s="30"/>
      <c r="OL209" s="30"/>
      <c r="OM209" s="30"/>
      <c r="ON209" s="30"/>
      <c r="OO209" s="30"/>
      <c r="OP209" s="30"/>
      <c r="OQ209" s="30"/>
      <c r="OR209" s="30"/>
      <c r="OS209" s="30"/>
      <c r="OT209" s="30"/>
      <c r="OU209" s="30"/>
      <c r="OV209" s="30"/>
      <c r="OW209" s="30"/>
      <c r="OX209" s="30"/>
      <c r="OY209" s="30"/>
      <c r="OZ209" s="30"/>
      <c r="PA209" s="30"/>
      <c r="PB209" s="30"/>
      <c r="PC209" s="30"/>
      <c r="PD209" s="30"/>
      <c r="PE209" s="30"/>
      <c r="PF209" s="30"/>
      <c r="PG209" s="30"/>
      <c r="PH209" s="30"/>
      <c r="PI209" s="30"/>
      <c r="PJ209" s="30"/>
      <c r="PK209" s="30"/>
      <c r="PL209" s="30"/>
      <c r="PM209" s="30"/>
      <c r="PN209" s="30"/>
      <c r="PO209" s="30"/>
      <c r="PP209" s="30"/>
      <c r="PQ209" s="30"/>
      <c r="PR209" s="30"/>
      <c r="PS209" s="30"/>
      <c r="PT209" s="30"/>
      <c r="PU209" s="30"/>
      <c r="PV209" s="30"/>
      <c r="PW209" s="30"/>
      <c r="PX209" s="30"/>
      <c r="PY209" s="30"/>
      <c r="PZ209" s="30"/>
      <c r="QA209" s="30"/>
      <c r="QB209" s="30"/>
      <c r="QC209" s="30"/>
      <c r="QD209" s="30"/>
      <c r="QE209" s="30"/>
      <c r="QF209" s="30"/>
      <c r="QG209" s="30"/>
      <c r="QH209" s="30"/>
      <c r="QI209" s="30"/>
      <c r="QJ209" s="30"/>
      <c r="QK209" s="30"/>
      <c r="QL209" s="30"/>
      <c r="QM209" s="30"/>
      <c r="QN209" s="30"/>
      <c r="QO209" s="30"/>
      <c r="QP209" s="30"/>
      <c r="QQ209" s="30"/>
      <c r="QR209" s="30"/>
      <c r="QS209" s="30"/>
      <c r="QT209" s="30"/>
      <c r="QU209" s="30"/>
      <c r="QV209" s="30"/>
      <c r="QW209" s="30"/>
      <c r="QX209" s="30"/>
      <c r="QY209" s="30"/>
      <c r="QZ209" s="30"/>
      <c r="RA209" s="30"/>
      <c r="RB209" s="30"/>
      <c r="RC209" s="30"/>
      <c r="RD209" s="30"/>
      <c r="RE209" s="30"/>
      <c r="RF209" s="30"/>
      <c r="RG209" s="30"/>
      <c r="RH209" s="30"/>
      <c r="RI209" s="30"/>
      <c r="RJ209" s="30"/>
      <c r="RK209" s="30"/>
      <c r="RL209" s="30"/>
      <c r="RM209" s="30"/>
      <c r="RN209" s="30"/>
      <c r="RO209" s="30"/>
      <c r="RP209" s="30"/>
      <c r="RQ209" s="30"/>
      <c r="RR209" s="30"/>
      <c r="RS209" s="30"/>
      <c r="RT209" s="30"/>
      <c r="RU209" s="30"/>
      <c r="RV209" s="30"/>
      <c r="RW209" s="30"/>
      <c r="RX209" s="30"/>
      <c r="RY209" s="30"/>
      <c r="RZ209" s="30"/>
      <c r="SA209" s="30"/>
      <c r="SB209" s="30"/>
      <c r="SC209" s="30"/>
      <c r="SD209" s="30"/>
      <c r="SE209" s="30"/>
      <c r="SF209" s="30"/>
      <c r="SG209" s="30"/>
      <c r="SH209" s="30"/>
      <c r="SI209" s="30"/>
      <c r="SJ209" s="30"/>
      <c r="SK209" s="30"/>
      <c r="SL209" s="30"/>
      <c r="SM209" s="30"/>
      <c r="SN209" s="30"/>
      <c r="SO209" s="30"/>
      <c r="SP209" s="30"/>
      <c r="SQ209" s="30"/>
      <c r="SR209" s="30"/>
      <c r="SS209" s="30"/>
      <c r="ST209" s="30"/>
      <c r="SU209" s="30"/>
      <c r="SV209" s="30"/>
      <c r="SW209" s="30"/>
      <c r="SX209" s="30"/>
      <c r="SY209" s="30"/>
      <c r="SZ209" s="30"/>
      <c r="TA209" s="30"/>
      <c r="TB209" s="30"/>
      <c r="TC209" s="30"/>
      <c r="TD209" s="30"/>
      <c r="TE209" s="30"/>
      <c r="TF209" s="30"/>
      <c r="TG209" s="30"/>
    </row>
    <row r="210" spans="1:527" s="27" customFormat="1" ht="22.5" customHeight="1" x14ac:dyDescent="0.25">
      <c r="A210" s="110" t="s">
        <v>26</v>
      </c>
      <c r="B210" s="112"/>
      <c r="C210" s="112"/>
      <c r="D210" s="107" t="s">
        <v>335</v>
      </c>
      <c r="E210" s="95">
        <f>E211</f>
        <v>82887057</v>
      </c>
      <c r="F210" s="95">
        <f t="shared" ref="F210:J210" si="83">F211</f>
        <v>82887057</v>
      </c>
      <c r="G210" s="95">
        <f t="shared" si="83"/>
        <v>62366800</v>
      </c>
      <c r="H210" s="95">
        <f t="shared" si="83"/>
        <v>2860657</v>
      </c>
      <c r="I210" s="95">
        <f t="shared" si="83"/>
        <v>0</v>
      </c>
      <c r="J210" s="95">
        <f t="shared" si="83"/>
        <v>5080600</v>
      </c>
      <c r="K210" s="95">
        <f t="shared" ref="K210" si="84">K211</f>
        <v>2320500</v>
      </c>
      <c r="L210" s="95">
        <f t="shared" ref="L210" si="85">L211</f>
        <v>2756970</v>
      </c>
      <c r="M210" s="95">
        <f t="shared" ref="M210" si="86">M211</f>
        <v>2239004</v>
      </c>
      <c r="N210" s="95">
        <f t="shared" ref="N210" si="87">N211</f>
        <v>3300</v>
      </c>
      <c r="O210" s="95">
        <f t="shared" ref="O210:P210" si="88">O211</f>
        <v>2323630</v>
      </c>
      <c r="P210" s="95">
        <f t="shared" si="88"/>
        <v>87967657</v>
      </c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  <c r="IT210" s="32"/>
      <c r="IU210" s="32"/>
      <c r="IV210" s="32"/>
      <c r="IW210" s="32"/>
      <c r="IX210" s="32"/>
      <c r="IY210" s="32"/>
      <c r="IZ210" s="32"/>
      <c r="JA210" s="32"/>
      <c r="JB210" s="32"/>
      <c r="JC210" s="32"/>
      <c r="JD210" s="32"/>
      <c r="JE210" s="32"/>
      <c r="JF210" s="32"/>
      <c r="JG210" s="32"/>
      <c r="JH210" s="32"/>
      <c r="JI210" s="32"/>
      <c r="JJ210" s="32"/>
      <c r="JK210" s="32"/>
      <c r="JL210" s="32"/>
      <c r="JM210" s="32"/>
      <c r="JN210" s="32"/>
      <c r="JO210" s="32"/>
      <c r="JP210" s="32"/>
      <c r="JQ210" s="32"/>
      <c r="JR210" s="32"/>
      <c r="JS210" s="32"/>
      <c r="JT210" s="32"/>
      <c r="JU210" s="32"/>
      <c r="JV210" s="32"/>
      <c r="JW210" s="32"/>
      <c r="JX210" s="32"/>
      <c r="JY210" s="32"/>
      <c r="JZ210" s="32"/>
      <c r="KA210" s="32"/>
      <c r="KB210" s="32"/>
      <c r="KC210" s="32"/>
      <c r="KD210" s="32"/>
      <c r="KE210" s="32"/>
      <c r="KF210" s="32"/>
      <c r="KG210" s="32"/>
      <c r="KH210" s="32"/>
      <c r="KI210" s="32"/>
      <c r="KJ210" s="32"/>
      <c r="KK210" s="32"/>
      <c r="KL210" s="32"/>
      <c r="KM210" s="32"/>
      <c r="KN210" s="32"/>
      <c r="KO210" s="32"/>
      <c r="KP210" s="32"/>
      <c r="KQ210" s="32"/>
      <c r="KR210" s="32"/>
      <c r="KS210" s="32"/>
      <c r="KT210" s="32"/>
      <c r="KU210" s="32"/>
      <c r="KV210" s="32"/>
      <c r="KW210" s="32"/>
      <c r="KX210" s="32"/>
      <c r="KY210" s="32"/>
      <c r="KZ210" s="32"/>
      <c r="LA210" s="32"/>
      <c r="LB210" s="32"/>
      <c r="LC210" s="32"/>
      <c r="LD210" s="32"/>
      <c r="LE210" s="32"/>
      <c r="LF210" s="32"/>
      <c r="LG210" s="32"/>
      <c r="LH210" s="32"/>
      <c r="LI210" s="32"/>
      <c r="LJ210" s="32"/>
      <c r="LK210" s="32"/>
      <c r="LL210" s="32"/>
      <c r="LM210" s="32"/>
      <c r="LN210" s="32"/>
      <c r="LO210" s="32"/>
      <c r="LP210" s="32"/>
      <c r="LQ210" s="32"/>
      <c r="LR210" s="32"/>
      <c r="LS210" s="32"/>
      <c r="LT210" s="32"/>
      <c r="LU210" s="32"/>
      <c r="LV210" s="32"/>
      <c r="LW210" s="32"/>
      <c r="LX210" s="32"/>
      <c r="LY210" s="32"/>
      <c r="LZ210" s="32"/>
      <c r="MA210" s="32"/>
      <c r="MB210" s="32"/>
      <c r="MC210" s="32"/>
      <c r="MD210" s="32"/>
      <c r="ME210" s="32"/>
      <c r="MF210" s="32"/>
      <c r="MG210" s="32"/>
      <c r="MH210" s="32"/>
      <c r="MI210" s="32"/>
      <c r="MJ210" s="32"/>
      <c r="MK210" s="32"/>
      <c r="ML210" s="32"/>
      <c r="MM210" s="32"/>
      <c r="MN210" s="32"/>
      <c r="MO210" s="32"/>
      <c r="MP210" s="32"/>
      <c r="MQ210" s="32"/>
      <c r="MR210" s="32"/>
      <c r="MS210" s="32"/>
      <c r="MT210" s="32"/>
      <c r="MU210" s="32"/>
      <c r="MV210" s="32"/>
      <c r="MW210" s="32"/>
      <c r="MX210" s="32"/>
      <c r="MY210" s="32"/>
      <c r="MZ210" s="32"/>
      <c r="NA210" s="32"/>
      <c r="NB210" s="32"/>
      <c r="NC210" s="32"/>
      <c r="ND210" s="32"/>
      <c r="NE210" s="32"/>
      <c r="NF210" s="32"/>
      <c r="NG210" s="32"/>
      <c r="NH210" s="32"/>
      <c r="NI210" s="32"/>
      <c r="NJ210" s="32"/>
      <c r="NK210" s="32"/>
      <c r="NL210" s="32"/>
      <c r="NM210" s="32"/>
      <c r="NN210" s="32"/>
      <c r="NO210" s="32"/>
      <c r="NP210" s="32"/>
      <c r="NQ210" s="32"/>
      <c r="NR210" s="32"/>
      <c r="NS210" s="32"/>
      <c r="NT210" s="32"/>
      <c r="NU210" s="32"/>
      <c r="NV210" s="32"/>
      <c r="NW210" s="32"/>
      <c r="NX210" s="32"/>
      <c r="NY210" s="32"/>
      <c r="NZ210" s="32"/>
      <c r="OA210" s="32"/>
      <c r="OB210" s="32"/>
      <c r="OC210" s="32"/>
      <c r="OD210" s="32"/>
      <c r="OE210" s="32"/>
      <c r="OF210" s="32"/>
      <c r="OG210" s="32"/>
      <c r="OH210" s="32"/>
      <c r="OI210" s="32"/>
      <c r="OJ210" s="32"/>
      <c r="OK210" s="32"/>
      <c r="OL210" s="32"/>
      <c r="OM210" s="32"/>
      <c r="ON210" s="32"/>
      <c r="OO210" s="32"/>
      <c r="OP210" s="32"/>
      <c r="OQ210" s="32"/>
      <c r="OR210" s="32"/>
      <c r="OS210" s="32"/>
      <c r="OT210" s="32"/>
      <c r="OU210" s="32"/>
      <c r="OV210" s="32"/>
      <c r="OW210" s="32"/>
      <c r="OX210" s="32"/>
      <c r="OY210" s="32"/>
      <c r="OZ210" s="32"/>
      <c r="PA210" s="32"/>
      <c r="PB210" s="32"/>
      <c r="PC210" s="32"/>
      <c r="PD210" s="32"/>
      <c r="PE210" s="32"/>
      <c r="PF210" s="32"/>
      <c r="PG210" s="32"/>
      <c r="PH210" s="32"/>
      <c r="PI210" s="32"/>
      <c r="PJ210" s="32"/>
      <c r="PK210" s="32"/>
      <c r="PL210" s="32"/>
      <c r="PM210" s="32"/>
      <c r="PN210" s="32"/>
      <c r="PO210" s="32"/>
      <c r="PP210" s="32"/>
      <c r="PQ210" s="32"/>
      <c r="PR210" s="32"/>
      <c r="PS210" s="32"/>
      <c r="PT210" s="32"/>
      <c r="PU210" s="32"/>
      <c r="PV210" s="32"/>
      <c r="PW210" s="32"/>
      <c r="PX210" s="32"/>
      <c r="PY210" s="32"/>
      <c r="PZ210" s="32"/>
      <c r="QA210" s="32"/>
      <c r="QB210" s="32"/>
      <c r="QC210" s="32"/>
      <c r="QD210" s="32"/>
      <c r="QE210" s="32"/>
      <c r="QF210" s="32"/>
      <c r="QG210" s="32"/>
      <c r="QH210" s="32"/>
      <c r="QI210" s="32"/>
      <c r="QJ210" s="32"/>
      <c r="QK210" s="32"/>
      <c r="QL210" s="32"/>
      <c r="QM210" s="32"/>
      <c r="QN210" s="32"/>
      <c r="QO210" s="32"/>
      <c r="QP210" s="32"/>
      <c r="QQ210" s="32"/>
      <c r="QR210" s="32"/>
      <c r="QS210" s="32"/>
      <c r="QT210" s="32"/>
      <c r="QU210" s="32"/>
      <c r="QV210" s="32"/>
      <c r="QW210" s="32"/>
      <c r="QX210" s="32"/>
      <c r="QY210" s="32"/>
      <c r="QZ210" s="32"/>
      <c r="RA210" s="32"/>
      <c r="RB210" s="32"/>
      <c r="RC210" s="32"/>
      <c r="RD210" s="32"/>
      <c r="RE210" s="32"/>
      <c r="RF210" s="32"/>
      <c r="RG210" s="32"/>
      <c r="RH210" s="32"/>
      <c r="RI210" s="32"/>
      <c r="RJ210" s="32"/>
      <c r="RK210" s="32"/>
      <c r="RL210" s="32"/>
      <c r="RM210" s="32"/>
      <c r="RN210" s="32"/>
      <c r="RO210" s="32"/>
      <c r="RP210" s="32"/>
      <c r="RQ210" s="32"/>
      <c r="RR210" s="32"/>
      <c r="RS210" s="32"/>
      <c r="RT210" s="32"/>
      <c r="RU210" s="32"/>
      <c r="RV210" s="32"/>
      <c r="RW210" s="32"/>
      <c r="RX210" s="32"/>
      <c r="RY210" s="32"/>
      <c r="RZ210" s="32"/>
      <c r="SA210" s="32"/>
      <c r="SB210" s="32"/>
      <c r="SC210" s="32"/>
      <c r="SD210" s="32"/>
      <c r="SE210" s="32"/>
      <c r="SF210" s="32"/>
      <c r="SG210" s="32"/>
      <c r="SH210" s="32"/>
      <c r="SI210" s="32"/>
      <c r="SJ210" s="32"/>
      <c r="SK210" s="32"/>
      <c r="SL210" s="32"/>
      <c r="SM210" s="32"/>
      <c r="SN210" s="32"/>
      <c r="SO210" s="32"/>
      <c r="SP210" s="32"/>
      <c r="SQ210" s="32"/>
      <c r="SR210" s="32"/>
      <c r="SS210" s="32"/>
      <c r="ST210" s="32"/>
      <c r="SU210" s="32"/>
      <c r="SV210" s="32"/>
      <c r="SW210" s="32"/>
      <c r="SX210" s="32"/>
      <c r="SY210" s="32"/>
      <c r="SZ210" s="32"/>
      <c r="TA210" s="32"/>
      <c r="TB210" s="32"/>
      <c r="TC210" s="32"/>
      <c r="TD210" s="32"/>
      <c r="TE210" s="32"/>
      <c r="TF210" s="32"/>
      <c r="TG210" s="32"/>
    </row>
    <row r="211" spans="1:527" s="34" customFormat="1" ht="21.75" customHeight="1" x14ac:dyDescent="0.25">
      <c r="A211" s="96" t="s">
        <v>192</v>
      </c>
      <c r="B211" s="109"/>
      <c r="C211" s="109"/>
      <c r="D211" s="77" t="s">
        <v>335</v>
      </c>
      <c r="E211" s="98">
        <f>E212+E213+E214+E216+E217++E219+E215+E218+E220</f>
        <v>82887057</v>
      </c>
      <c r="F211" s="98">
        <f t="shared" ref="F211:P211" si="89">F212+F213+F214+F216+F217++F219+F215+F218+F220</f>
        <v>82887057</v>
      </c>
      <c r="G211" s="98">
        <f t="shared" si="89"/>
        <v>62366800</v>
      </c>
      <c r="H211" s="98">
        <f t="shared" si="89"/>
        <v>2860657</v>
      </c>
      <c r="I211" s="98">
        <f t="shared" si="89"/>
        <v>0</v>
      </c>
      <c r="J211" s="98">
        <f t="shared" si="89"/>
        <v>5080600</v>
      </c>
      <c r="K211" s="98">
        <f t="shared" si="89"/>
        <v>2320500</v>
      </c>
      <c r="L211" s="98">
        <f t="shared" si="89"/>
        <v>2756970</v>
      </c>
      <c r="M211" s="98">
        <f t="shared" si="89"/>
        <v>2239004</v>
      </c>
      <c r="N211" s="98">
        <f t="shared" si="89"/>
        <v>3300</v>
      </c>
      <c r="O211" s="98">
        <f t="shared" si="89"/>
        <v>2323630</v>
      </c>
      <c r="P211" s="98">
        <f t="shared" si="89"/>
        <v>87967657</v>
      </c>
      <c r="Q211" s="33"/>
      <c r="R211" s="32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  <c r="IW211" s="33"/>
      <c r="IX211" s="33"/>
      <c r="IY211" s="33"/>
      <c r="IZ211" s="33"/>
      <c r="JA211" s="33"/>
      <c r="JB211" s="33"/>
      <c r="JC211" s="33"/>
      <c r="JD211" s="33"/>
      <c r="JE211" s="33"/>
      <c r="JF211" s="33"/>
      <c r="JG211" s="33"/>
      <c r="JH211" s="33"/>
      <c r="JI211" s="33"/>
      <c r="JJ211" s="33"/>
      <c r="JK211" s="33"/>
      <c r="JL211" s="33"/>
      <c r="JM211" s="33"/>
      <c r="JN211" s="33"/>
      <c r="JO211" s="33"/>
      <c r="JP211" s="33"/>
      <c r="JQ211" s="33"/>
      <c r="JR211" s="33"/>
      <c r="JS211" s="33"/>
      <c r="JT211" s="33"/>
      <c r="JU211" s="33"/>
      <c r="JV211" s="33"/>
      <c r="JW211" s="33"/>
      <c r="JX211" s="33"/>
      <c r="JY211" s="33"/>
      <c r="JZ211" s="33"/>
      <c r="KA211" s="33"/>
      <c r="KB211" s="33"/>
      <c r="KC211" s="33"/>
      <c r="KD211" s="33"/>
      <c r="KE211" s="33"/>
      <c r="KF211" s="33"/>
      <c r="KG211" s="33"/>
      <c r="KH211" s="33"/>
      <c r="KI211" s="33"/>
      <c r="KJ211" s="33"/>
      <c r="KK211" s="33"/>
      <c r="KL211" s="33"/>
      <c r="KM211" s="33"/>
      <c r="KN211" s="33"/>
      <c r="KO211" s="33"/>
      <c r="KP211" s="33"/>
      <c r="KQ211" s="33"/>
      <c r="KR211" s="33"/>
      <c r="KS211" s="33"/>
      <c r="KT211" s="33"/>
      <c r="KU211" s="33"/>
      <c r="KV211" s="33"/>
      <c r="KW211" s="33"/>
      <c r="KX211" s="33"/>
      <c r="KY211" s="33"/>
      <c r="KZ211" s="33"/>
      <c r="LA211" s="33"/>
      <c r="LB211" s="33"/>
      <c r="LC211" s="33"/>
      <c r="LD211" s="33"/>
      <c r="LE211" s="33"/>
      <c r="LF211" s="33"/>
      <c r="LG211" s="33"/>
      <c r="LH211" s="33"/>
      <c r="LI211" s="33"/>
      <c r="LJ211" s="33"/>
      <c r="LK211" s="33"/>
      <c r="LL211" s="33"/>
      <c r="LM211" s="33"/>
      <c r="LN211" s="33"/>
      <c r="LO211" s="33"/>
      <c r="LP211" s="33"/>
      <c r="LQ211" s="33"/>
      <c r="LR211" s="33"/>
      <c r="LS211" s="33"/>
      <c r="LT211" s="33"/>
      <c r="LU211" s="33"/>
      <c r="LV211" s="33"/>
      <c r="LW211" s="33"/>
      <c r="LX211" s="33"/>
      <c r="LY211" s="33"/>
      <c r="LZ211" s="33"/>
      <c r="MA211" s="33"/>
      <c r="MB211" s="33"/>
      <c r="MC211" s="33"/>
      <c r="MD211" s="33"/>
      <c r="ME211" s="33"/>
      <c r="MF211" s="33"/>
      <c r="MG211" s="33"/>
      <c r="MH211" s="33"/>
      <c r="MI211" s="33"/>
      <c r="MJ211" s="33"/>
      <c r="MK211" s="33"/>
      <c r="ML211" s="33"/>
      <c r="MM211" s="33"/>
      <c r="MN211" s="33"/>
      <c r="MO211" s="33"/>
      <c r="MP211" s="33"/>
      <c r="MQ211" s="33"/>
      <c r="MR211" s="33"/>
      <c r="MS211" s="33"/>
      <c r="MT211" s="33"/>
      <c r="MU211" s="33"/>
      <c r="MV211" s="33"/>
      <c r="MW211" s="33"/>
      <c r="MX211" s="33"/>
      <c r="MY211" s="33"/>
      <c r="MZ211" s="33"/>
      <c r="NA211" s="33"/>
      <c r="NB211" s="33"/>
      <c r="NC211" s="33"/>
      <c r="ND211" s="33"/>
      <c r="NE211" s="33"/>
      <c r="NF211" s="33"/>
      <c r="NG211" s="33"/>
      <c r="NH211" s="33"/>
      <c r="NI211" s="33"/>
      <c r="NJ211" s="33"/>
      <c r="NK211" s="33"/>
      <c r="NL211" s="33"/>
      <c r="NM211" s="33"/>
      <c r="NN211" s="33"/>
      <c r="NO211" s="33"/>
      <c r="NP211" s="33"/>
      <c r="NQ211" s="33"/>
      <c r="NR211" s="33"/>
      <c r="NS211" s="33"/>
      <c r="NT211" s="33"/>
      <c r="NU211" s="33"/>
      <c r="NV211" s="33"/>
      <c r="NW211" s="33"/>
      <c r="NX211" s="33"/>
      <c r="NY211" s="33"/>
      <c r="NZ211" s="33"/>
      <c r="OA211" s="33"/>
      <c r="OB211" s="33"/>
      <c r="OC211" s="33"/>
      <c r="OD211" s="33"/>
      <c r="OE211" s="33"/>
      <c r="OF211" s="33"/>
      <c r="OG211" s="33"/>
      <c r="OH211" s="33"/>
      <c r="OI211" s="33"/>
      <c r="OJ211" s="33"/>
      <c r="OK211" s="33"/>
      <c r="OL211" s="33"/>
      <c r="OM211" s="33"/>
      <c r="ON211" s="33"/>
      <c r="OO211" s="33"/>
      <c r="OP211" s="33"/>
      <c r="OQ211" s="33"/>
      <c r="OR211" s="33"/>
      <c r="OS211" s="33"/>
      <c r="OT211" s="33"/>
      <c r="OU211" s="33"/>
      <c r="OV211" s="33"/>
      <c r="OW211" s="33"/>
      <c r="OX211" s="33"/>
      <c r="OY211" s="33"/>
      <c r="OZ211" s="33"/>
      <c r="PA211" s="33"/>
      <c r="PB211" s="33"/>
      <c r="PC211" s="33"/>
      <c r="PD211" s="33"/>
      <c r="PE211" s="33"/>
      <c r="PF211" s="33"/>
      <c r="PG211" s="33"/>
      <c r="PH211" s="33"/>
      <c r="PI211" s="33"/>
      <c r="PJ211" s="33"/>
      <c r="PK211" s="33"/>
      <c r="PL211" s="33"/>
      <c r="PM211" s="33"/>
      <c r="PN211" s="33"/>
      <c r="PO211" s="33"/>
      <c r="PP211" s="33"/>
      <c r="PQ211" s="33"/>
      <c r="PR211" s="33"/>
      <c r="PS211" s="33"/>
      <c r="PT211" s="33"/>
      <c r="PU211" s="33"/>
      <c r="PV211" s="33"/>
      <c r="PW211" s="33"/>
      <c r="PX211" s="33"/>
      <c r="PY211" s="33"/>
      <c r="PZ211" s="33"/>
      <c r="QA211" s="33"/>
      <c r="QB211" s="33"/>
      <c r="QC211" s="33"/>
      <c r="QD211" s="33"/>
      <c r="QE211" s="33"/>
      <c r="QF211" s="33"/>
      <c r="QG211" s="33"/>
      <c r="QH211" s="33"/>
      <c r="QI211" s="33"/>
      <c r="QJ211" s="33"/>
      <c r="QK211" s="33"/>
      <c r="QL211" s="33"/>
      <c r="QM211" s="33"/>
      <c r="QN211" s="33"/>
      <c r="QO211" s="33"/>
      <c r="QP211" s="33"/>
      <c r="QQ211" s="33"/>
      <c r="QR211" s="33"/>
      <c r="QS211" s="33"/>
      <c r="QT211" s="33"/>
      <c r="QU211" s="33"/>
      <c r="QV211" s="33"/>
      <c r="QW211" s="33"/>
      <c r="QX211" s="33"/>
      <c r="QY211" s="33"/>
      <c r="QZ211" s="33"/>
      <c r="RA211" s="33"/>
      <c r="RB211" s="33"/>
      <c r="RC211" s="33"/>
      <c r="RD211" s="33"/>
      <c r="RE211" s="33"/>
      <c r="RF211" s="33"/>
      <c r="RG211" s="33"/>
      <c r="RH211" s="33"/>
      <c r="RI211" s="33"/>
      <c r="RJ211" s="33"/>
      <c r="RK211" s="33"/>
      <c r="RL211" s="33"/>
      <c r="RM211" s="33"/>
      <c r="RN211" s="33"/>
      <c r="RO211" s="33"/>
      <c r="RP211" s="33"/>
      <c r="RQ211" s="33"/>
      <c r="RR211" s="33"/>
      <c r="RS211" s="33"/>
      <c r="RT211" s="33"/>
      <c r="RU211" s="33"/>
      <c r="RV211" s="33"/>
      <c r="RW211" s="33"/>
      <c r="RX211" s="33"/>
      <c r="RY211" s="33"/>
      <c r="RZ211" s="33"/>
      <c r="SA211" s="33"/>
      <c r="SB211" s="33"/>
      <c r="SC211" s="33"/>
      <c r="SD211" s="33"/>
      <c r="SE211" s="33"/>
      <c r="SF211" s="33"/>
      <c r="SG211" s="33"/>
      <c r="SH211" s="33"/>
      <c r="SI211" s="33"/>
      <c r="SJ211" s="33"/>
      <c r="SK211" s="33"/>
      <c r="SL211" s="33"/>
      <c r="SM211" s="33"/>
      <c r="SN211" s="33"/>
      <c r="SO211" s="33"/>
      <c r="SP211" s="33"/>
      <c r="SQ211" s="33"/>
      <c r="SR211" s="33"/>
      <c r="SS211" s="33"/>
      <c r="ST211" s="33"/>
      <c r="SU211" s="33"/>
      <c r="SV211" s="33"/>
      <c r="SW211" s="33"/>
      <c r="SX211" s="33"/>
      <c r="SY211" s="33"/>
      <c r="SZ211" s="33"/>
      <c r="TA211" s="33"/>
      <c r="TB211" s="33"/>
      <c r="TC211" s="33"/>
      <c r="TD211" s="33"/>
      <c r="TE211" s="33"/>
      <c r="TF211" s="33"/>
      <c r="TG211" s="33"/>
    </row>
    <row r="212" spans="1:527" s="22" customFormat="1" ht="47.25" x14ac:dyDescent="0.25">
      <c r="A212" s="59" t="s">
        <v>139</v>
      </c>
      <c r="B212" s="93" t="str">
        <f>'дод 8'!A19</f>
        <v>0160</v>
      </c>
      <c r="C212" s="93" t="str">
        <f>'дод 8'!B19</f>
        <v>0111</v>
      </c>
      <c r="D212" s="36" t="s">
        <v>494</v>
      </c>
      <c r="E212" s="99">
        <f t="shared" ref="E212:E220" si="90">F212+I212</f>
        <v>2174235</v>
      </c>
      <c r="F212" s="99">
        <f>2163700+3335+7200</f>
        <v>2174235</v>
      </c>
      <c r="G212" s="99">
        <v>1695500</v>
      </c>
      <c r="H212" s="99">
        <f>18000+3335+7200</f>
        <v>28535</v>
      </c>
      <c r="I212" s="99"/>
      <c r="J212" s="99">
        <f>L212+O212</f>
        <v>0</v>
      </c>
      <c r="K212" s="99"/>
      <c r="L212" s="99"/>
      <c r="M212" s="99"/>
      <c r="N212" s="99"/>
      <c r="O212" s="99"/>
      <c r="P212" s="99">
        <f t="shared" ref="P212:P220" si="91">E212+J212</f>
        <v>2174235</v>
      </c>
      <c r="Q212" s="23"/>
      <c r="R212" s="32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</row>
    <row r="213" spans="1:527" s="22" customFormat="1" ht="19.5" customHeight="1" x14ac:dyDescent="0.25">
      <c r="A213" s="59" t="s">
        <v>509</v>
      </c>
      <c r="B213" s="93">
        <v>1080</v>
      </c>
      <c r="C213" s="59" t="s">
        <v>57</v>
      </c>
      <c r="D213" s="60" t="s">
        <v>510</v>
      </c>
      <c r="E213" s="99">
        <f t="shared" si="90"/>
        <v>51114215</v>
      </c>
      <c r="F213" s="99">
        <f>50652500+65000+20000+30000+15000+165515+166200</f>
        <v>51114215</v>
      </c>
      <c r="G213" s="99">
        <v>40594000</v>
      </c>
      <c r="H213" s="99">
        <f>612300+165515+166200</f>
        <v>944015</v>
      </c>
      <c r="I213" s="99"/>
      <c r="J213" s="99">
        <f t="shared" ref="J213:J220" si="92">L213+O213</f>
        <v>2729100</v>
      </c>
      <c r="K213" s="99"/>
      <c r="L213" s="99">
        <v>2725970</v>
      </c>
      <c r="M213" s="99">
        <v>2226904</v>
      </c>
      <c r="N213" s="99"/>
      <c r="O213" s="99">
        <v>3130</v>
      </c>
      <c r="P213" s="99">
        <f t="shared" si="91"/>
        <v>53843315</v>
      </c>
      <c r="Q213" s="23"/>
      <c r="R213" s="32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</row>
    <row r="214" spans="1:527" s="22" customFormat="1" ht="21" customHeight="1" x14ac:dyDescent="0.25">
      <c r="A214" s="59" t="s">
        <v>193</v>
      </c>
      <c r="B214" s="93" t="str">
        <f>'дод 8'!A142</f>
        <v>4030</v>
      </c>
      <c r="C214" s="93" t="str">
        <f>'дод 8'!B142</f>
        <v>0824</v>
      </c>
      <c r="D214" s="60" t="str">
        <f>'дод 8'!C142</f>
        <v>Забезпечення діяльності бібліотек</v>
      </c>
      <c r="E214" s="99">
        <f t="shared" si="90"/>
        <v>23708364</v>
      </c>
      <c r="F214" s="99">
        <f>22627900+77000+112000+10000+2500+194764+62500+199000+50000+372700</f>
        <v>23708364</v>
      </c>
      <c r="G214" s="99">
        <v>16852700</v>
      </c>
      <c r="H214" s="99">
        <f>1133500+194764+372700</f>
        <v>1700964</v>
      </c>
      <c r="I214" s="99"/>
      <c r="J214" s="99">
        <f t="shared" si="92"/>
        <v>252500</v>
      </c>
      <c r="K214" s="99">
        <f>195000+20000+5000+7500</f>
        <v>227500</v>
      </c>
      <c r="L214" s="99">
        <v>25000</v>
      </c>
      <c r="M214" s="99">
        <v>12100</v>
      </c>
      <c r="N214" s="99"/>
      <c r="O214" s="99">
        <f>195000+20000+5000+7500</f>
        <v>227500</v>
      </c>
      <c r="P214" s="99">
        <f t="shared" si="91"/>
        <v>23960864</v>
      </c>
      <c r="Q214" s="23"/>
      <c r="R214" s="32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</row>
    <row r="215" spans="1:527" s="22" customFormat="1" ht="48.75" customHeight="1" x14ac:dyDescent="0.25">
      <c r="A215" s="59">
        <v>1014060</v>
      </c>
      <c r="B215" s="93" t="str">
        <f>'дод 8'!A143</f>
        <v>4060</v>
      </c>
      <c r="C215" s="93" t="str">
        <f>'дод 8'!B143</f>
        <v>0828</v>
      </c>
      <c r="D215" s="60" t="str">
        <f>'дод 8'!C143</f>
        <v>Забезпечення діяльності палаців i будинків культури, клубів, центрів дозвілля та iнших клубних закладів</v>
      </c>
      <c r="E215" s="99">
        <f t="shared" si="90"/>
        <v>2292616</v>
      </c>
      <c r="F215" s="99">
        <f>2160300+15160+20000+25000+40000+10156+22000</f>
        <v>2292616</v>
      </c>
      <c r="G215" s="99">
        <v>1531600</v>
      </c>
      <c r="H215" s="99">
        <f>115700+15160+10156</f>
        <v>141016</v>
      </c>
      <c r="I215" s="99"/>
      <c r="J215" s="99">
        <f t="shared" si="92"/>
        <v>6000</v>
      </c>
      <c r="K215" s="99">
        <f>40000-40000</f>
        <v>0</v>
      </c>
      <c r="L215" s="99">
        <v>6000</v>
      </c>
      <c r="M215" s="99"/>
      <c r="N215" s="99">
        <v>3300</v>
      </c>
      <c r="O215" s="99">
        <f>40000-40000</f>
        <v>0</v>
      </c>
      <c r="P215" s="99">
        <f t="shared" si="91"/>
        <v>2298616</v>
      </c>
      <c r="Q215" s="23"/>
      <c r="R215" s="32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</row>
    <row r="216" spans="1:527" s="24" customFormat="1" ht="33.75" customHeight="1" x14ac:dyDescent="0.25">
      <c r="A216" s="59">
        <v>1014081</v>
      </c>
      <c r="B216" s="93" t="str">
        <f>'дод 8'!A144</f>
        <v>4081</v>
      </c>
      <c r="C216" s="93" t="str">
        <f>'дод 8'!B144</f>
        <v>0829</v>
      </c>
      <c r="D216" s="60" t="str">
        <f>'дод 8'!C144</f>
        <v>Забезпечення діяльності інших закладів в галузі культури і мистецтва</v>
      </c>
      <c r="E216" s="99">
        <f t="shared" si="90"/>
        <v>2217627</v>
      </c>
      <c r="F216" s="99">
        <f>2206400+1827+9400</f>
        <v>2217627</v>
      </c>
      <c r="G216" s="99">
        <v>1693000</v>
      </c>
      <c r="H216" s="99">
        <f>34900+1827+9400</f>
        <v>46127</v>
      </c>
      <c r="I216" s="99"/>
      <c r="J216" s="99">
        <f t="shared" si="92"/>
        <v>23000</v>
      </c>
      <c r="K216" s="99">
        <v>23000</v>
      </c>
      <c r="L216" s="99"/>
      <c r="M216" s="99"/>
      <c r="N216" s="99"/>
      <c r="O216" s="99">
        <v>23000</v>
      </c>
      <c r="P216" s="99">
        <f t="shared" si="91"/>
        <v>2240627</v>
      </c>
      <c r="Q216" s="30"/>
      <c r="R216" s="32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  <c r="IW216" s="30"/>
      <c r="IX216" s="30"/>
      <c r="IY216" s="30"/>
      <c r="IZ216" s="30"/>
      <c r="JA216" s="30"/>
      <c r="JB216" s="30"/>
      <c r="JC216" s="30"/>
      <c r="JD216" s="30"/>
      <c r="JE216" s="30"/>
      <c r="JF216" s="30"/>
      <c r="JG216" s="30"/>
      <c r="JH216" s="30"/>
      <c r="JI216" s="30"/>
      <c r="JJ216" s="30"/>
      <c r="JK216" s="30"/>
      <c r="JL216" s="30"/>
      <c r="JM216" s="30"/>
      <c r="JN216" s="30"/>
      <c r="JO216" s="30"/>
      <c r="JP216" s="30"/>
      <c r="JQ216" s="30"/>
      <c r="JR216" s="30"/>
      <c r="JS216" s="30"/>
      <c r="JT216" s="30"/>
      <c r="JU216" s="30"/>
      <c r="JV216" s="30"/>
      <c r="JW216" s="30"/>
      <c r="JX216" s="30"/>
      <c r="JY216" s="30"/>
      <c r="JZ216" s="30"/>
      <c r="KA216" s="30"/>
      <c r="KB216" s="30"/>
      <c r="KC216" s="30"/>
      <c r="KD216" s="30"/>
      <c r="KE216" s="30"/>
      <c r="KF216" s="30"/>
      <c r="KG216" s="30"/>
      <c r="KH216" s="30"/>
      <c r="KI216" s="30"/>
      <c r="KJ216" s="30"/>
      <c r="KK216" s="30"/>
      <c r="KL216" s="30"/>
      <c r="KM216" s="30"/>
      <c r="KN216" s="30"/>
      <c r="KO216" s="30"/>
      <c r="KP216" s="30"/>
      <c r="KQ216" s="30"/>
      <c r="KR216" s="30"/>
      <c r="KS216" s="30"/>
      <c r="KT216" s="30"/>
      <c r="KU216" s="30"/>
      <c r="KV216" s="30"/>
      <c r="KW216" s="30"/>
      <c r="KX216" s="30"/>
      <c r="KY216" s="30"/>
      <c r="KZ216" s="30"/>
      <c r="LA216" s="30"/>
      <c r="LB216" s="30"/>
      <c r="LC216" s="30"/>
      <c r="LD216" s="30"/>
      <c r="LE216" s="30"/>
      <c r="LF216" s="30"/>
      <c r="LG216" s="30"/>
      <c r="LH216" s="30"/>
      <c r="LI216" s="30"/>
      <c r="LJ216" s="30"/>
      <c r="LK216" s="30"/>
      <c r="LL216" s="30"/>
      <c r="LM216" s="30"/>
      <c r="LN216" s="30"/>
      <c r="LO216" s="30"/>
      <c r="LP216" s="30"/>
      <c r="LQ216" s="30"/>
      <c r="LR216" s="30"/>
      <c r="LS216" s="30"/>
      <c r="LT216" s="30"/>
      <c r="LU216" s="30"/>
      <c r="LV216" s="30"/>
      <c r="LW216" s="30"/>
      <c r="LX216" s="30"/>
      <c r="LY216" s="30"/>
      <c r="LZ216" s="30"/>
      <c r="MA216" s="30"/>
      <c r="MB216" s="30"/>
      <c r="MC216" s="30"/>
      <c r="MD216" s="30"/>
      <c r="ME216" s="30"/>
      <c r="MF216" s="30"/>
      <c r="MG216" s="30"/>
      <c r="MH216" s="30"/>
      <c r="MI216" s="30"/>
      <c r="MJ216" s="30"/>
      <c r="MK216" s="30"/>
      <c r="ML216" s="30"/>
      <c r="MM216" s="30"/>
      <c r="MN216" s="30"/>
      <c r="MO216" s="30"/>
      <c r="MP216" s="30"/>
      <c r="MQ216" s="30"/>
      <c r="MR216" s="30"/>
      <c r="MS216" s="30"/>
      <c r="MT216" s="30"/>
      <c r="MU216" s="30"/>
      <c r="MV216" s="30"/>
      <c r="MW216" s="30"/>
      <c r="MX216" s="30"/>
      <c r="MY216" s="30"/>
      <c r="MZ216" s="30"/>
      <c r="NA216" s="30"/>
      <c r="NB216" s="30"/>
      <c r="NC216" s="30"/>
      <c r="ND216" s="30"/>
      <c r="NE216" s="30"/>
      <c r="NF216" s="30"/>
      <c r="NG216" s="30"/>
      <c r="NH216" s="30"/>
      <c r="NI216" s="30"/>
      <c r="NJ216" s="30"/>
      <c r="NK216" s="30"/>
      <c r="NL216" s="30"/>
      <c r="NM216" s="30"/>
      <c r="NN216" s="30"/>
      <c r="NO216" s="30"/>
      <c r="NP216" s="30"/>
      <c r="NQ216" s="30"/>
      <c r="NR216" s="30"/>
      <c r="NS216" s="30"/>
      <c r="NT216" s="30"/>
      <c r="NU216" s="30"/>
      <c r="NV216" s="30"/>
      <c r="NW216" s="30"/>
      <c r="NX216" s="30"/>
      <c r="NY216" s="30"/>
      <c r="NZ216" s="30"/>
      <c r="OA216" s="30"/>
      <c r="OB216" s="30"/>
      <c r="OC216" s="30"/>
      <c r="OD216" s="30"/>
      <c r="OE216" s="30"/>
      <c r="OF216" s="30"/>
      <c r="OG216" s="30"/>
      <c r="OH216" s="30"/>
      <c r="OI216" s="30"/>
      <c r="OJ216" s="30"/>
      <c r="OK216" s="30"/>
      <c r="OL216" s="30"/>
      <c r="OM216" s="30"/>
      <c r="ON216" s="30"/>
      <c r="OO216" s="30"/>
      <c r="OP216" s="30"/>
      <c r="OQ216" s="30"/>
      <c r="OR216" s="30"/>
      <c r="OS216" s="30"/>
      <c r="OT216" s="30"/>
      <c r="OU216" s="30"/>
      <c r="OV216" s="30"/>
      <c r="OW216" s="30"/>
      <c r="OX216" s="30"/>
      <c r="OY216" s="30"/>
      <c r="OZ216" s="30"/>
      <c r="PA216" s="30"/>
      <c r="PB216" s="30"/>
      <c r="PC216" s="30"/>
      <c r="PD216" s="30"/>
      <c r="PE216" s="30"/>
      <c r="PF216" s="30"/>
      <c r="PG216" s="30"/>
      <c r="PH216" s="30"/>
      <c r="PI216" s="30"/>
      <c r="PJ216" s="30"/>
      <c r="PK216" s="30"/>
      <c r="PL216" s="30"/>
      <c r="PM216" s="30"/>
      <c r="PN216" s="30"/>
      <c r="PO216" s="30"/>
      <c r="PP216" s="30"/>
      <c r="PQ216" s="30"/>
      <c r="PR216" s="30"/>
      <c r="PS216" s="30"/>
      <c r="PT216" s="30"/>
      <c r="PU216" s="30"/>
      <c r="PV216" s="30"/>
      <c r="PW216" s="30"/>
      <c r="PX216" s="30"/>
      <c r="PY216" s="30"/>
      <c r="PZ216" s="30"/>
      <c r="QA216" s="30"/>
      <c r="QB216" s="30"/>
      <c r="QC216" s="30"/>
      <c r="QD216" s="30"/>
      <c r="QE216" s="30"/>
      <c r="QF216" s="30"/>
      <c r="QG216" s="30"/>
      <c r="QH216" s="30"/>
      <c r="QI216" s="30"/>
      <c r="QJ216" s="30"/>
      <c r="QK216" s="30"/>
      <c r="QL216" s="30"/>
      <c r="QM216" s="30"/>
      <c r="QN216" s="30"/>
      <c r="QO216" s="30"/>
      <c r="QP216" s="30"/>
      <c r="QQ216" s="30"/>
      <c r="QR216" s="30"/>
      <c r="QS216" s="30"/>
      <c r="QT216" s="30"/>
      <c r="QU216" s="30"/>
      <c r="QV216" s="30"/>
      <c r="QW216" s="30"/>
      <c r="QX216" s="30"/>
      <c r="QY216" s="30"/>
      <c r="QZ216" s="30"/>
      <c r="RA216" s="30"/>
      <c r="RB216" s="30"/>
      <c r="RC216" s="30"/>
      <c r="RD216" s="30"/>
      <c r="RE216" s="30"/>
      <c r="RF216" s="30"/>
      <c r="RG216" s="30"/>
      <c r="RH216" s="30"/>
      <c r="RI216" s="30"/>
      <c r="RJ216" s="30"/>
      <c r="RK216" s="30"/>
      <c r="RL216" s="30"/>
      <c r="RM216" s="30"/>
      <c r="RN216" s="30"/>
      <c r="RO216" s="30"/>
      <c r="RP216" s="30"/>
      <c r="RQ216" s="30"/>
      <c r="RR216" s="30"/>
      <c r="RS216" s="30"/>
      <c r="RT216" s="30"/>
      <c r="RU216" s="30"/>
      <c r="RV216" s="30"/>
      <c r="RW216" s="30"/>
      <c r="RX216" s="30"/>
      <c r="RY216" s="30"/>
      <c r="RZ216" s="30"/>
      <c r="SA216" s="30"/>
      <c r="SB216" s="30"/>
      <c r="SC216" s="30"/>
      <c r="SD216" s="30"/>
      <c r="SE216" s="30"/>
      <c r="SF216" s="30"/>
      <c r="SG216" s="30"/>
      <c r="SH216" s="30"/>
      <c r="SI216" s="30"/>
      <c r="SJ216" s="30"/>
      <c r="SK216" s="30"/>
      <c r="SL216" s="30"/>
      <c r="SM216" s="30"/>
      <c r="SN216" s="30"/>
      <c r="SO216" s="30"/>
      <c r="SP216" s="30"/>
      <c r="SQ216" s="30"/>
      <c r="SR216" s="30"/>
      <c r="SS216" s="30"/>
      <c r="ST216" s="30"/>
      <c r="SU216" s="30"/>
      <c r="SV216" s="30"/>
      <c r="SW216" s="30"/>
      <c r="SX216" s="30"/>
      <c r="SY216" s="30"/>
      <c r="SZ216" s="30"/>
      <c r="TA216" s="30"/>
      <c r="TB216" s="30"/>
      <c r="TC216" s="30"/>
      <c r="TD216" s="30"/>
      <c r="TE216" s="30"/>
      <c r="TF216" s="30"/>
      <c r="TG216" s="30"/>
    </row>
    <row r="217" spans="1:527" s="24" customFormat="1" ht="25.5" customHeight="1" x14ac:dyDescent="0.25">
      <c r="A217" s="59">
        <v>1014082</v>
      </c>
      <c r="B217" s="93" t="str">
        <f>'дод 8'!A145</f>
        <v>4082</v>
      </c>
      <c r="C217" s="93" t="str">
        <f>'дод 8'!B145</f>
        <v>0829</v>
      </c>
      <c r="D217" s="60" t="str">
        <f>'дод 8'!C145</f>
        <v>Інші заходи в галузі культури і мистецтва</v>
      </c>
      <c r="E217" s="99">
        <f t="shared" si="90"/>
        <v>1380000</v>
      </c>
      <c r="F217" s="99">
        <f>1100000+100000+85000+95000</f>
        <v>1380000</v>
      </c>
      <c r="G217" s="99"/>
      <c r="H217" s="99"/>
      <c r="I217" s="99"/>
      <c r="J217" s="99">
        <f t="shared" si="92"/>
        <v>0</v>
      </c>
      <c r="K217" s="99"/>
      <c r="L217" s="99"/>
      <c r="M217" s="99"/>
      <c r="N217" s="99"/>
      <c r="O217" s="99"/>
      <c r="P217" s="99">
        <f t="shared" si="91"/>
        <v>1380000</v>
      </c>
      <c r="Q217" s="30"/>
      <c r="R217" s="32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  <c r="IW217" s="30"/>
      <c r="IX217" s="30"/>
      <c r="IY217" s="30"/>
      <c r="IZ217" s="30"/>
      <c r="JA217" s="30"/>
      <c r="JB217" s="30"/>
      <c r="JC217" s="30"/>
      <c r="JD217" s="30"/>
      <c r="JE217" s="30"/>
      <c r="JF217" s="30"/>
      <c r="JG217" s="30"/>
      <c r="JH217" s="30"/>
      <c r="JI217" s="30"/>
      <c r="JJ217" s="30"/>
      <c r="JK217" s="30"/>
      <c r="JL217" s="30"/>
      <c r="JM217" s="30"/>
      <c r="JN217" s="30"/>
      <c r="JO217" s="30"/>
      <c r="JP217" s="30"/>
      <c r="JQ217" s="30"/>
      <c r="JR217" s="30"/>
      <c r="JS217" s="30"/>
      <c r="JT217" s="30"/>
      <c r="JU217" s="30"/>
      <c r="JV217" s="30"/>
      <c r="JW217" s="30"/>
      <c r="JX217" s="30"/>
      <c r="JY217" s="30"/>
      <c r="JZ217" s="30"/>
      <c r="KA217" s="30"/>
      <c r="KB217" s="30"/>
      <c r="KC217" s="30"/>
      <c r="KD217" s="30"/>
      <c r="KE217" s="30"/>
      <c r="KF217" s="30"/>
      <c r="KG217" s="30"/>
      <c r="KH217" s="30"/>
      <c r="KI217" s="30"/>
      <c r="KJ217" s="30"/>
      <c r="KK217" s="30"/>
      <c r="KL217" s="30"/>
      <c r="KM217" s="30"/>
      <c r="KN217" s="30"/>
      <c r="KO217" s="30"/>
      <c r="KP217" s="30"/>
      <c r="KQ217" s="30"/>
      <c r="KR217" s="30"/>
      <c r="KS217" s="30"/>
      <c r="KT217" s="30"/>
      <c r="KU217" s="30"/>
      <c r="KV217" s="30"/>
      <c r="KW217" s="30"/>
      <c r="KX217" s="30"/>
      <c r="KY217" s="30"/>
      <c r="KZ217" s="30"/>
      <c r="LA217" s="30"/>
      <c r="LB217" s="30"/>
      <c r="LC217" s="30"/>
      <c r="LD217" s="30"/>
      <c r="LE217" s="30"/>
      <c r="LF217" s="30"/>
      <c r="LG217" s="30"/>
      <c r="LH217" s="30"/>
      <c r="LI217" s="30"/>
      <c r="LJ217" s="30"/>
      <c r="LK217" s="30"/>
      <c r="LL217" s="30"/>
      <c r="LM217" s="30"/>
      <c r="LN217" s="30"/>
      <c r="LO217" s="30"/>
      <c r="LP217" s="30"/>
      <c r="LQ217" s="30"/>
      <c r="LR217" s="30"/>
      <c r="LS217" s="30"/>
      <c r="LT217" s="30"/>
      <c r="LU217" s="30"/>
      <c r="LV217" s="30"/>
      <c r="LW217" s="30"/>
      <c r="LX217" s="30"/>
      <c r="LY217" s="30"/>
      <c r="LZ217" s="30"/>
      <c r="MA217" s="30"/>
      <c r="MB217" s="30"/>
      <c r="MC217" s="30"/>
      <c r="MD217" s="30"/>
      <c r="ME217" s="30"/>
      <c r="MF217" s="30"/>
      <c r="MG217" s="30"/>
      <c r="MH217" s="30"/>
      <c r="MI217" s="30"/>
      <c r="MJ217" s="30"/>
      <c r="MK217" s="30"/>
      <c r="ML217" s="30"/>
      <c r="MM217" s="30"/>
      <c r="MN217" s="30"/>
      <c r="MO217" s="30"/>
      <c r="MP217" s="30"/>
      <c r="MQ217" s="30"/>
      <c r="MR217" s="30"/>
      <c r="MS217" s="30"/>
      <c r="MT217" s="30"/>
      <c r="MU217" s="30"/>
      <c r="MV217" s="30"/>
      <c r="MW217" s="30"/>
      <c r="MX217" s="30"/>
      <c r="MY217" s="30"/>
      <c r="MZ217" s="30"/>
      <c r="NA217" s="30"/>
      <c r="NB217" s="30"/>
      <c r="NC217" s="30"/>
      <c r="ND217" s="30"/>
      <c r="NE217" s="30"/>
      <c r="NF217" s="30"/>
      <c r="NG217" s="30"/>
      <c r="NH217" s="30"/>
      <c r="NI217" s="30"/>
      <c r="NJ217" s="30"/>
      <c r="NK217" s="30"/>
      <c r="NL217" s="30"/>
      <c r="NM217" s="30"/>
      <c r="NN217" s="30"/>
      <c r="NO217" s="30"/>
      <c r="NP217" s="30"/>
      <c r="NQ217" s="30"/>
      <c r="NR217" s="30"/>
      <c r="NS217" s="30"/>
      <c r="NT217" s="30"/>
      <c r="NU217" s="30"/>
      <c r="NV217" s="30"/>
      <c r="NW217" s="30"/>
      <c r="NX217" s="30"/>
      <c r="NY217" s="30"/>
      <c r="NZ217" s="30"/>
      <c r="OA217" s="30"/>
      <c r="OB217" s="30"/>
      <c r="OC217" s="30"/>
      <c r="OD217" s="30"/>
      <c r="OE217" s="30"/>
      <c r="OF217" s="30"/>
      <c r="OG217" s="30"/>
      <c r="OH217" s="30"/>
      <c r="OI217" s="30"/>
      <c r="OJ217" s="30"/>
      <c r="OK217" s="30"/>
      <c r="OL217" s="30"/>
      <c r="OM217" s="30"/>
      <c r="ON217" s="30"/>
      <c r="OO217" s="30"/>
      <c r="OP217" s="30"/>
      <c r="OQ217" s="30"/>
      <c r="OR217" s="30"/>
      <c r="OS217" s="30"/>
      <c r="OT217" s="30"/>
      <c r="OU217" s="30"/>
      <c r="OV217" s="30"/>
      <c r="OW217" s="30"/>
      <c r="OX217" s="30"/>
      <c r="OY217" s="30"/>
      <c r="OZ217" s="30"/>
      <c r="PA217" s="30"/>
      <c r="PB217" s="30"/>
      <c r="PC217" s="30"/>
      <c r="PD217" s="30"/>
      <c r="PE217" s="30"/>
      <c r="PF217" s="30"/>
      <c r="PG217" s="30"/>
      <c r="PH217" s="30"/>
      <c r="PI217" s="30"/>
      <c r="PJ217" s="30"/>
      <c r="PK217" s="30"/>
      <c r="PL217" s="30"/>
      <c r="PM217" s="30"/>
      <c r="PN217" s="30"/>
      <c r="PO217" s="30"/>
      <c r="PP217" s="30"/>
      <c r="PQ217" s="30"/>
      <c r="PR217" s="30"/>
      <c r="PS217" s="30"/>
      <c r="PT217" s="30"/>
      <c r="PU217" s="30"/>
      <c r="PV217" s="30"/>
      <c r="PW217" s="30"/>
      <c r="PX217" s="30"/>
      <c r="PY217" s="30"/>
      <c r="PZ217" s="30"/>
      <c r="QA217" s="30"/>
      <c r="QB217" s="30"/>
      <c r="QC217" s="30"/>
      <c r="QD217" s="30"/>
      <c r="QE217" s="30"/>
      <c r="QF217" s="30"/>
      <c r="QG217" s="30"/>
      <c r="QH217" s="30"/>
      <c r="QI217" s="30"/>
      <c r="QJ217" s="30"/>
      <c r="QK217" s="30"/>
      <c r="QL217" s="30"/>
      <c r="QM217" s="30"/>
      <c r="QN217" s="30"/>
      <c r="QO217" s="30"/>
      <c r="QP217" s="30"/>
      <c r="QQ217" s="30"/>
      <c r="QR217" s="30"/>
      <c r="QS217" s="30"/>
      <c r="QT217" s="30"/>
      <c r="QU217" s="30"/>
      <c r="QV217" s="30"/>
      <c r="QW217" s="30"/>
      <c r="QX217" s="30"/>
      <c r="QY217" s="30"/>
      <c r="QZ217" s="30"/>
      <c r="RA217" s="30"/>
      <c r="RB217" s="30"/>
      <c r="RC217" s="30"/>
      <c r="RD217" s="30"/>
      <c r="RE217" s="30"/>
      <c r="RF217" s="30"/>
      <c r="RG217" s="30"/>
      <c r="RH217" s="30"/>
      <c r="RI217" s="30"/>
      <c r="RJ217" s="30"/>
      <c r="RK217" s="30"/>
      <c r="RL217" s="30"/>
      <c r="RM217" s="30"/>
      <c r="RN217" s="30"/>
      <c r="RO217" s="30"/>
      <c r="RP217" s="30"/>
      <c r="RQ217" s="30"/>
      <c r="RR217" s="30"/>
      <c r="RS217" s="30"/>
      <c r="RT217" s="30"/>
      <c r="RU217" s="30"/>
      <c r="RV217" s="30"/>
      <c r="RW217" s="30"/>
      <c r="RX217" s="30"/>
      <c r="RY217" s="30"/>
      <c r="RZ217" s="30"/>
      <c r="SA217" s="30"/>
      <c r="SB217" s="30"/>
      <c r="SC217" s="30"/>
      <c r="SD217" s="30"/>
      <c r="SE217" s="30"/>
      <c r="SF217" s="30"/>
      <c r="SG217" s="30"/>
      <c r="SH217" s="30"/>
      <c r="SI217" s="30"/>
      <c r="SJ217" s="30"/>
      <c r="SK217" s="30"/>
      <c r="SL217" s="30"/>
      <c r="SM217" s="30"/>
      <c r="SN217" s="30"/>
      <c r="SO217" s="30"/>
      <c r="SP217" s="30"/>
      <c r="SQ217" s="30"/>
      <c r="SR217" s="30"/>
      <c r="SS217" s="30"/>
      <c r="ST217" s="30"/>
      <c r="SU217" s="30"/>
      <c r="SV217" s="30"/>
      <c r="SW217" s="30"/>
      <c r="SX217" s="30"/>
      <c r="SY217" s="30"/>
      <c r="SZ217" s="30"/>
      <c r="TA217" s="30"/>
      <c r="TB217" s="30"/>
      <c r="TC217" s="30"/>
      <c r="TD217" s="30"/>
      <c r="TE217" s="30"/>
      <c r="TF217" s="30"/>
      <c r="TG217" s="30"/>
    </row>
    <row r="218" spans="1:527" s="24" customFormat="1" ht="21.75" customHeight="1" x14ac:dyDescent="0.25">
      <c r="A218" s="59" t="s">
        <v>456</v>
      </c>
      <c r="B218" s="59" t="s">
        <v>457</v>
      </c>
      <c r="C218" s="59" t="s">
        <v>111</v>
      </c>
      <c r="D218" s="6" t="s">
        <v>551</v>
      </c>
      <c r="E218" s="99">
        <f t="shared" si="90"/>
        <v>0</v>
      </c>
      <c r="F218" s="99"/>
      <c r="G218" s="99"/>
      <c r="H218" s="99"/>
      <c r="I218" s="99"/>
      <c r="J218" s="99">
        <f t="shared" si="92"/>
        <v>570000</v>
      </c>
      <c r="K218" s="99">
        <f>950000+20000-400000</f>
        <v>570000</v>
      </c>
      <c r="L218" s="99"/>
      <c r="M218" s="99"/>
      <c r="N218" s="99"/>
      <c r="O218" s="99">
        <f>950000+20000-400000</f>
        <v>570000</v>
      </c>
      <c r="P218" s="99">
        <f t="shared" si="91"/>
        <v>570000</v>
      </c>
      <c r="Q218" s="30"/>
      <c r="R218" s="32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  <c r="IW218" s="30"/>
      <c r="IX218" s="30"/>
      <c r="IY218" s="30"/>
      <c r="IZ218" s="30"/>
      <c r="JA218" s="30"/>
      <c r="JB218" s="30"/>
      <c r="JC218" s="30"/>
      <c r="JD218" s="30"/>
      <c r="JE218" s="30"/>
      <c r="JF218" s="30"/>
      <c r="JG218" s="30"/>
      <c r="JH218" s="30"/>
      <c r="JI218" s="30"/>
      <c r="JJ218" s="30"/>
      <c r="JK218" s="30"/>
      <c r="JL218" s="30"/>
      <c r="JM218" s="30"/>
      <c r="JN218" s="30"/>
      <c r="JO218" s="30"/>
      <c r="JP218" s="30"/>
      <c r="JQ218" s="30"/>
      <c r="JR218" s="30"/>
      <c r="JS218" s="30"/>
      <c r="JT218" s="30"/>
      <c r="JU218" s="30"/>
      <c r="JV218" s="30"/>
      <c r="JW218" s="30"/>
      <c r="JX218" s="30"/>
      <c r="JY218" s="30"/>
      <c r="JZ218" s="30"/>
      <c r="KA218" s="30"/>
      <c r="KB218" s="30"/>
      <c r="KC218" s="30"/>
      <c r="KD218" s="30"/>
      <c r="KE218" s="30"/>
      <c r="KF218" s="30"/>
      <c r="KG218" s="30"/>
      <c r="KH218" s="30"/>
      <c r="KI218" s="30"/>
      <c r="KJ218" s="30"/>
      <c r="KK218" s="30"/>
      <c r="KL218" s="30"/>
      <c r="KM218" s="30"/>
      <c r="KN218" s="30"/>
      <c r="KO218" s="30"/>
      <c r="KP218" s="30"/>
      <c r="KQ218" s="30"/>
      <c r="KR218" s="30"/>
      <c r="KS218" s="30"/>
      <c r="KT218" s="30"/>
      <c r="KU218" s="30"/>
      <c r="KV218" s="30"/>
      <c r="KW218" s="30"/>
      <c r="KX218" s="30"/>
      <c r="KY218" s="30"/>
      <c r="KZ218" s="30"/>
      <c r="LA218" s="30"/>
      <c r="LB218" s="30"/>
      <c r="LC218" s="30"/>
      <c r="LD218" s="30"/>
      <c r="LE218" s="30"/>
      <c r="LF218" s="30"/>
      <c r="LG218" s="30"/>
      <c r="LH218" s="30"/>
      <c r="LI218" s="30"/>
      <c r="LJ218" s="30"/>
      <c r="LK218" s="30"/>
      <c r="LL218" s="30"/>
      <c r="LM218" s="30"/>
      <c r="LN218" s="30"/>
      <c r="LO218" s="30"/>
      <c r="LP218" s="30"/>
      <c r="LQ218" s="30"/>
      <c r="LR218" s="30"/>
      <c r="LS218" s="30"/>
      <c r="LT218" s="30"/>
      <c r="LU218" s="30"/>
      <c r="LV218" s="30"/>
      <c r="LW218" s="30"/>
      <c r="LX218" s="30"/>
      <c r="LY218" s="30"/>
      <c r="LZ218" s="30"/>
      <c r="MA218" s="30"/>
      <c r="MB218" s="30"/>
      <c r="MC218" s="30"/>
      <c r="MD218" s="30"/>
      <c r="ME218" s="30"/>
      <c r="MF218" s="30"/>
      <c r="MG218" s="30"/>
      <c r="MH218" s="30"/>
      <c r="MI218" s="30"/>
      <c r="MJ218" s="30"/>
      <c r="MK218" s="30"/>
      <c r="ML218" s="30"/>
      <c r="MM218" s="30"/>
      <c r="MN218" s="30"/>
      <c r="MO218" s="30"/>
      <c r="MP218" s="30"/>
      <c r="MQ218" s="30"/>
      <c r="MR218" s="30"/>
      <c r="MS218" s="30"/>
      <c r="MT218" s="30"/>
      <c r="MU218" s="30"/>
      <c r="MV218" s="30"/>
      <c r="MW218" s="30"/>
      <c r="MX218" s="30"/>
      <c r="MY218" s="30"/>
      <c r="MZ218" s="30"/>
      <c r="NA218" s="30"/>
      <c r="NB218" s="30"/>
      <c r="NC218" s="30"/>
      <c r="ND218" s="30"/>
      <c r="NE218" s="30"/>
      <c r="NF218" s="30"/>
      <c r="NG218" s="30"/>
      <c r="NH218" s="30"/>
      <c r="NI218" s="30"/>
      <c r="NJ218" s="30"/>
      <c r="NK218" s="30"/>
      <c r="NL218" s="30"/>
      <c r="NM218" s="30"/>
      <c r="NN218" s="30"/>
      <c r="NO218" s="30"/>
      <c r="NP218" s="30"/>
      <c r="NQ218" s="30"/>
      <c r="NR218" s="30"/>
      <c r="NS218" s="30"/>
      <c r="NT218" s="30"/>
      <c r="NU218" s="30"/>
      <c r="NV218" s="30"/>
      <c r="NW218" s="30"/>
      <c r="NX218" s="30"/>
      <c r="NY218" s="30"/>
      <c r="NZ218" s="30"/>
      <c r="OA218" s="30"/>
      <c r="OB218" s="30"/>
      <c r="OC218" s="30"/>
      <c r="OD218" s="30"/>
      <c r="OE218" s="30"/>
      <c r="OF218" s="30"/>
      <c r="OG218" s="30"/>
      <c r="OH218" s="30"/>
      <c r="OI218" s="30"/>
      <c r="OJ218" s="30"/>
      <c r="OK218" s="30"/>
      <c r="OL218" s="30"/>
      <c r="OM218" s="30"/>
      <c r="ON218" s="30"/>
      <c r="OO218" s="30"/>
      <c r="OP218" s="30"/>
      <c r="OQ218" s="30"/>
      <c r="OR218" s="30"/>
      <c r="OS218" s="30"/>
      <c r="OT218" s="30"/>
      <c r="OU218" s="30"/>
      <c r="OV218" s="30"/>
      <c r="OW218" s="30"/>
      <c r="OX218" s="30"/>
      <c r="OY218" s="30"/>
      <c r="OZ218" s="30"/>
      <c r="PA218" s="30"/>
      <c r="PB218" s="30"/>
      <c r="PC218" s="30"/>
      <c r="PD218" s="30"/>
      <c r="PE218" s="30"/>
      <c r="PF218" s="30"/>
      <c r="PG218" s="30"/>
      <c r="PH218" s="30"/>
      <c r="PI218" s="30"/>
      <c r="PJ218" s="30"/>
      <c r="PK218" s="30"/>
      <c r="PL218" s="30"/>
      <c r="PM218" s="30"/>
      <c r="PN218" s="30"/>
      <c r="PO218" s="30"/>
      <c r="PP218" s="30"/>
      <c r="PQ218" s="30"/>
      <c r="PR218" s="30"/>
      <c r="PS218" s="30"/>
      <c r="PT218" s="30"/>
      <c r="PU218" s="30"/>
      <c r="PV218" s="30"/>
      <c r="PW218" s="30"/>
      <c r="PX218" s="30"/>
      <c r="PY218" s="30"/>
      <c r="PZ218" s="30"/>
      <c r="QA218" s="30"/>
      <c r="QB218" s="30"/>
      <c r="QC218" s="30"/>
      <c r="QD218" s="30"/>
      <c r="QE218" s="30"/>
      <c r="QF218" s="30"/>
      <c r="QG218" s="30"/>
      <c r="QH218" s="30"/>
      <c r="QI218" s="30"/>
      <c r="QJ218" s="30"/>
      <c r="QK218" s="30"/>
      <c r="QL218" s="30"/>
      <c r="QM218" s="30"/>
      <c r="QN218" s="30"/>
      <c r="QO218" s="30"/>
      <c r="QP218" s="30"/>
      <c r="QQ218" s="30"/>
      <c r="QR218" s="30"/>
      <c r="QS218" s="30"/>
      <c r="QT218" s="30"/>
      <c r="QU218" s="30"/>
      <c r="QV218" s="30"/>
      <c r="QW218" s="30"/>
      <c r="QX218" s="30"/>
      <c r="QY218" s="30"/>
      <c r="QZ218" s="30"/>
      <c r="RA218" s="30"/>
      <c r="RB218" s="30"/>
      <c r="RC218" s="30"/>
      <c r="RD218" s="30"/>
      <c r="RE218" s="30"/>
      <c r="RF218" s="30"/>
      <c r="RG218" s="30"/>
      <c r="RH218" s="30"/>
      <c r="RI218" s="30"/>
      <c r="RJ218" s="30"/>
      <c r="RK218" s="30"/>
      <c r="RL218" s="30"/>
      <c r="RM218" s="30"/>
      <c r="RN218" s="30"/>
      <c r="RO218" s="30"/>
      <c r="RP218" s="30"/>
      <c r="RQ218" s="30"/>
      <c r="RR218" s="30"/>
      <c r="RS218" s="30"/>
      <c r="RT218" s="30"/>
      <c r="RU218" s="30"/>
      <c r="RV218" s="30"/>
      <c r="RW218" s="30"/>
      <c r="RX218" s="30"/>
      <c r="RY218" s="30"/>
      <c r="RZ218" s="30"/>
      <c r="SA218" s="30"/>
      <c r="SB218" s="30"/>
      <c r="SC218" s="30"/>
      <c r="SD218" s="30"/>
      <c r="SE218" s="30"/>
      <c r="SF218" s="30"/>
      <c r="SG218" s="30"/>
      <c r="SH218" s="30"/>
      <c r="SI218" s="30"/>
      <c r="SJ218" s="30"/>
      <c r="SK218" s="30"/>
      <c r="SL218" s="30"/>
      <c r="SM218" s="30"/>
      <c r="SN218" s="30"/>
      <c r="SO218" s="30"/>
      <c r="SP218" s="30"/>
      <c r="SQ218" s="30"/>
      <c r="SR218" s="30"/>
      <c r="SS218" s="30"/>
      <c r="ST218" s="30"/>
      <c r="SU218" s="30"/>
      <c r="SV218" s="30"/>
      <c r="SW218" s="30"/>
      <c r="SX218" s="30"/>
      <c r="SY218" s="30"/>
      <c r="SZ218" s="30"/>
      <c r="TA218" s="30"/>
      <c r="TB218" s="30"/>
      <c r="TC218" s="30"/>
      <c r="TD218" s="30"/>
      <c r="TE218" s="30"/>
      <c r="TF218" s="30"/>
      <c r="TG218" s="30"/>
    </row>
    <row r="219" spans="1:527" s="22" customFormat="1" ht="22.5" customHeight="1" x14ac:dyDescent="0.25">
      <c r="A219" s="59" t="s">
        <v>145</v>
      </c>
      <c r="B219" s="93" t="str">
        <f>'дод 8'!A215</f>
        <v>7640</v>
      </c>
      <c r="C219" s="93" t="str">
        <f>'дод 8'!B215</f>
        <v>0470</v>
      </c>
      <c r="D219" s="60" t="s">
        <v>422</v>
      </c>
      <c r="E219" s="99">
        <f t="shared" si="90"/>
        <v>0</v>
      </c>
      <c r="F219" s="99"/>
      <c r="G219" s="99"/>
      <c r="H219" s="99"/>
      <c r="I219" s="99"/>
      <c r="J219" s="99">
        <f t="shared" si="92"/>
        <v>1500000</v>
      </c>
      <c r="K219" s="99">
        <v>1500000</v>
      </c>
      <c r="L219" s="99"/>
      <c r="M219" s="99"/>
      <c r="N219" s="99"/>
      <c r="O219" s="99">
        <v>1500000</v>
      </c>
      <c r="P219" s="99">
        <f t="shared" si="91"/>
        <v>1500000</v>
      </c>
      <c r="Q219" s="23"/>
      <c r="R219" s="32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</row>
    <row r="220" spans="1:527" s="22" customFormat="1" ht="22.5" hidden="1" customHeight="1" x14ac:dyDescent="0.25">
      <c r="A220" s="59">
        <v>1018340</v>
      </c>
      <c r="B220" s="93" t="str">
        <f>'дод 8'!A237</f>
        <v>8340</v>
      </c>
      <c r="C220" s="93" t="str">
        <f>'дод 8'!B237</f>
        <v>0540</v>
      </c>
      <c r="D220" s="117" t="str">
        <f>'дод 8'!C237</f>
        <v>Природоохоронні заходи за рахунок цільових фондів</v>
      </c>
      <c r="E220" s="99">
        <f t="shared" si="90"/>
        <v>0</v>
      </c>
      <c r="F220" s="99"/>
      <c r="G220" s="99"/>
      <c r="H220" s="99"/>
      <c r="I220" s="99"/>
      <c r="J220" s="99">
        <f t="shared" si="92"/>
        <v>0</v>
      </c>
      <c r="K220" s="99"/>
      <c r="L220" s="99"/>
      <c r="M220" s="99"/>
      <c r="N220" s="99"/>
      <c r="O220" s="99"/>
      <c r="P220" s="99">
        <f t="shared" si="91"/>
        <v>0</v>
      </c>
      <c r="Q220" s="23"/>
      <c r="R220" s="32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</row>
    <row r="221" spans="1:527" s="27" customFormat="1" ht="34.5" customHeight="1" x14ac:dyDescent="0.25">
      <c r="A221" s="110" t="s">
        <v>194</v>
      </c>
      <c r="B221" s="112"/>
      <c r="C221" s="112"/>
      <c r="D221" s="107" t="s">
        <v>32</v>
      </c>
      <c r="E221" s="95">
        <f>E222</f>
        <v>311105388.13999999</v>
      </c>
      <c r="F221" s="95">
        <f t="shared" ref="F221:J221" si="93">F222</f>
        <v>279021219.65999997</v>
      </c>
      <c r="G221" s="95">
        <f t="shared" si="93"/>
        <v>11254400</v>
      </c>
      <c r="H221" s="95">
        <f t="shared" si="93"/>
        <v>35325325</v>
      </c>
      <c r="I221" s="95">
        <f t="shared" si="93"/>
        <v>32084168.48</v>
      </c>
      <c r="J221" s="95">
        <f t="shared" si="93"/>
        <v>185838584.79999995</v>
      </c>
      <c r="K221" s="95">
        <f t="shared" ref="K221" si="94">K222</f>
        <v>178811818.22999996</v>
      </c>
      <c r="L221" s="95">
        <f t="shared" ref="L221" si="95">L222</f>
        <v>3732686.5700000003</v>
      </c>
      <c r="M221" s="95">
        <f t="shared" ref="M221" si="96">M222</f>
        <v>0</v>
      </c>
      <c r="N221" s="95">
        <f t="shared" ref="N221" si="97">N222</f>
        <v>0</v>
      </c>
      <c r="O221" s="95">
        <f t="shared" ref="O221:P221" si="98">O222</f>
        <v>182105898.22999996</v>
      </c>
      <c r="P221" s="95">
        <f t="shared" si="98"/>
        <v>496943972.94</v>
      </c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  <c r="IT221" s="32"/>
      <c r="IU221" s="32"/>
      <c r="IV221" s="32"/>
      <c r="IW221" s="32"/>
      <c r="IX221" s="32"/>
      <c r="IY221" s="32"/>
      <c r="IZ221" s="32"/>
      <c r="JA221" s="32"/>
      <c r="JB221" s="32"/>
      <c r="JC221" s="32"/>
      <c r="JD221" s="32"/>
      <c r="JE221" s="32"/>
      <c r="JF221" s="32"/>
      <c r="JG221" s="32"/>
      <c r="JH221" s="32"/>
      <c r="JI221" s="32"/>
      <c r="JJ221" s="32"/>
      <c r="JK221" s="32"/>
      <c r="JL221" s="32"/>
      <c r="JM221" s="32"/>
      <c r="JN221" s="32"/>
      <c r="JO221" s="32"/>
      <c r="JP221" s="32"/>
      <c r="JQ221" s="32"/>
      <c r="JR221" s="32"/>
      <c r="JS221" s="32"/>
      <c r="JT221" s="32"/>
      <c r="JU221" s="32"/>
      <c r="JV221" s="32"/>
      <c r="JW221" s="32"/>
      <c r="JX221" s="32"/>
      <c r="JY221" s="32"/>
      <c r="JZ221" s="32"/>
      <c r="KA221" s="32"/>
      <c r="KB221" s="32"/>
      <c r="KC221" s="32"/>
      <c r="KD221" s="32"/>
      <c r="KE221" s="32"/>
      <c r="KF221" s="32"/>
      <c r="KG221" s="32"/>
      <c r="KH221" s="32"/>
      <c r="KI221" s="32"/>
      <c r="KJ221" s="32"/>
      <c r="KK221" s="32"/>
      <c r="KL221" s="32"/>
      <c r="KM221" s="32"/>
      <c r="KN221" s="32"/>
      <c r="KO221" s="32"/>
      <c r="KP221" s="32"/>
      <c r="KQ221" s="32"/>
      <c r="KR221" s="32"/>
      <c r="KS221" s="32"/>
      <c r="KT221" s="32"/>
      <c r="KU221" s="32"/>
      <c r="KV221" s="32"/>
      <c r="KW221" s="32"/>
      <c r="KX221" s="32"/>
      <c r="KY221" s="32"/>
      <c r="KZ221" s="32"/>
      <c r="LA221" s="32"/>
      <c r="LB221" s="32"/>
      <c r="LC221" s="32"/>
      <c r="LD221" s="32"/>
      <c r="LE221" s="32"/>
      <c r="LF221" s="32"/>
      <c r="LG221" s="32"/>
      <c r="LH221" s="32"/>
      <c r="LI221" s="32"/>
      <c r="LJ221" s="32"/>
      <c r="LK221" s="32"/>
      <c r="LL221" s="32"/>
      <c r="LM221" s="32"/>
      <c r="LN221" s="32"/>
      <c r="LO221" s="32"/>
      <c r="LP221" s="32"/>
      <c r="LQ221" s="32"/>
      <c r="LR221" s="32"/>
      <c r="LS221" s="32"/>
      <c r="LT221" s="32"/>
      <c r="LU221" s="32"/>
      <c r="LV221" s="32"/>
      <c r="LW221" s="32"/>
      <c r="LX221" s="32"/>
      <c r="LY221" s="32"/>
      <c r="LZ221" s="32"/>
      <c r="MA221" s="32"/>
      <c r="MB221" s="32"/>
      <c r="MC221" s="32"/>
      <c r="MD221" s="32"/>
      <c r="ME221" s="32"/>
      <c r="MF221" s="32"/>
      <c r="MG221" s="32"/>
      <c r="MH221" s="32"/>
      <c r="MI221" s="32"/>
      <c r="MJ221" s="32"/>
      <c r="MK221" s="32"/>
      <c r="ML221" s="32"/>
      <c r="MM221" s="32"/>
      <c r="MN221" s="32"/>
      <c r="MO221" s="32"/>
      <c r="MP221" s="32"/>
      <c r="MQ221" s="32"/>
      <c r="MR221" s="32"/>
      <c r="MS221" s="32"/>
      <c r="MT221" s="32"/>
      <c r="MU221" s="32"/>
      <c r="MV221" s="32"/>
      <c r="MW221" s="32"/>
      <c r="MX221" s="32"/>
      <c r="MY221" s="32"/>
      <c r="MZ221" s="32"/>
      <c r="NA221" s="32"/>
      <c r="NB221" s="32"/>
      <c r="NC221" s="32"/>
      <c r="ND221" s="32"/>
      <c r="NE221" s="32"/>
      <c r="NF221" s="32"/>
      <c r="NG221" s="32"/>
      <c r="NH221" s="32"/>
      <c r="NI221" s="32"/>
      <c r="NJ221" s="32"/>
      <c r="NK221" s="32"/>
      <c r="NL221" s="32"/>
      <c r="NM221" s="32"/>
      <c r="NN221" s="32"/>
      <c r="NO221" s="32"/>
      <c r="NP221" s="32"/>
      <c r="NQ221" s="32"/>
      <c r="NR221" s="32"/>
      <c r="NS221" s="32"/>
      <c r="NT221" s="32"/>
      <c r="NU221" s="32"/>
      <c r="NV221" s="32"/>
      <c r="NW221" s="32"/>
      <c r="NX221" s="32"/>
      <c r="NY221" s="32"/>
      <c r="NZ221" s="32"/>
      <c r="OA221" s="32"/>
      <c r="OB221" s="32"/>
      <c r="OC221" s="32"/>
      <c r="OD221" s="32"/>
      <c r="OE221" s="32"/>
      <c r="OF221" s="32"/>
      <c r="OG221" s="32"/>
      <c r="OH221" s="32"/>
      <c r="OI221" s="32"/>
      <c r="OJ221" s="32"/>
      <c r="OK221" s="32"/>
      <c r="OL221" s="32"/>
      <c r="OM221" s="32"/>
      <c r="ON221" s="32"/>
      <c r="OO221" s="32"/>
      <c r="OP221" s="32"/>
      <c r="OQ221" s="32"/>
      <c r="OR221" s="32"/>
      <c r="OS221" s="32"/>
      <c r="OT221" s="32"/>
      <c r="OU221" s="32"/>
      <c r="OV221" s="32"/>
      <c r="OW221" s="32"/>
      <c r="OX221" s="32"/>
      <c r="OY221" s="32"/>
      <c r="OZ221" s="32"/>
      <c r="PA221" s="32"/>
      <c r="PB221" s="32"/>
      <c r="PC221" s="32"/>
      <c r="PD221" s="32"/>
      <c r="PE221" s="32"/>
      <c r="PF221" s="32"/>
      <c r="PG221" s="32"/>
      <c r="PH221" s="32"/>
      <c r="PI221" s="32"/>
      <c r="PJ221" s="32"/>
      <c r="PK221" s="32"/>
      <c r="PL221" s="32"/>
      <c r="PM221" s="32"/>
      <c r="PN221" s="32"/>
      <c r="PO221" s="32"/>
      <c r="PP221" s="32"/>
      <c r="PQ221" s="32"/>
      <c r="PR221" s="32"/>
      <c r="PS221" s="32"/>
      <c r="PT221" s="32"/>
      <c r="PU221" s="32"/>
      <c r="PV221" s="32"/>
      <c r="PW221" s="32"/>
      <c r="PX221" s="32"/>
      <c r="PY221" s="32"/>
      <c r="PZ221" s="32"/>
      <c r="QA221" s="32"/>
      <c r="QB221" s="32"/>
      <c r="QC221" s="32"/>
      <c r="QD221" s="32"/>
      <c r="QE221" s="32"/>
      <c r="QF221" s="32"/>
      <c r="QG221" s="32"/>
      <c r="QH221" s="32"/>
      <c r="QI221" s="32"/>
      <c r="QJ221" s="32"/>
      <c r="QK221" s="32"/>
      <c r="QL221" s="32"/>
      <c r="QM221" s="32"/>
      <c r="QN221" s="32"/>
      <c r="QO221" s="32"/>
      <c r="QP221" s="32"/>
      <c r="QQ221" s="32"/>
      <c r="QR221" s="32"/>
      <c r="QS221" s="32"/>
      <c r="QT221" s="32"/>
      <c r="QU221" s="32"/>
      <c r="QV221" s="32"/>
      <c r="QW221" s="32"/>
      <c r="QX221" s="32"/>
      <c r="QY221" s="32"/>
      <c r="QZ221" s="32"/>
      <c r="RA221" s="32"/>
      <c r="RB221" s="32"/>
      <c r="RC221" s="32"/>
      <c r="RD221" s="32"/>
      <c r="RE221" s="32"/>
      <c r="RF221" s="32"/>
      <c r="RG221" s="32"/>
      <c r="RH221" s="32"/>
      <c r="RI221" s="32"/>
      <c r="RJ221" s="32"/>
      <c r="RK221" s="32"/>
      <c r="RL221" s="32"/>
      <c r="RM221" s="32"/>
      <c r="RN221" s="32"/>
      <c r="RO221" s="32"/>
      <c r="RP221" s="32"/>
      <c r="RQ221" s="32"/>
      <c r="RR221" s="32"/>
      <c r="RS221" s="32"/>
      <c r="RT221" s="32"/>
      <c r="RU221" s="32"/>
      <c r="RV221" s="32"/>
      <c r="RW221" s="32"/>
      <c r="RX221" s="32"/>
      <c r="RY221" s="32"/>
      <c r="RZ221" s="32"/>
      <c r="SA221" s="32"/>
      <c r="SB221" s="32"/>
      <c r="SC221" s="32"/>
      <c r="SD221" s="32"/>
      <c r="SE221" s="32"/>
      <c r="SF221" s="32"/>
      <c r="SG221" s="32"/>
      <c r="SH221" s="32"/>
      <c r="SI221" s="32"/>
      <c r="SJ221" s="32"/>
      <c r="SK221" s="32"/>
      <c r="SL221" s="32"/>
      <c r="SM221" s="32"/>
      <c r="SN221" s="32"/>
      <c r="SO221" s="32"/>
      <c r="SP221" s="32"/>
      <c r="SQ221" s="32"/>
      <c r="SR221" s="32"/>
      <c r="SS221" s="32"/>
      <c r="ST221" s="32"/>
      <c r="SU221" s="32"/>
      <c r="SV221" s="32"/>
      <c r="SW221" s="32"/>
      <c r="SX221" s="32"/>
      <c r="SY221" s="32"/>
      <c r="SZ221" s="32"/>
      <c r="TA221" s="32"/>
      <c r="TB221" s="32"/>
      <c r="TC221" s="32"/>
      <c r="TD221" s="32"/>
      <c r="TE221" s="32"/>
      <c r="TF221" s="32"/>
      <c r="TG221" s="32"/>
    </row>
    <row r="222" spans="1:527" s="34" customFormat="1" ht="31.5" x14ac:dyDescent="0.25">
      <c r="A222" s="96" t="s">
        <v>195</v>
      </c>
      <c r="B222" s="109"/>
      <c r="C222" s="109"/>
      <c r="D222" s="77" t="s">
        <v>396</v>
      </c>
      <c r="E222" s="98">
        <f t="shared" ref="E222:P222" si="99">E229+E230+E231+E232+E233+E234+E235+E236+E237+E240+E241+E242+E244+E243+E246+E248+E253+E255+E256+E257+E259+E262+E263+E264+E245+E250+E261+E260+E238</f>
        <v>311105388.13999999</v>
      </c>
      <c r="F222" s="98">
        <f t="shared" si="99"/>
        <v>279021219.65999997</v>
      </c>
      <c r="G222" s="98">
        <f t="shared" si="99"/>
        <v>11254400</v>
      </c>
      <c r="H222" s="98">
        <f t="shared" si="99"/>
        <v>35325325</v>
      </c>
      <c r="I222" s="98">
        <f t="shared" si="99"/>
        <v>32084168.48</v>
      </c>
      <c r="J222" s="98">
        <f t="shared" si="99"/>
        <v>185838584.79999995</v>
      </c>
      <c r="K222" s="98">
        <f t="shared" si="99"/>
        <v>178811818.22999996</v>
      </c>
      <c r="L222" s="98">
        <f t="shared" si="99"/>
        <v>3732686.5700000003</v>
      </c>
      <c r="M222" s="98">
        <f t="shared" si="99"/>
        <v>0</v>
      </c>
      <c r="N222" s="98">
        <f t="shared" si="99"/>
        <v>0</v>
      </c>
      <c r="O222" s="98">
        <f t="shared" si="99"/>
        <v>182105898.22999996</v>
      </c>
      <c r="P222" s="98">
        <f t="shared" si="99"/>
        <v>496943972.94</v>
      </c>
      <c r="Q222" s="33"/>
      <c r="R222" s="32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  <c r="IW222" s="33"/>
      <c r="IX222" s="33"/>
      <c r="IY222" s="33"/>
      <c r="IZ222" s="33"/>
      <c r="JA222" s="33"/>
      <c r="JB222" s="33"/>
      <c r="JC222" s="33"/>
      <c r="JD222" s="33"/>
      <c r="JE222" s="33"/>
      <c r="JF222" s="33"/>
      <c r="JG222" s="33"/>
      <c r="JH222" s="33"/>
      <c r="JI222" s="33"/>
      <c r="JJ222" s="33"/>
      <c r="JK222" s="33"/>
      <c r="JL222" s="33"/>
      <c r="JM222" s="33"/>
      <c r="JN222" s="33"/>
      <c r="JO222" s="33"/>
      <c r="JP222" s="33"/>
      <c r="JQ222" s="33"/>
      <c r="JR222" s="33"/>
      <c r="JS222" s="33"/>
      <c r="JT222" s="33"/>
      <c r="JU222" s="33"/>
      <c r="JV222" s="33"/>
      <c r="JW222" s="33"/>
      <c r="JX222" s="33"/>
      <c r="JY222" s="33"/>
      <c r="JZ222" s="33"/>
      <c r="KA222" s="33"/>
      <c r="KB222" s="33"/>
      <c r="KC222" s="33"/>
      <c r="KD222" s="33"/>
      <c r="KE222" s="33"/>
      <c r="KF222" s="33"/>
      <c r="KG222" s="33"/>
      <c r="KH222" s="33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3"/>
      <c r="KY222" s="33"/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3"/>
      <c r="LO222" s="33"/>
      <c r="LP222" s="33"/>
      <c r="LQ222" s="33"/>
      <c r="LR222" s="33"/>
      <c r="LS222" s="33"/>
      <c r="LT222" s="33"/>
      <c r="LU222" s="33"/>
      <c r="LV222" s="33"/>
      <c r="LW222" s="33"/>
      <c r="LX222" s="33"/>
      <c r="LY222" s="33"/>
      <c r="LZ222" s="33"/>
      <c r="MA222" s="33"/>
      <c r="MB222" s="33"/>
      <c r="MC222" s="33"/>
      <c r="MD222" s="33"/>
      <c r="ME222" s="33"/>
      <c r="MF222" s="33"/>
      <c r="MG222" s="33"/>
      <c r="MH222" s="33"/>
      <c r="MI222" s="33"/>
      <c r="MJ222" s="33"/>
      <c r="MK222" s="33"/>
      <c r="ML222" s="33"/>
      <c r="MM222" s="33"/>
      <c r="MN222" s="33"/>
      <c r="MO222" s="33"/>
      <c r="MP222" s="33"/>
      <c r="MQ222" s="33"/>
      <c r="MR222" s="33"/>
      <c r="MS222" s="33"/>
      <c r="MT222" s="33"/>
      <c r="MU222" s="33"/>
      <c r="MV222" s="33"/>
      <c r="MW222" s="33"/>
      <c r="MX222" s="33"/>
      <c r="MY222" s="33"/>
      <c r="MZ222" s="33"/>
      <c r="NA222" s="33"/>
      <c r="NB222" s="33"/>
      <c r="NC222" s="33"/>
      <c r="ND222" s="33"/>
      <c r="NE222" s="33"/>
      <c r="NF222" s="33"/>
      <c r="NG222" s="33"/>
      <c r="NH222" s="33"/>
      <c r="NI222" s="33"/>
      <c r="NJ222" s="33"/>
      <c r="NK222" s="33"/>
      <c r="NL222" s="33"/>
      <c r="NM222" s="33"/>
      <c r="NN222" s="33"/>
      <c r="NO222" s="33"/>
      <c r="NP222" s="33"/>
      <c r="NQ222" s="33"/>
      <c r="NR222" s="33"/>
      <c r="NS222" s="33"/>
      <c r="NT222" s="33"/>
      <c r="NU222" s="33"/>
      <c r="NV222" s="33"/>
      <c r="NW222" s="33"/>
      <c r="NX222" s="33"/>
      <c r="NY222" s="33"/>
      <c r="NZ222" s="33"/>
      <c r="OA222" s="33"/>
      <c r="OB222" s="33"/>
      <c r="OC222" s="33"/>
      <c r="OD222" s="33"/>
      <c r="OE222" s="33"/>
      <c r="OF222" s="33"/>
      <c r="OG222" s="33"/>
      <c r="OH222" s="33"/>
      <c r="OI222" s="33"/>
      <c r="OJ222" s="33"/>
      <c r="OK222" s="33"/>
      <c r="OL222" s="33"/>
      <c r="OM222" s="33"/>
      <c r="ON222" s="33"/>
      <c r="OO222" s="33"/>
      <c r="OP222" s="33"/>
      <c r="OQ222" s="33"/>
      <c r="OR222" s="33"/>
      <c r="OS222" s="33"/>
      <c r="OT222" s="33"/>
      <c r="OU222" s="33"/>
      <c r="OV222" s="33"/>
      <c r="OW222" s="33"/>
      <c r="OX222" s="33"/>
      <c r="OY222" s="33"/>
      <c r="OZ222" s="33"/>
      <c r="PA222" s="33"/>
      <c r="PB222" s="33"/>
      <c r="PC222" s="33"/>
      <c r="PD222" s="33"/>
      <c r="PE222" s="33"/>
      <c r="PF222" s="33"/>
      <c r="PG222" s="33"/>
      <c r="PH222" s="33"/>
      <c r="PI222" s="33"/>
      <c r="PJ222" s="33"/>
      <c r="PK222" s="33"/>
      <c r="PL222" s="33"/>
      <c r="PM222" s="33"/>
      <c r="PN222" s="33"/>
      <c r="PO222" s="33"/>
      <c r="PP222" s="33"/>
      <c r="PQ222" s="33"/>
      <c r="PR222" s="33"/>
      <c r="PS222" s="33"/>
      <c r="PT222" s="33"/>
      <c r="PU222" s="33"/>
      <c r="PV222" s="33"/>
      <c r="PW222" s="33"/>
      <c r="PX222" s="33"/>
      <c r="PY222" s="33"/>
      <c r="PZ222" s="33"/>
      <c r="QA222" s="33"/>
      <c r="QB222" s="33"/>
      <c r="QC222" s="33"/>
      <c r="QD222" s="33"/>
      <c r="QE222" s="33"/>
      <c r="QF222" s="33"/>
      <c r="QG222" s="33"/>
      <c r="QH222" s="33"/>
      <c r="QI222" s="33"/>
      <c r="QJ222" s="33"/>
      <c r="QK222" s="33"/>
      <c r="QL222" s="33"/>
      <c r="QM222" s="33"/>
      <c r="QN222" s="33"/>
      <c r="QO222" s="33"/>
      <c r="QP222" s="33"/>
      <c r="QQ222" s="33"/>
      <c r="QR222" s="33"/>
      <c r="QS222" s="33"/>
      <c r="QT222" s="33"/>
      <c r="QU222" s="33"/>
      <c r="QV222" s="33"/>
      <c r="QW222" s="33"/>
      <c r="QX222" s="33"/>
      <c r="QY222" s="33"/>
      <c r="QZ222" s="33"/>
      <c r="RA222" s="33"/>
      <c r="RB222" s="33"/>
      <c r="RC222" s="33"/>
      <c r="RD222" s="33"/>
      <c r="RE222" s="33"/>
      <c r="RF222" s="33"/>
      <c r="RG222" s="33"/>
      <c r="RH222" s="33"/>
      <c r="RI222" s="33"/>
      <c r="RJ222" s="33"/>
      <c r="RK222" s="33"/>
      <c r="RL222" s="33"/>
      <c r="RM222" s="33"/>
      <c r="RN222" s="33"/>
      <c r="RO222" s="33"/>
      <c r="RP222" s="33"/>
      <c r="RQ222" s="33"/>
      <c r="RR222" s="33"/>
      <c r="RS222" s="33"/>
      <c r="RT222" s="33"/>
      <c r="RU222" s="33"/>
      <c r="RV222" s="33"/>
      <c r="RW222" s="33"/>
      <c r="RX222" s="33"/>
      <c r="RY222" s="33"/>
      <c r="RZ222" s="33"/>
      <c r="SA222" s="33"/>
      <c r="SB222" s="33"/>
      <c r="SC222" s="33"/>
      <c r="SD222" s="33"/>
      <c r="SE222" s="33"/>
      <c r="SF222" s="33"/>
      <c r="SG222" s="33"/>
      <c r="SH222" s="33"/>
      <c r="SI222" s="33"/>
      <c r="SJ222" s="33"/>
      <c r="SK222" s="33"/>
      <c r="SL222" s="33"/>
      <c r="SM222" s="33"/>
      <c r="SN222" s="33"/>
      <c r="SO222" s="33"/>
      <c r="SP222" s="33"/>
      <c r="SQ222" s="33"/>
      <c r="SR222" s="33"/>
      <c r="SS222" s="33"/>
      <c r="ST222" s="33"/>
      <c r="SU222" s="33"/>
      <c r="SV222" s="33"/>
      <c r="SW222" s="33"/>
      <c r="SX222" s="33"/>
      <c r="SY222" s="33"/>
      <c r="SZ222" s="33"/>
      <c r="TA222" s="33"/>
      <c r="TB222" s="33"/>
      <c r="TC222" s="33"/>
      <c r="TD222" s="33"/>
      <c r="TE222" s="33"/>
      <c r="TF222" s="33"/>
      <c r="TG222" s="33"/>
    </row>
    <row r="223" spans="1:527" s="34" customFormat="1" ht="117.75" customHeight="1" x14ac:dyDescent="0.25">
      <c r="A223" s="96"/>
      <c r="B223" s="109"/>
      <c r="C223" s="109"/>
      <c r="D223" s="77" t="s">
        <v>397</v>
      </c>
      <c r="E223" s="98">
        <f>E251</f>
        <v>0</v>
      </c>
      <c r="F223" s="98">
        <f t="shared" ref="F223:P223" si="100">F251</f>
        <v>0</v>
      </c>
      <c r="G223" s="98">
        <f t="shared" si="100"/>
        <v>0</v>
      </c>
      <c r="H223" s="98">
        <f t="shared" si="100"/>
        <v>0</v>
      </c>
      <c r="I223" s="98">
        <f t="shared" si="100"/>
        <v>0</v>
      </c>
      <c r="J223" s="98">
        <f t="shared" si="100"/>
        <v>0</v>
      </c>
      <c r="K223" s="98">
        <f t="shared" si="100"/>
        <v>0</v>
      </c>
      <c r="L223" s="98">
        <f t="shared" si="100"/>
        <v>0</v>
      </c>
      <c r="M223" s="98">
        <f t="shared" si="100"/>
        <v>0</v>
      </c>
      <c r="N223" s="98">
        <f t="shared" si="100"/>
        <v>0</v>
      </c>
      <c r="O223" s="98">
        <f t="shared" si="100"/>
        <v>0</v>
      </c>
      <c r="P223" s="98">
        <f t="shared" si="100"/>
        <v>0</v>
      </c>
      <c r="Q223" s="33"/>
      <c r="R223" s="32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3"/>
      <c r="LZ223" s="33"/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3"/>
      <c r="MZ223" s="33"/>
      <c r="NA223" s="33"/>
      <c r="NB223" s="33"/>
      <c r="NC223" s="33"/>
      <c r="ND223" s="33"/>
      <c r="NE223" s="33"/>
      <c r="NF223" s="33"/>
      <c r="NG223" s="33"/>
      <c r="NH223" s="33"/>
      <c r="NI223" s="33"/>
      <c r="NJ223" s="33"/>
      <c r="NK223" s="33"/>
      <c r="NL223" s="33"/>
      <c r="NM223" s="33"/>
      <c r="NN223" s="33"/>
      <c r="NO223" s="33"/>
      <c r="NP223" s="33"/>
      <c r="NQ223" s="33"/>
      <c r="NR223" s="33"/>
      <c r="NS223" s="33"/>
      <c r="NT223" s="33"/>
      <c r="NU223" s="33"/>
      <c r="NV223" s="33"/>
      <c r="NW223" s="33"/>
      <c r="NX223" s="33"/>
      <c r="NY223" s="33"/>
      <c r="NZ223" s="33"/>
      <c r="OA223" s="33"/>
      <c r="OB223" s="33"/>
      <c r="OC223" s="33"/>
      <c r="OD223" s="33"/>
      <c r="OE223" s="33"/>
      <c r="OF223" s="33"/>
      <c r="OG223" s="33"/>
      <c r="OH223" s="33"/>
      <c r="OI223" s="33"/>
      <c r="OJ223" s="33"/>
      <c r="OK223" s="33"/>
      <c r="OL223" s="33"/>
      <c r="OM223" s="33"/>
      <c r="ON223" s="33"/>
      <c r="OO223" s="33"/>
      <c r="OP223" s="33"/>
      <c r="OQ223" s="33"/>
      <c r="OR223" s="33"/>
      <c r="OS223" s="33"/>
      <c r="OT223" s="33"/>
      <c r="OU223" s="33"/>
      <c r="OV223" s="33"/>
      <c r="OW223" s="33"/>
      <c r="OX223" s="33"/>
      <c r="OY223" s="33"/>
      <c r="OZ223" s="33"/>
      <c r="PA223" s="33"/>
      <c r="PB223" s="33"/>
      <c r="PC223" s="33"/>
      <c r="PD223" s="33"/>
      <c r="PE223" s="33"/>
      <c r="PF223" s="33"/>
      <c r="PG223" s="33"/>
      <c r="PH223" s="33"/>
      <c r="PI223" s="33"/>
      <c r="PJ223" s="33"/>
      <c r="PK223" s="33"/>
      <c r="PL223" s="33"/>
      <c r="PM223" s="33"/>
      <c r="PN223" s="33"/>
      <c r="PO223" s="33"/>
      <c r="PP223" s="33"/>
      <c r="PQ223" s="33"/>
      <c r="PR223" s="33"/>
      <c r="PS223" s="33"/>
      <c r="PT223" s="33"/>
      <c r="PU223" s="33"/>
      <c r="PV223" s="33"/>
      <c r="PW223" s="33"/>
      <c r="PX223" s="33"/>
      <c r="PY223" s="33"/>
      <c r="PZ223" s="33"/>
      <c r="QA223" s="33"/>
      <c r="QB223" s="33"/>
      <c r="QC223" s="33"/>
      <c r="QD223" s="33"/>
      <c r="QE223" s="33"/>
      <c r="QF223" s="33"/>
      <c r="QG223" s="33"/>
      <c r="QH223" s="33"/>
      <c r="QI223" s="33"/>
      <c r="QJ223" s="33"/>
      <c r="QK223" s="33"/>
      <c r="QL223" s="33"/>
      <c r="QM223" s="33"/>
      <c r="QN223" s="33"/>
      <c r="QO223" s="33"/>
      <c r="QP223" s="33"/>
      <c r="QQ223" s="33"/>
      <c r="QR223" s="33"/>
      <c r="QS223" s="33"/>
      <c r="QT223" s="33"/>
      <c r="QU223" s="33"/>
      <c r="QV223" s="33"/>
      <c r="QW223" s="33"/>
      <c r="QX223" s="33"/>
      <c r="QY223" s="33"/>
      <c r="QZ223" s="33"/>
      <c r="RA223" s="33"/>
      <c r="RB223" s="33"/>
      <c r="RC223" s="33"/>
      <c r="RD223" s="33"/>
      <c r="RE223" s="33"/>
      <c r="RF223" s="33"/>
      <c r="RG223" s="33"/>
      <c r="RH223" s="33"/>
      <c r="RI223" s="33"/>
      <c r="RJ223" s="33"/>
      <c r="RK223" s="33"/>
      <c r="RL223" s="33"/>
      <c r="RM223" s="33"/>
      <c r="RN223" s="33"/>
      <c r="RO223" s="33"/>
      <c r="RP223" s="33"/>
      <c r="RQ223" s="33"/>
      <c r="RR223" s="33"/>
      <c r="RS223" s="33"/>
      <c r="RT223" s="33"/>
      <c r="RU223" s="33"/>
      <c r="RV223" s="33"/>
      <c r="RW223" s="33"/>
      <c r="RX223" s="33"/>
      <c r="RY223" s="33"/>
      <c r="RZ223" s="33"/>
      <c r="SA223" s="33"/>
      <c r="SB223" s="33"/>
      <c r="SC223" s="33"/>
      <c r="SD223" s="33"/>
      <c r="SE223" s="33"/>
      <c r="SF223" s="33"/>
      <c r="SG223" s="33"/>
      <c r="SH223" s="33"/>
      <c r="SI223" s="33"/>
      <c r="SJ223" s="33"/>
      <c r="SK223" s="33"/>
      <c r="SL223" s="33"/>
      <c r="SM223" s="33"/>
      <c r="SN223" s="33"/>
      <c r="SO223" s="33"/>
      <c r="SP223" s="33"/>
      <c r="SQ223" s="33"/>
      <c r="SR223" s="33"/>
      <c r="SS223" s="33"/>
      <c r="ST223" s="33"/>
      <c r="SU223" s="33"/>
      <c r="SV223" s="33"/>
      <c r="SW223" s="33"/>
      <c r="SX223" s="33"/>
      <c r="SY223" s="33"/>
      <c r="SZ223" s="33"/>
      <c r="TA223" s="33"/>
      <c r="TB223" s="33"/>
      <c r="TC223" s="33"/>
      <c r="TD223" s="33"/>
      <c r="TE223" s="33"/>
      <c r="TF223" s="33"/>
      <c r="TG223" s="33"/>
    </row>
    <row r="224" spans="1:527" s="34" customFormat="1" ht="84" customHeight="1" x14ac:dyDescent="0.25">
      <c r="A224" s="96"/>
      <c r="B224" s="109"/>
      <c r="C224" s="109"/>
      <c r="D224" s="77" t="s">
        <v>540</v>
      </c>
      <c r="E224" s="98">
        <f>E252</f>
        <v>1527346</v>
      </c>
      <c r="F224" s="98">
        <f t="shared" ref="F224:P224" si="101">F252</f>
        <v>1527346</v>
      </c>
      <c r="G224" s="98">
        <f t="shared" si="101"/>
        <v>0</v>
      </c>
      <c r="H224" s="98">
        <f t="shared" si="101"/>
        <v>0</v>
      </c>
      <c r="I224" s="98">
        <f t="shared" si="101"/>
        <v>0</v>
      </c>
      <c r="J224" s="98">
        <f t="shared" si="101"/>
        <v>0</v>
      </c>
      <c r="K224" s="98">
        <f t="shared" si="101"/>
        <v>0</v>
      </c>
      <c r="L224" s="98">
        <f t="shared" si="101"/>
        <v>0</v>
      </c>
      <c r="M224" s="98">
        <f t="shared" si="101"/>
        <v>0</v>
      </c>
      <c r="N224" s="98">
        <f t="shared" si="101"/>
        <v>0</v>
      </c>
      <c r="O224" s="98">
        <f t="shared" si="101"/>
        <v>0</v>
      </c>
      <c r="P224" s="98">
        <f t="shared" si="101"/>
        <v>1527346</v>
      </c>
      <c r="Q224" s="33"/>
      <c r="R224" s="32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3"/>
      <c r="KY224" s="33"/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3"/>
      <c r="LO224" s="33"/>
      <c r="LP224" s="33"/>
      <c r="LQ224" s="33"/>
      <c r="LR224" s="33"/>
      <c r="LS224" s="33"/>
      <c r="LT224" s="33"/>
      <c r="LU224" s="33"/>
      <c r="LV224" s="33"/>
      <c r="LW224" s="33"/>
      <c r="LX224" s="33"/>
      <c r="LY224" s="33"/>
      <c r="LZ224" s="33"/>
      <c r="MA224" s="33"/>
      <c r="MB224" s="33"/>
      <c r="MC224" s="33"/>
      <c r="MD224" s="33"/>
      <c r="ME224" s="33"/>
      <c r="MF224" s="33"/>
      <c r="MG224" s="33"/>
      <c r="MH224" s="33"/>
      <c r="MI224" s="33"/>
      <c r="MJ224" s="33"/>
      <c r="MK224" s="33"/>
      <c r="ML224" s="33"/>
      <c r="MM224" s="33"/>
      <c r="MN224" s="33"/>
      <c r="MO224" s="33"/>
      <c r="MP224" s="33"/>
      <c r="MQ224" s="33"/>
      <c r="MR224" s="33"/>
      <c r="MS224" s="33"/>
      <c r="MT224" s="33"/>
      <c r="MU224" s="33"/>
      <c r="MV224" s="33"/>
      <c r="MW224" s="33"/>
      <c r="MX224" s="33"/>
      <c r="MY224" s="33"/>
      <c r="MZ224" s="33"/>
      <c r="NA224" s="33"/>
      <c r="NB224" s="33"/>
      <c r="NC224" s="33"/>
      <c r="ND224" s="33"/>
      <c r="NE224" s="33"/>
      <c r="NF224" s="33"/>
      <c r="NG224" s="33"/>
      <c r="NH224" s="33"/>
      <c r="NI224" s="33"/>
      <c r="NJ224" s="33"/>
      <c r="NK224" s="33"/>
      <c r="NL224" s="33"/>
      <c r="NM224" s="33"/>
      <c r="NN224" s="33"/>
      <c r="NO224" s="33"/>
      <c r="NP224" s="33"/>
      <c r="NQ224" s="33"/>
      <c r="NR224" s="33"/>
      <c r="NS224" s="33"/>
      <c r="NT224" s="33"/>
      <c r="NU224" s="33"/>
      <c r="NV224" s="33"/>
      <c r="NW224" s="33"/>
      <c r="NX224" s="33"/>
      <c r="NY224" s="33"/>
      <c r="NZ224" s="33"/>
      <c r="OA224" s="33"/>
      <c r="OB224" s="33"/>
      <c r="OC224" s="33"/>
      <c r="OD224" s="33"/>
      <c r="OE224" s="33"/>
      <c r="OF224" s="33"/>
      <c r="OG224" s="33"/>
      <c r="OH224" s="33"/>
      <c r="OI224" s="33"/>
      <c r="OJ224" s="33"/>
      <c r="OK224" s="33"/>
      <c r="OL224" s="33"/>
      <c r="OM224" s="33"/>
      <c r="ON224" s="33"/>
      <c r="OO224" s="33"/>
      <c r="OP224" s="33"/>
      <c r="OQ224" s="33"/>
      <c r="OR224" s="33"/>
      <c r="OS224" s="33"/>
      <c r="OT224" s="33"/>
      <c r="OU224" s="33"/>
      <c r="OV224" s="33"/>
      <c r="OW224" s="33"/>
      <c r="OX224" s="33"/>
      <c r="OY224" s="33"/>
      <c r="OZ224" s="33"/>
      <c r="PA224" s="33"/>
      <c r="PB224" s="33"/>
      <c r="PC224" s="33"/>
      <c r="PD224" s="33"/>
      <c r="PE224" s="33"/>
      <c r="PF224" s="33"/>
      <c r="PG224" s="33"/>
      <c r="PH224" s="33"/>
      <c r="PI224" s="33"/>
      <c r="PJ224" s="33"/>
      <c r="PK224" s="33"/>
      <c r="PL224" s="33"/>
      <c r="PM224" s="33"/>
      <c r="PN224" s="33"/>
      <c r="PO224" s="33"/>
      <c r="PP224" s="33"/>
      <c r="PQ224" s="33"/>
      <c r="PR224" s="33"/>
      <c r="PS224" s="33"/>
      <c r="PT224" s="33"/>
      <c r="PU224" s="33"/>
      <c r="PV224" s="33"/>
      <c r="PW224" s="33"/>
      <c r="PX224" s="33"/>
      <c r="PY224" s="33"/>
      <c r="PZ224" s="33"/>
      <c r="QA224" s="33"/>
      <c r="QB224" s="33"/>
      <c r="QC224" s="33"/>
      <c r="QD224" s="33"/>
      <c r="QE224" s="33"/>
      <c r="QF224" s="33"/>
      <c r="QG224" s="33"/>
      <c r="QH224" s="33"/>
      <c r="QI224" s="33"/>
      <c r="QJ224" s="33"/>
      <c r="QK224" s="33"/>
      <c r="QL224" s="33"/>
      <c r="QM224" s="33"/>
      <c r="QN224" s="33"/>
      <c r="QO224" s="33"/>
      <c r="QP224" s="33"/>
      <c r="QQ224" s="33"/>
      <c r="QR224" s="33"/>
      <c r="QS224" s="33"/>
      <c r="QT224" s="33"/>
      <c r="QU224" s="33"/>
      <c r="QV224" s="33"/>
      <c r="QW224" s="33"/>
      <c r="QX224" s="33"/>
      <c r="QY224" s="33"/>
      <c r="QZ224" s="33"/>
      <c r="RA224" s="33"/>
      <c r="RB224" s="33"/>
      <c r="RC224" s="33"/>
      <c r="RD224" s="33"/>
      <c r="RE224" s="33"/>
      <c r="RF224" s="33"/>
      <c r="RG224" s="33"/>
      <c r="RH224" s="33"/>
      <c r="RI224" s="33"/>
      <c r="RJ224" s="33"/>
      <c r="RK224" s="33"/>
      <c r="RL224" s="33"/>
      <c r="RM224" s="33"/>
      <c r="RN224" s="33"/>
      <c r="RO224" s="33"/>
      <c r="RP224" s="33"/>
      <c r="RQ224" s="33"/>
      <c r="RR224" s="33"/>
      <c r="RS224" s="33"/>
      <c r="RT224" s="33"/>
      <c r="RU224" s="33"/>
      <c r="RV224" s="33"/>
      <c r="RW224" s="33"/>
      <c r="RX224" s="33"/>
      <c r="RY224" s="33"/>
      <c r="RZ224" s="33"/>
      <c r="SA224" s="33"/>
      <c r="SB224" s="33"/>
      <c r="SC224" s="33"/>
      <c r="SD224" s="33"/>
      <c r="SE224" s="33"/>
      <c r="SF224" s="33"/>
      <c r="SG224" s="33"/>
      <c r="SH224" s="33"/>
      <c r="SI224" s="33"/>
      <c r="SJ224" s="33"/>
      <c r="SK224" s="33"/>
      <c r="SL224" s="33"/>
      <c r="SM224" s="33"/>
      <c r="SN224" s="33"/>
      <c r="SO224" s="33"/>
      <c r="SP224" s="33"/>
      <c r="SQ224" s="33"/>
      <c r="SR224" s="33"/>
      <c r="SS224" s="33"/>
      <c r="ST224" s="33"/>
      <c r="SU224" s="33"/>
      <c r="SV224" s="33"/>
      <c r="SW224" s="33"/>
      <c r="SX224" s="33"/>
      <c r="SY224" s="33"/>
      <c r="SZ224" s="33"/>
      <c r="TA224" s="33"/>
      <c r="TB224" s="33"/>
      <c r="TC224" s="33"/>
      <c r="TD224" s="33"/>
      <c r="TE224" s="33"/>
      <c r="TF224" s="33"/>
      <c r="TG224" s="33"/>
    </row>
    <row r="225" spans="1:527" s="34" customFormat="1" ht="61.5" customHeight="1" x14ac:dyDescent="0.25">
      <c r="A225" s="96"/>
      <c r="B225" s="109"/>
      <c r="C225" s="109"/>
      <c r="D225" s="77" t="s">
        <v>388</v>
      </c>
      <c r="E225" s="98">
        <f>E247</f>
        <v>0</v>
      </c>
      <c r="F225" s="98">
        <f t="shared" ref="F225:P225" si="102">F247</f>
        <v>0</v>
      </c>
      <c r="G225" s="98">
        <f t="shared" si="102"/>
        <v>0</v>
      </c>
      <c r="H225" s="98">
        <f t="shared" si="102"/>
        <v>0</v>
      </c>
      <c r="I225" s="98">
        <f t="shared" si="102"/>
        <v>0</v>
      </c>
      <c r="J225" s="98">
        <f t="shared" si="102"/>
        <v>10359984</v>
      </c>
      <c r="K225" s="98">
        <f t="shared" si="102"/>
        <v>10359984</v>
      </c>
      <c r="L225" s="98">
        <f t="shared" si="102"/>
        <v>0</v>
      </c>
      <c r="M225" s="98">
        <f t="shared" si="102"/>
        <v>0</v>
      </c>
      <c r="N225" s="98">
        <f t="shared" si="102"/>
        <v>0</v>
      </c>
      <c r="O225" s="98">
        <f t="shared" si="102"/>
        <v>10359984</v>
      </c>
      <c r="P225" s="98">
        <f t="shared" si="102"/>
        <v>10359984</v>
      </c>
      <c r="Q225" s="33"/>
      <c r="R225" s="32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  <c r="QA225" s="33"/>
      <c r="QB225" s="33"/>
      <c r="QC225" s="33"/>
      <c r="QD225" s="33"/>
      <c r="QE225" s="33"/>
      <c r="QF225" s="33"/>
      <c r="QG225" s="33"/>
      <c r="QH225" s="33"/>
      <c r="QI225" s="33"/>
      <c r="QJ225" s="33"/>
      <c r="QK225" s="33"/>
      <c r="QL225" s="33"/>
      <c r="QM225" s="33"/>
      <c r="QN225" s="33"/>
      <c r="QO225" s="33"/>
      <c r="QP225" s="33"/>
      <c r="QQ225" s="33"/>
      <c r="QR225" s="33"/>
      <c r="QS225" s="33"/>
      <c r="QT225" s="33"/>
      <c r="QU225" s="33"/>
      <c r="QV225" s="33"/>
      <c r="QW225" s="33"/>
      <c r="QX225" s="33"/>
      <c r="QY225" s="33"/>
      <c r="QZ225" s="33"/>
      <c r="RA225" s="33"/>
      <c r="RB225" s="33"/>
      <c r="RC225" s="33"/>
      <c r="RD225" s="33"/>
      <c r="RE225" s="33"/>
      <c r="RF225" s="33"/>
      <c r="RG225" s="33"/>
      <c r="RH225" s="33"/>
      <c r="RI225" s="33"/>
      <c r="RJ225" s="33"/>
      <c r="RK225" s="33"/>
      <c r="RL225" s="33"/>
      <c r="RM225" s="33"/>
      <c r="RN225" s="33"/>
      <c r="RO225" s="33"/>
      <c r="RP225" s="33"/>
      <c r="RQ225" s="33"/>
      <c r="RR225" s="33"/>
      <c r="RS225" s="33"/>
      <c r="RT225" s="33"/>
      <c r="RU225" s="33"/>
      <c r="RV225" s="33"/>
      <c r="RW225" s="33"/>
      <c r="RX225" s="33"/>
      <c r="RY225" s="33"/>
      <c r="RZ225" s="33"/>
      <c r="SA225" s="33"/>
      <c r="SB225" s="33"/>
      <c r="SC225" s="33"/>
      <c r="SD225" s="33"/>
      <c r="SE225" s="33"/>
      <c r="SF225" s="33"/>
      <c r="SG225" s="33"/>
      <c r="SH225" s="33"/>
      <c r="SI225" s="33"/>
      <c r="SJ225" s="33"/>
      <c r="SK225" s="33"/>
      <c r="SL225" s="33"/>
      <c r="SM225" s="33"/>
      <c r="SN225" s="33"/>
      <c r="SO225" s="33"/>
      <c r="SP225" s="33"/>
      <c r="SQ225" s="33"/>
      <c r="SR225" s="33"/>
      <c r="SS225" s="33"/>
      <c r="ST225" s="33"/>
      <c r="SU225" s="33"/>
      <c r="SV225" s="33"/>
      <c r="SW225" s="33"/>
      <c r="SX225" s="33"/>
      <c r="SY225" s="33"/>
      <c r="SZ225" s="33"/>
      <c r="TA225" s="33"/>
      <c r="TB225" s="33"/>
      <c r="TC225" s="33"/>
      <c r="TD225" s="33"/>
      <c r="TE225" s="33"/>
      <c r="TF225" s="33"/>
      <c r="TG225" s="33"/>
    </row>
    <row r="226" spans="1:527" s="34" customFormat="1" ht="126" x14ac:dyDescent="0.25">
      <c r="A226" s="96"/>
      <c r="B226" s="109"/>
      <c r="C226" s="109"/>
      <c r="D226" s="77" t="s">
        <v>445</v>
      </c>
      <c r="E226" s="98">
        <f>E238</f>
        <v>0</v>
      </c>
      <c r="F226" s="98">
        <f t="shared" ref="F226:P226" si="103">F238</f>
        <v>0</v>
      </c>
      <c r="G226" s="98">
        <f t="shared" si="103"/>
        <v>0</v>
      </c>
      <c r="H226" s="98">
        <f t="shared" si="103"/>
        <v>0</v>
      </c>
      <c r="I226" s="98">
        <f t="shared" si="103"/>
        <v>0</v>
      </c>
      <c r="J226" s="98">
        <f t="shared" si="103"/>
        <v>705587</v>
      </c>
      <c r="K226" s="98">
        <f t="shared" si="103"/>
        <v>705587</v>
      </c>
      <c r="L226" s="98">
        <f t="shared" si="103"/>
        <v>0</v>
      </c>
      <c r="M226" s="98">
        <f t="shared" si="103"/>
        <v>0</v>
      </c>
      <c r="N226" s="98">
        <f t="shared" si="103"/>
        <v>0</v>
      </c>
      <c r="O226" s="98">
        <f t="shared" si="103"/>
        <v>705587</v>
      </c>
      <c r="P226" s="98">
        <f t="shared" si="103"/>
        <v>705587</v>
      </c>
      <c r="Q226" s="33"/>
      <c r="R226" s="32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  <c r="SQ226" s="33"/>
      <c r="SR226" s="33"/>
      <c r="SS226" s="33"/>
      <c r="ST226" s="33"/>
      <c r="SU226" s="33"/>
      <c r="SV226" s="33"/>
      <c r="SW226" s="33"/>
      <c r="SX226" s="33"/>
      <c r="SY226" s="33"/>
      <c r="SZ226" s="33"/>
      <c r="TA226" s="33"/>
      <c r="TB226" s="33"/>
      <c r="TC226" s="33"/>
      <c r="TD226" s="33"/>
      <c r="TE226" s="33"/>
      <c r="TF226" s="33"/>
      <c r="TG226" s="33"/>
    </row>
    <row r="227" spans="1:527" s="34" customFormat="1" ht="15.75" x14ac:dyDescent="0.25">
      <c r="A227" s="96"/>
      <c r="B227" s="109"/>
      <c r="C227" s="109"/>
      <c r="D227" s="83" t="s">
        <v>393</v>
      </c>
      <c r="E227" s="98">
        <f>E249+E254</f>
        <v>200000</v>
      </c>
      <c r="F227" s="98">
        <f t="shared" ref="F227:P227" si="104">F249+F254</f>
        <v>200000</v>
      </c>
      <c r="G227" s="98">
        <f t="shared" si="104"/>
        <v>0</v>
      </c>
      <c r="H227" s="98">
        <f t="shared" si="104"/>
        <v>0</v>
      </c>
      <c r="I227" s="98">
        <f t="shared" si="104"/>
        <v>0</v>
      </c>
      <c r="J227" s="98">
        <f t="shared" si="104"/>
        <v>200000</v>
      </c>
      <c r="K227" s="98">
        <f t="shared" si="104"/>
        <v>200000</v>
      </c>
      <c r="L227" s="98">
        <f t="shared" si="104"/>
        <v>0</v>
      </c>
      <c r="M227" s="98">
        <f t="shared" si="104"/>
        <v>0</v>
      </c>
      <c r="N227" s="98">
        <f t="shared" si="104"/>
        <v>0</v>
      </c>
      <c r="O227" s="98">
        <f t="shared" si="104"/>
        <v>200000</v>
      </c>
      <c r="P227" s="98">
        <f t="shared" si="104"/>
        <v>400000</v>
      </c>
      <c r="Q227" s="33"/>
      <c r="R227" s="32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</row>
    <row r="228" spans="1:527" s="34" customFormat="1" ht="15.75" x14ac:dyDescent="0.25">
      <c r="A228" s="96"/>
      <c r="B228" s="109"/>
      <c r="C228" s="109"/>
      <c r="D228" s="83" t="s">
        <v>419</v>
      </c>
      <c r="E228" s="98">
        <f>E258</f>
        <v>0</v>
      </c>
      <c r="F228" s="98">
        <f t="shared" ref="F228:P228" si="105">F258</f>
        <v>0</v>
      </c>
      <c r="G228" s="98">
        <f t="shared" si="105"/>
        <v>0</v>
      </c>
      <c r="H228" s="98">
        <f t="shared" si="105"/>
        <v>0</v>
      </c>
      <c r="I228" s="98">
        <f t="shared" si="105"/>
        <v>0</v>
      </c>
      <c r="J228" s="98">
        <f t="shared" si="105"/>
        <v>26250000</v>
      </c>
      <c r="K228" s="98">
        <f t="shared" si="105"/>
        <v>26250000</v>
      </c>
      <c r="L228" s="98">
        <f t="shared" si="105"/>
        <v>0</v>
      </c>
      <c r="M228" s="98">
        <f t="shared" si="105"/>
        <v>0</v>
      </c>
      <c r="N228" s="98">
        <f t="shared" si="105"/>
        <v>0</v>
      </c>
      <c r="O228" s="98">
        <f t="shared" si="105"/>
        <v>26250000</v>
      </c>
      <c r="P228" s="98">
        <f t="shared" si="105"/>
        <v>26250000</v>
      </c>
      <c r="Q228" s="33"/>
      <c r="R228" s="32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  <c r="TG228" s="33"/>
    </row>
    <row r="229" spans="1:527" s="22" customFormat="1" ht="47.25" x14ac:dyDescent="0.25">
      <c r="A229" s="59" t="s">
        <v>196</v>
      </c>
      <c r="B229" s="59" t="str">
        <f>'дод 8'!A19</f>
        <v>0160</v>
      </c>
      <c r="C229" s="59" t="str">
        <f>'дод 8'!B19</f>
        <v>0111</v>
      </c>
      <c r="D229" s="94" t="s">
        <v>494</v>
      </c>
      <c r="E229" s="99">
        <f t="shared" ref="E229:E264" si="106">F229+I229</f>
        <v>14495155</v>
      </c>
      <c r="F229" s="99">
        <f>14436900+5575-23920+76600</f>
        <v>14495155</v>
      </c>
      <c r="G229" s="99">
        <f>11274000-19600</f>
        <v>11254400</v>
      </c>
      <c r="H229" s="99">
        <f>203100+5575+76600</f>
        <v>285275</v>
      </c>
      <c r="I229" s="99"/>
      <c r="J229" s="99">
        <f>L229+O229</f>
        <v>0</v>
      </c>
      <c r="K229" s="99"/>
      <c r="L229" s="99"/>
      <c r="M229" s="99"/>
      <c r="N229" s="99"/>
      <c r="O229" s="99"/>
      <c r="P229" s="99">
        <f t="shared" ref="P229:P264" si="107">E229+J229</f>
        <v>14495155</v>
      </c>
      <c r="Q229" s="23"/>
      <c r="R229" s="32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</row>
    <row r="230" spans="1:527" s="22" customFormat="1" ht="23.25" customHeight="1" x14ac:dyDescent="0.25">
      <c r="A230" s="59" t="s">
        <v>543</v>
      </c>
      <c r="B230" s="59" t="s">
        <v>45</v>
      </c>
      <c r="C230" s="59" t="s">
        <v>93</v>
      </c>
      <c r="D230" s="94" t="s">
        <v>242</v>
      </c>
      <c r="E230" s="99">
        <f t="shared" si="106"/>
        <v>600000</v>
      </c>
      <c r="F230" s="99">
        <f>1000000-400000</f>
        <v>600000</v>
      </c>
      <c r="G230" s="99"/>
      <c r="H230" s="99"/>
      <c r="I230" s="99"/>
      <c r="J230" s="99">
        <f>L230+O230</f>
        <v>0</v>
      </c>
      <c r="K230" s="99"/>
      <c r="L230" s="99"/>
      <c r="M230" s="99"/>
      <c r="N230" s="99"/>
      <c r="O230" s="99"/>
      <c r="P230" s="99">
        <f t="shared" si="107"/>
        <v>600000</v>
      </c>
      <c r="Q230" s="23"/>
      <c r="R230" s="32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</row>
    <row r="231" spans="1:527" s="22" customFormat="1" ht="19.5" customHeight="1" x14ac:dyDescent="0.25">
      <c r="A231" s="103" t="s">
        <v>302</v>
      </c>
      <c r="B231" s="42" t="str">
        <f>'дод 8'!A131</f>
        <v>3210</v>
      </c>
      <c r="C231" s="42" t="str">
        <f>'дод 8'!B131</f>
        <v>1050</v>
      </c>
      <c r="D231" s="36" t="str">
        <f>'дод 8'!C131</f>
        <v>Організація та проведення громадських робіт</v>
      </c>
      <c r="E231" s="99">
        <f t="shared" si="106"/>
        <v>160000</v>
      </c>
      <c r="F231" s="99">
        <f>200000-40000</f>
        <v>160000</v>
      </c>
      <c r="G231" s="99"/>
      <c r="H231" s="99"/>
      <c r="I231" s="99"/>
      <c r="J231" s="99">
        <f t="shared" ref="J231:J264" si="108">L231+O231</f>
        <v>0</v>
      </c>
      <c r="K231" s="99"/>
      <c r="L231" s="99"/>
      <c r="M231" s="99"/>
      <c r="N231" s="99"/>
      <c r="O231" s="99"/>
      <c r="P231" s="99">
        <f t="shared" si="107"/>
        <v>160000</v>
      </c>
      <c r="Q231" s="23"/>
      <c r="R231" s="32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</row>
    <row r="232" spans="1:527" s="22" customFormat="1" ht="33.75" customHeight="1" x14ac:dyDescent="0.25">
      <c r="A232" s="59" t="s">
        <v>197</v>
      </c>
      <c r="B232" s="93" t="str">
        <f>'дод 8'!A157</f>
        <v>6011</v>
      </c>
      <c r="C232" s="93" t="str">
        <f>'дод 8'!B157</f>
        <v>0610</v>
      </c>
      <c r="D232" s="60" t="str">
        <f>'дод 8'!C157</f>
        <v>Експлуатація та технічне обслуговування житлового фонду</v>
      </c>
      <c r="E232" s="99">
        <f t="shared" si="106"/>
        <v>0</v>
      </c>
      <c r="F232" s="99"/>
      <c r="G232" s="99"/>
      <c r="H232" s="99"/>
      <c r="I232" s="99"/>
      <c r="J232" s="99">
        <f t="shared" si="108"/>
        <v>9271809</v>
      </c>
      <c r="K232" s="99">
        <f>7054092-807126.65+807126.65+172300+40000+154400+169950+593700+23900-19300+37614+100560+126700+49900+62000+204157+49000+650100-124900+49900-365100+44300+162056</f>
        <v>9235329</v>
      </c>
      <c r="L232" s="99"/>
      <c r="M232" s="99"/>
      <c r="N232" s="99"/>
      <c r="O232" s="99">
        <f>7090572-807126.65+807126.65+172300+40000+154400+169950+593700+23900-19300+37614+100560+126700+49900+62000+204157+49000+650100-124900+49900-365100+44300+162056</f>
        <v>9271809</v>
      </c>
      <c r="P232" s="99">
        <f t="shared" si="107"/>
        <v>9271809</v>
      </c>
      <c r="Q232" s="23"/>
      <c r="R232" s="32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</row>
    <row r="233" spans="1:527" s="22" customFormat="1" ht="31.5" x14ac:dyDescent="0.25">
      <c r="A233" s="59" t="s">
        <v>198</v>
      </c>
      <c r="B233" s="93" t="str">
        <f>'дод 8'!A158</f>
        <v>6013</v>
      </c>
      <c r="C233" s="93" t="str">
        <f>'дод 8'!B158</f>
        <v>0620</v>
      </c>
      <c r="D233" s="60" t="str">
        <f>'дод 8'!C158</f>
        <v>Забезпечення діяльності водопровідно-каналізаційного господарства</v>
      </c>
      <c r="E233" s="99">
        <f t="shared" si="106"/>
        <v>29375568</v>
      </c>
      <c r="F233" s="99">
        <f>3610000-3000000+164040+30000+40000+270000-153472-85000</f>
        <v>875568</v>
      </c>
      <c r="G233" s="99"/>
      <c r="H233" s="99"/>
      <c r="I233" s="99">
        <f>25250000-100000+3350000</f>
        <v>28500000</v>
      </c>
      <c r="J233" s="99">
        <f t="shared" si="108"/>
        <v>200000</v>
      </c>
      <c r="K233" s="99">
        <f>230000-30000</f>
        <v>200000</v>
      </c>
      <c r="L233" s="99"/>
      <c r="M233" s="99"/>
      <c r="N233" s="99"/>
      <c r="O233" s="99">
        <f>230000-30000</f>
        <v>200000</v>
      </c>
      <c r="P233" s="99">
        <f t="shared" si="107"/>
        <v>29575568</v>
      </c>
      <c r="Q233" s="23"/>
      <c r="R233" s="32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</row>
    <row r="234" spans="1:527" s="22" customFormat="1" ht="33" customHeight="1" x14ac:dyDescent="0.25">
      <c r="A234" s="59" t="s">
        <v>259</v>
      </c>
      <c r="B234" s="93" t="str">
        <f>'дод 8'!A159</f>
        <v>6015</v>
      </c>
      <c r="C234" s="93" t="str">
        <f>'дод 8'!B159</f>
        <v>0620</v>
      </c>
      <c r="D234" s="60" t="str">
        <f>'дод 8'!C159</f>
        <v>Забезпечення надійної та безперебійної експлуатації ліфтів</v>
      </c>
      <c r="E234" s="99">
        <f t="shared" si="106"/>
        <v>155980</v>
      </c>
      <c r="F234" s="99">
        <f>99980+8000+16000+8000-16000+40000</f>
        <v>155980</v>
      </c>
      <c r="G234" s="99"/>
      <c r="H234" s="99"/>
      <c r="I234" s="99"/>
      <c r="J234" s="99">
        <f t="shared" si="108"/>
        <v>33240150</v>
      </c>
      <c r="K234" s="99">
        <f>6600000-96212+96212+4439600+1450000+700000+590000+232000-200000-200000+50000+318000+80000+592000+16000+65000+17450000+447450+835000+75000-115000-234900</f>
        <v>33190150</v>
      </c>
      <c r="L234" s="99"/>
      <c r="M234" s="99"/>
      <c r="N234" s="99"/>
      <c r="O234" s="99">
        <f>6650000-96212+96212+4439600+1450000+700000+590000+232000-200000-200000+50000+318000+80000+592000+16000+65000+17450000+447450+835000+75000-115000-234900</f>
        <v>33240150</v>
      </c>
      <c r="P234" s="99">
        <f t="shared" si="107"/>
        <v>33396130</v>
      </c>
      <c r="Q234" s="23"/>
      <c r="R234" s="32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</row>
    <row r="235" spans="1:527" s="22" customFormat="1" ht="32.25" customHeight="1" x14ac:dyDescent="0.25">
      <c r="A235" s="59" t="s">
        <v>262</v>
      </c>
      <c r="B235" s="93" t="str">
        <f>'дод 8'!A160</f>
        <v>6017</v>
      </c>
      <c r="C235" s="93" t="str">
        <f>'дод 8'!B160</f>
        <v>0620</v>
      </c>
      <c r="D235" s="60" t="str">
        <f>'дод 8'!C160</f>
        <v>Інша діяльність, пов’язана з експлуатацією об’єктів житлово-комунального господарства</v>
      </c>
      <c r="E235" s="99">
        <f t="shared" si="106"/>
        <v>100000</v>
      </c>
      <c r="F235" s="99">
        <v>100000</v>
      </c>
      <c r="G235" s="99"/>
      <c r="H235" s="99"/>
      <c r="I235" s="99"/>
      <c r="J235" s="99">
        <f t="shared" si="108"/>
        <v>0</v>
      </c>
      <c r="K235" s="99"/>
      <c r="L235" s="99"/>
      <c r="M235" s="99"/>
      <c r="N235" s="99"/>
      <c r="O235" s="99"/>
      <c r="P235" s="99">
        <f t="shared" si="107"/>
        <v>100000</v>
      </c>
      <c r="Q235" s="23"/>
      <c r="R235" s="32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2" customFormat="1" ht="47.25" x14ac:dyDescent="0.25">
      <c r="A236" s="59" t="s">
        <v>199</v>
      </c>
      <c r="B236" s="93" t="str">
        <f>'дод 8'!A161</f>
        <v>6020</v>
      </c>
      <c r="C236" s="93" t="str">
        <f>'дод 8'!B161</f>
        <v>0620</v>
      </c>
      <c r="D236" s="60" t="str">
        <f>'дод 8'!C161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36" s="99">
        <f t="shared" si="106"/>
        <v>1786258.4800000004</v>
      </c>
      <c r="F236" s="99"/>
      <c r="G236" s="99"/>
      <c r="H236" s="99"/>
      <c r="I236" s="99">
        <f>300000+1541958.48-85000+3000000-3000000+29300</f>
        <v>1786258.4800000004</v>
      </c>
      <c r="J236" s="99">
        <f t="shared" si="108"/>
        <v>85000</v>
      </c>
      <c r="K236" s="99">
        <f>85000</f>
        <v>85000</v>
      </c>
      <c r="L236" s="99"/>
      <c r="M236" s="99"/>
      <c r="N236" s="99"/>
      <c r="O236" s="99">
        <f>85000</f>
        <v>85000</v>
      </c>
      <c r="P236" s="99">
        <f t="shared" si="107"/>
        <v>1871258.4800000004</v>
      </c>
      <c r="Q236" s="23"/>
      <c r="R236" s="32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</row>
    <row r="237" spans="1:527" s="22" customFormat="1" ht="24.75" customHeight="1" x14ac:dyDescent="0.25">
      <c r="A237" s="59" t="s">
        <v>200</v>
      </c>
      <c r="B237" s="93" t="str">
        <f>'дод 8'!A162</f>
        <v>6030</v>
      </c>
      <c r="C237" s="93" t="str">
        <f>'дод 8'!B162</f>
        <v>0620</v>
      </c>
      <c r="D237" s="60" t="str">
        <f>'дод 8'!C162</f>
        <v>Організація благоустрою населених пунктів</v>
      </c>
      <c r="E237" s="99">
        <f t="shared" si="106"/>
        <v>243940773.78</v>
      </c>
      <c r="F237" s="99">
        <f>220864874.13-7011318-49900-211983.47+990000+100000+72800+872900-100000-18473.69+60000-45080.64-164040+1592924+340394+200000-50500+299310+199600+1500000+98000+310136+40000+1000000+129000-29300+1012980+853612.73-90000+87900+371540.45+253200+30000-200000+31500+500000+250000+1250000-50000+190000+40000-23473+1000000+1855210+250000-49000+1791373.27-94200+246388+11500000+300000+250000+1000000+300000-5600</f>
        <v>243840773.78</v>
      </c>
      <c r="G237" s="99"/>
      <c r="H237" s="99">
        <f>34504500-600000-164040+1250000</f>
        <v>34990460</v>
      </c>
      <c r="I237" s="99">
        <v>100000</v>
      </c>
      <c r="J237" s="99">
        <f t="shared" si="108"/>
        <v>41839801.579999991</v>
      </c>
      <c r="K237" s="99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</f>
        <v>41839801.579999991</v>
      </c>
      <c r="L237" s="113"/>
      <c r="M237" s="99"/>
      <c r="N237" s="99"/>
      <c r="O237" s="99">
        <f>28422020-300000+7011318-1359437.09+1978809.98+72800-72800+129900+18473.69-60000+170000+50000-1500000+49900+49900-2800000-1150000+250000-2000000+5000000+49000+90000+49000-30000-1000000+694744-7000000+350000+3000000+528294.5-528294.5+23473-300000+115000-250000+99800-400000-407000+45000+49900+4500000+1200000+7000000</f>
        <v>41839801.579999991</v>
      </c>
      <c r="P237" s="99">
        <f t="shared" si="107"/>
        <v>285780575.36000001</v>
      </c>
      <c r="Q237" s="23"/>
      <c r="R237" s="32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</row>
    <row r="238" spans="1:527" s="22" customFormat="1" ht="94.5" x14ac:dyDescent="0.25">
      <c r="A238" s="59" t="s">
        <v>621</v>
      </c>
      <c r="B238" s="93">
        <v>6083</v>
      </c>
      <c r="C238" s="59" t="s">
        <v>68</v>
      </c>
      <c r="D238" s="11" t="s">
        <v>438</v>
      </c>
      <c r="E238" s="99">
        <f>F238+I238</f>
        <v>0</v>
      </c>
      <c r="F238" s="99"/>
      <c r="G238" s="99"/>
      <c r="H238" s="99"/>
      <c r="I238" s="99"/>
      <c r="J238" s="99">
        <f t="shared" si="108"/>
        <v>705587</v>
      </c>
      <c r="K238" s="99">
        <f>615000+90587</f>
        <v>705587</v>
      </c>
      <c r="L238" s="99"/>
      <c r="M238" s="99"/>
      <c r="N238" s="99"/>
      <c r="O238" s="99">
        <f>615000+90587</f>
        <v>705587</v>
      </c>
      <c r="P238" s="99">
        <f>E238+J238</f>
        <v>705587</v>
      </c>
      <c r="Q238" s="23"/>
      <c r="R238" s="32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</row>
    <row r="239" spans="1:527" s="22" customFormat="1" ht="126" x14ac:dyDescent="0.25">
      <c r="A239" s="84"/>
      <c r="B239" s="111"/>
      <c r="C239" s="84"/>
      <c r="D239" s="90" t="s">
        <v>445</v>
      </c>
      <c r="E239" s="99">
        <f>F239+I239</f>
        <v>0</v>
      </c>
      <c r="F239" s="101"/>
      <c r="G239" s="101"/>
      <c r="H239" s="101"/>
      <c r="I239" s="101"/>
      <c r="J239" s="99">
        <f t="shared" si="108"/>
        <v>705587</v>
      </c>
      <c r="K239" s="101">
        <f>615000+90587</f>
        <v>705587</v>
      </c>
      <c r="L239" s="101"/>
      <c r="M239" s="101"/>
      <c r="N239" s="101"/>
      <c r="O239" s="101">
        <f>615000+90587</f>
        <v>705587</v>
      </c>
      <c r="P239" s="99">
        <f>E239+J239</f>
        <v>705587</v>
      </c>
      <c r="Q239" s="23"/>
      <c r="R239" s="32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</row>
    <row r="240" spans="1:527" s="22" customFormat="1" ht="31.5" customHeight="1" x14ac:dyDescent="0.25">
      <c r="A240" s="59" t="s">
        <v>252</v>
      </c>
      <c r="B240" s="93" t="str">
        <f>'дод 8'!A166</f>
        <v>6090</v>
      </c>
      <c r="C240" s="93" t="str">
        <f>'дод 8'!B166</f>
        <v>0640</v>
      </c>
      <c r="D240" s="60" t="str">
        <f>'дод 8'!C166</f>
        <v>Інша діяльність у сфері житлово-комунального господарства</v>
      </c>
      <c r="E240" s="99">
        <f t="shared" si="106"/>
        <v>7538903.0100000016</v>
      </c>
      <c r="F240" s="99">
        <f>47773888-76000+38050-9241451.18+49000-200000-6163260-25000-20000+45080.64-300000-4102174-1899640+200000+19300+50500-101200-418760+20000-263600-25000-184814-1453016-25000-78100-179000-2382803-1663012.73-1050451+2500-371540.45-1522530+3000+153472-4875998-3792773.27+22090-722854</f>
        <v>7238903.0100000016</v>
      </c>
      <c r="G240" s="99"/>
      <c r="H240" s="99">
        <f>24500+3000+22090</f>
        <v>49590</v>
      </c>
      <c r="I240" s="99">
        <v>300000</v>
      </c>
      <c r="J240" s="99">
        <f t="shared" si="108"/>
        <v>1785000</v>
      </c>
      <c r="K240" s="99"/>
      <c r="L240" s="99">
        <v>1785000</v>
      </c>
      <c r="M240" s="99"/>
      <c r="N240" s="99"/>
      <c r="O240" s="99"/>
      <c r="P240" s="99">
        <f t="shared" si="107"/>
        <v>9323903.0100000016</v>
      </c>
      <c r="Q240" s="23"/>
      <c r="R240" s="32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</row>
    <row r="241" spans="1:527" s="22" customFormat="1" ht="34.5" x14ac:dyDescent="0.25">
      <c r="A241" s="59" t="s">
        <v>271</v>
      </c>
      <c r="B241" s="93" t="str">
        <f>'дод 8'!A177</f>
        <v>7310</v>
      </c>
      <c r="C241" s="93" t="str">
        <f>'дод 8'!B177</f>
        <v>0443</v>
      </c>
      <c r="D241" s="6" t="s">
        <v>552</v>
      </c>
      <c r="E241" s="99">
        <f t="shared" si="106"/>
        <v>0</v>
      </c>
      <c r="F241" s="99"/>
      <c r="G241" s="99"/>
      <c r="H241" s="99"/>
      <c r="I241" s="99"/>
      <c r="J241" s="99">
        <f t="shared" si="108"/>
        <v>23941791.07</v>
      </c>
      <c r="K241" s="99">
        <f>19836513+300000-38050+50000+200000-169950-49900-49900+49900-49900+85000-200000-3000000+600000-33000+1500000+600000+5700078.07-1389000</f>
        <v>23941791.07</v>
      </c>
      <c r="L241" s="99"/>
      <c r="M241" s="99"/>
      <c r="N241" s="99"/>
      <c r="O241" s="99">
        <f>19836513+300000-38050+50000+200000-169950-49900-49900+49900-49900+85000-200000-3000000+600000-33000+1500000+600000+5700078.07-1389000</f>
        <v>23941791.07</v>
      </c>
      <c r="P241" s="99">
        <f t="shared" si="107"/>
        <v>23941791.07</v>
      </c>
      <c r="Q241" s="23"/>
      <c r="R241" s="32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</row>
    <row r="242" spans="1:527" s="22" customFormat="1" ht="21" customHeight="1" x14ac:dyDescent="0.25">
      <c r="A242" s="59" t="s">
        <v>273</v>
      </c>
      <c r="B242" s="93" t="str">
        <f>'дод 8'!A184</f>
        <v>7330</v>
      </c>
      <c r="C242" s="93" t="str">
        <f>'дод 8'!B184</f>
        <v>0443</v>
      </c>
      <c r="D242" s="6" t="s">
        <v>547</v>
      </c>
      <c r="E242" s="99">
        <f t="shared" si="106"/>
        <v>0</v>
      </c>
      <c r="F242" s="99"/>
      <c r="G242" s="99"/>
      <c r="H242" s="99"/>
      <c r="I242" s="99"/>
      <c r="J242" s="99">
        <f t="shared" si="108"/>
        <v>19164175.579999998</v>
      </c>
      <c r="K242" s="99">
        <f>22088598+49900-407389.42-200000+3500000-4000000+500000+30000+250000+49900-70000+1000000-726244-230045-3300000+990000+151656+1300000-1300000+50000-190000+300000-1201200+240000+104000+20000+115000+50000</f>
        <v>19164175.579999998</v>
      </c>
      <c r="L242" s="99"/>
      <c r="M242" s="99"/>
      <c r="N242" s="99"/>
      <c r="O242" s="99">
        <f>22088598+49900-407389.42-200000+3500000-4000000+500000+30000+250000+49900-70000+1000000-726244-230045-3300000+990000+151656+1300000-1300000+50000-190000+300000-1201200+240000+104000+20000+115000+50000</f>
        <v>19164175.579999998</v>
      </c>
      <c r="P242" s="99">
        <f t="shared" si="107"/>
        <v>19164175.579999998</v>
      </c>
      <c r="Q242" s="23"/>
      <c r="R242" s="32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</row>
    <row r="243" spans="1:527" s="22" customFormat="1" ht="33" customHeight="1" x14ac:dyDescent="0.25">
      <c r="A243" s="59" t="s">
        <v>201</v>
      </c>
      <c r="B243" s="93">
        <v>7340</v>
      </c>
      <c r="C243" s="93" t="str">
        <f>'дод 8'!B183</f>
        <v>0443</v>
      </c>
      <c r="D243" s="60" t="str">
        <f>'дод 8'!C185</f>
        <v>Проектування, реставрація та охорона пам'яток архітектури</v>
      </c>
      <c r="E243" s="99">
        <f t="shared" ref="E243" si="109">F243+I243</f>
        <v>0</v>
      </c>
      <c r="F243" s="99"/>
      <c r="G243" s="99"/>
      <c r="H243" s="99"/>
      <c r="I243" s="99"/>
      <c r="J243" s="99">
        <f t="shared" ref="J243" si="110">L243+O243</f>
        <v>3250000</v>
      </c>
      <c r="K243" s="99">
        <f>3250000</f>
        <v>3250000</v>
      </c>
      <c r="L243" s="99"/>
      <c r="M243" s="99"/>
      <c r="N243" s="99"/>
      <c r="O243" s="99">
        <f>3250000</f>
        <v>3250000</v>
      </c>
      <c r="P243" s="99">
        <f t="shared" ref="P243" si="111">E243+J243</f>
        <v>3250000</v>
      </c>
      <c r="Q243" s="23"/>
      <c r="R243" s="32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  <c r="TG243" s="23"/>
    </row>
    <row r="244" spans="1:527" s="22" customFormat="1" ht="49.5" hidden="1" customHeight="1" x14ac:dyDescent="0.25">
      <c r="A244" s="59" t="s">
        <v>370</v>
      </c>
      <c r="B244" s="93">
        <f>'дод 8'!A187</f>
        <v>7361</v>
      </c>
      <c r="C244" s="93" t="str">
        <f>'дод 8'!B187</f>
        <v>0490</v>
      </c>
      <c r="D244" s="60" t="str">
        <f>'дод 8'!C187</f>
        <v>Співфінансування інвестиційних проектів, що реалізуються за рахунок коштів державного фонду регіонального розвитку</v>
      </c>
      <c r="E244" s="99">
        <f t="shared" si="106"/>
        <v>0</v>
      </c>
      <c r="F244" s="99"/>
      <c r="G244" s="99"/>
      <c r="H244" s="99"/>
      <c r="I244" s="99"/>
      <c r="J244" s="99">
        <f t="shared" si="108"/>
        <v>0</v>
      </c>
      <c r="K244" s="99"/>
      <c r="L244" s="99"/>
      <c r="M244" s="99"/>
      <c r="N244" s="99"/>
      <c r="O244" s="99"/>
      <c r="P244" s="99">
        <f t="shared" si="107"/>
        <v>0</v>
      </c>
      <c r="Q244" s="23"/>
      <c r="R244" s="32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</row>
    <row r="245" spans="1:527" s="22" customFormat="1" ht="30" hidden="1" customHeight="1" x14ac:dyDescent="0.25">
      <c r="A245" s="59">
        <v>1217362</v>
      </c>
      <c r="B245" s="93">
        <f>'дод 8'!A188</f>
        <v>7362</v>
      </c>
      <c r="C245" s="93" t="str">
        <f>'дод 8'!B188</f>
        <v>0490</v>
      </c>
      <c r="D245" s="60" t="str">
        <f>'дод 8'!C188</f>
        <v>Виконання інвестиційних проектів в рамках підтримки розвитку об'єднаних територіальних громад</v>
      </c>
      <c r="E245" s="99">
        <f t="shared" si="106"/>
        <v>0</v>
      </c>
      <c r="F245" s="99"/>
      <c r="G245" s="99"/>
      <c r="H245" s="99"/>
      <c r="I245" s="99"/>
      <c r="J245" s="99">
        <f t="shared" si="108"/>
        <v>0</v>
      </c>
      <c r="K245" s="99"/>
      <c r="L245" s="99"/>
      <c r="M245" s="99"/>
      <c r="N245" s="99"/>
      <c r="O245" s="99"/>
      <c r="P245" s="99">
        <f t="shared" si="107"/>
        <v>0</v>
      </c>
      <c r="Q245" s="23"/>
      <c r="R245" s="32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</row>
    <row r="246" spans="1:527" s="22" customFormat="1" ht="47.25" x14ac:dyDescent="0.25">
      <c r="A246" s="59" t="s">
        <v>368</v>
      </c>
      <c r="B246" s="93">
        <v>7363</v>
      </c>
      <c r="C246" s="37" t="s">
        <v>82</v>
      </c>
      <c r="D246" s="36" t="s">
        <v>398</v>
      </c>
      <c r="E246" s="99">
        <f t="shared" si="106"/>
        <v>0</v>
      </c>
      <c r="F246" s="99"/>
      <c r="G246" s="99"/>
      <c r="H246" s="99"/>
      <c r="I246" s="99"/>
      <c r="J246" s="99">
        <f t="shared" si="108"/>
        <v>13759984</v>
      </c>
      <c r="K246" s="99">
        <f>2800000+5000000+5359984+400000+200000</f>
        <v>13759984</v>
      </c>
      <c r="L246" s="99"/>
      <c r="M246" s="99"/>
      <c r="N246" s="99"/>
      <c r="O246" s="99">
        <f>2800000+5000000+5359984+400000+200000</f>
        <v>13759984</v>
      </c>
      <c r="P246" s="99">
        <f t="shared" si="107"/>
        <v>13759984</v>
      </c>
      <c r="Q246" s="23"/>
      <c r="R246" s="32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</row>
    <row r="247" spans="1:527" s="24" customFormat="1" ht="50.25" customHeight="1" x14ac:dyDescent="0.25">
      <c r="A247" s="84"/>
      <c r="B247" s="111"/>
      <c r="C247" s="111"/>
      <c r="D247" s="87" t="s">
        <v>388</v>
      </c>
      <c r="E247" s="101">
        <f t="shared" si="106"/>
        <v>0</v>
      </c>
      <c r="F247" s="101"/>
      <c r="G247" s="101"/>
      <c r="H247" s="101"/>
      <c r="I247" s="101"/>
      <c r="J247" s="101">
        <f t="shared" si="108"/>
        <v>10359984</v>
      </c>
      <c r="K247" s="101">
        <f>5000000+5359984</f>
        <v>10359984</v>
      </c>
      <c r="L247" s="101"/>
      <c r="M247" s="101"/>
      <c r="N247" s="101"/>
      <c r="O247" s="101">
        <f>5000000+5359984</f>
        <v>10359984</v>
      </c>
      <c r="P247" s="101">
        <f t="shared" si="107"/>
        <v>10359984</v>
      </c>
      <c r="Q247" s="30"/>
      <c r="R247" s="32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  <c r="IW247" s="30"/>
      <c r="IX247" s="30"/>
      <c r="IY247" s="30"/>
      <c r="IZ247" s="30"/>
      <c r="JA247" s="30"/>
      <c r="JB247" s="30"/>
      <c r="JC247" s="30"/>
      <c r="JD247" s="30"/>
      <c r="JE247" s="30"/>
      <c r="JF247" s="30"/>
      <c r="JG247" s="30"/>
      <c r="JH247" s="30"/>
      <c r="JI247" s="30"/>
      <c r="JJ247" s="30"/>
      <c r="JK247" s="30"/>
      <c r="JL247" s="30"/>
      <c r="JM247" s="30"/>
      <c r="JN247" s="30"/>
      <c r="JO247" s="30"/>
      <c r="JP247" s="30"/>
      <c r="JQ247" s="30"/>
      <c r="JR247" s="30"/>
      <c r="JS247" s="30"/>
      <c r="JT247" s="30"/>
      <c r="JU247" s="30"/>
      <c r="JV247" s="30"/>
      <c r="JW247" s="30"/>
      <c r="JX247" s="30"/>
      <c r="JY247" s="30"/>
      <c r="JZ247" s="30"/>
      <c r="KA247" s="30"/>
      <c r="KB247" s="30"/>
      <c r="KC247" s="30"/>
      <c r="KD247" s="30"/>
      <c r="KE247" s="30"/>
      <c r="KF247" s="30"/>
      <c r="KG247" s="30"/>
      <c r="KH247" s="30"/>
      <c r="KI247" s="30"/>
      <c r="KJ247" s="30"/>
      <c r="KK247" s="30"/>
      <c r="KL247" s="30"/>
      <c r="KM247" s="30"/>
      <c r="KN247" s="30"/>
      <c r="KO247" s="30"/>
      <c r="KP247" s="30"/>
      <c r="KQ247" s="30"/>
      <c r="KR247" s="30"/>
      <c r="KS247" s="30"/>
      <c r="KT247" s="30"/>
      <c r="KU247" s="30"/>
      <c r="KV247" s="30"/>
      <c r="KW247" s="30"/>
      <c r="KX247" s="30"/>
      <c r="KY247" s="30"/>
      <c r="KZ247" s="30"/>
      <c r="LA247" s="30"/>
      <c r="LB247" s="30"/>
      <c r="LC247" s="30"/>
      <c r="LD247" s="30"/>
      <c r="LE247" s="30"/>
      <c r="LF247" s="30"/>
      <c r="LG247" s="30"/>
      <c r="LH247" s="30"/>
      <c r="LI247" s="30"/>
      <c r="LJ247" s="30"/>
      <c r="LK247" s="30"/>
      <c r="LL247" s="30"/>
      <c r="LM247" s="30"/>
      <c r="LN247" s="30"/>
      <c r="LO247" s="30"/>
      <c r="LP247" s="30"/>
      <c r="LQ247" s="30"/>
      <c r="LR247" s="30"/>
      <c r="LS247" s="30"/>
      <c r="LT247" s="30"/>
      <c r="LU247" s="30"/>
      <c r="LV247" s="30"/>
      <c r="LW247" s="30"/>
      <c r="LX247" s="30"/>
      <c r="LY247" s="30"/>
      <c r="LZ247" s="30"/>
      <c r="MA247" s="30"/>
      <c r="MB247" s="30"/>
      <c r="MC247" s="30"/>
      <c r="MD247" s="30"/>
      <c r="ME247" s="30"/>
      <c r="MF247" s="30"/>
      <c r="MG247" s="30"/>
      <c r="MH247" s="30"/>
      <c r="MI247" s="30"/>
      <c r="MJ247" s="30"/>
      <c r="MK247" s="30"/>
      <c r="ML247" s="30"/>
      <c r="MM247" s="30"/>
      <c r="MN247" s="30"/>
      <c r="MO247" s="30"/>
      <c r="MP247" s="30"/>
      <c r="MQ247" s="30"/>
      <c r="MR247" s="30"/>
      <c r="MS247" s="30"/>
      <c r="MT247" s="30"/>
      <c r="MU247" s="30"/>
      <c r="MV247" s="30"/>
      <c r="MW247" s="30"/>
      <c r="MX247" s="30"/>
      <c r="MY247" s="30"/>
      <c r="MZ247" s="30"/>
      <c r="NA247" s="30"/>
      <c r="NB247" s="30"/>
      <c r="NC247" s="30"/>
      <c r="ND247" s="30"/>
      <c r="NE247" s="30"/>
      <c r="NF247" s="30"/>
      <c r="NG247" s="30"/>
      <c r="NH247" s="30"/>
      <c r="NI247" s="30"/>
      <c r="NJ247" s="30"/>
      <c r="NK247" s="30"/>
      <c r="NL247" s="30"/>
      <c r="NM247" s="30"/>
      <c r="NN247" s="30"/>
      <c r="NO247" s="30"/>
      <c r="NP247" s="30"/>
      <c r="NQ247" s="30"/>
      <c r="NR247" s="30"/>
      <c r="NS247" s="30"/>
      <c r="NT247" s="30"/>
      <c r="NU247" s="30"/>
      <c r="NV247" s="30"/>
      <c r="NW247" s="30"/>
      <c r="NX247" s="30"/>
      <c r="NY247" s="30"/>
      <c r="NZ247" s="30"/>
      <c r="OA247" s="30"/>
      <c r="OB247" s="30"/>
      <c r="OC247" s="30"/>
      <c r="OD247" s="30"/>
      <c r="OE247" s="30"/>
      <c r="OF247" s="30"/>
      <c r="OG247" s="30"/>
      <c r="OH247" s="30"/>
      <c r="OI247" s="30"/>
      <c r="OJ247" s="30"/>
      <c r="OK247" s="30"/>
      <c r="OL247" s="30"/>
      <c r="OM247" s="30"/>
      <c r="ON247" s="30"/>
      <c r="OO247" s="30"/>
      <c r="OP247" s="30"/>
      <c r="OQ247" s="30"/>
      <c r="OR247" s="30"/>
      <c r="OS247" s="30"/>
      <c r="OT247" s="30"/>
      <c r="OU247" s="30"/>
      <c r="OV247" s="30"/>
      <c r="OW247" s="30"/>
      <c r="OX247" s="30"/>
      <c r="OY247" s="30"/>
      <c r="OZ247" s="30"/>
      <c r="PA247" s="30"/>
      <c r="PB247" s="30"/>
      <c r="PC247" s="30"/>
      <c r="PD247" s="30"/>
      <c r="PE247" s="30"/>
      <c r="PF247" s="30"/>
      <c r="PG247" s="30"/>
      <c r="PH247" s="30"/>
      <c r="PI247" s="30"/>
      <c r="PJ247" s="30"/>
      <c r="PK247" s="30"/>
      <c r="PL247" s="30"/>
      <c r="PM247" s="30"/>
      <c r="PN247" s="30"/>
      <c r="PO247" s="30"/>
      <c r="PP247" s="30"/>
      <c r="PQ247" s="30"/>
      <c r="PR247" s="30"/>
      <c r="PS247" s="30"/>
      <c r="PT247" s="30"/>
      <c r="PU247" s="30"/>
      <c r="PV247" s="30"/>
      <c r="PW247" s="30"/>
      <c r="PX247" s="30"/>
      <c r="PY247" s="30"/>
      <c r="PZ247" s="30"/>
      <c r="QA247" s="30"/>
      <c r="QB247" s="30"/>
      <c r="QC247" s="30"/>
      <c r="QD247" s="30"/>
      <c r="QE247" s="30"/>
      <c r="QF247" s="30"/>
      <c r="QG247" s="30"/>
      <c r="QH247" s="30"/>
      <c r="QI247" s="30"/>
      <c r="QJ247" s="30"/>
      <c r="QK247" s="30"/>
      <c r="QL247" s="30"/>
      <c r="QM247" s="30"/>
      <c r="QN247" s="30"/>
      <c r="QO247" s="30"/>
      <c r="QP247" s="30"/>
      <c r="QQ247" s="30"/>
      <c r="QR247" s="30"/>
      <c r="QS247" s="30"/>
      <c r="QT247" s="30"/>
      <c r="QU247" s="30"/>
      <c r="QV247" s="30"/>
      <c r="QW247" s="30"/>
      <c r="QX247" s="30"/>
      <c r="QY247" s="30"/>
      <c r="QZ247" s="30"/>
      <c r="RA247" s="30"/>
      <c r="RB247" s="30"/>
      <c r="RC247" s="30"/>
      <c r="RD247" s="30"/>
      <c r="RE247" s="30"/>
      <c r="RF247" s="30"/>
      <c r="RG247" s="30"/>
      <c r="RH247" s="30"/>
      <c r="RI247" s="30"/>
      <c r="RJ247" s="30"/>
      <c r="RK247" s="30"/>
      <c r="RL247" s="30"/>
      <c r="RM247" s="30"/>
      <c r="RN247" s="30"/>
      <c r="RO247" s="30"/>
      <c r="RP247" s="30"/>
      <c r="RQ247" s="30"/>
      <c r="RR247" s="30"/>
      <c r="RS247" s="30"/>
      <c r="RT247" s="30"/>
      <c r="RU247" s="30"/>
      <c r="RV247" s="30"/>
      <c r="RW247" s="30"/>
      <c r="RX247" s="30"/>
      <c r="RY247" s="30"/>
      <c r="RZ247" s="30"/>
      <c r="SA247" s="30"/>
      <c r="SB247" s="30"/>
      <c r="SC247" s="30"/>
      <c r="SD247" s="30"/>
      <c r="SE247" s="30"/>
      <c r="SF247" s="30"/>
      <c r="SG247" s="30"/>
      <c r="SH247" s="30"/>
      <c r="SI247" s="30"/>
      <c r="SJ247" s="30"/>
      <c r="SK247" s="30"/>
      <c r="SL247" s="30"/>
      <c r="SM247" s="30"/>
      <c r="SN247" s="30"/>
      <c r="SO247" s="30"/>
      <c r="SP247" s="30"/>
      <c r="SQ247" s="30"/>
      <c r="SR247" s="30"/>
      <c r="SS247" s="30"/>
      <c r="ST247" s="30"/>
      <c r="SU247" s="30"/>
      <c r="SV247" s="30"/>
      <c r="SW247" s="30"/>
      <c r="SX247" s="30"/>
      <c r="SY247" s="30"/>
      <c r="SZ247" s="30"/>
      <c r="TA247" s="30"/>
      <c r="TB247" s="30"/>
      <c r="TC247" s="30"/>
      <c r="TD247" s="30"/>
      <c r="TE247" s="30"/>
      <c r="TF247" s="30"/>
      <c r="TG247" s="30"/>
    </row>
    <row r="248" spans="1:527" s="24" customFormat="1" ht="31.5" x14ac:dyDescent="0.25">
      <c r="A248" s="59" t="s">
        <v>591</v>
      </c>
      <c r="B248" s="93">
        <v>7368</v>
      </c>
      <c r="C248" s="37" t="s">
        <v>82</v>
      </c>
      <c r="D248" s="36" t="s">
        <v>592</v>
      </c>
      <c r="E248" s="99">
        <f t="shared" si="106"/>
        <v>0</v>
      </c>
      <c r="F248" s="101"/>
      <c r="G248" s="101"/>
      <c r="H248" s="101"/>
      <c r="I248" s="101"/>
      <c r="J248" s="99">
        <f t="shared" si="108"/>
        <v>200000</v>
      </c>
      <c r="K248" s="99">
        <v>200000</v>
      </c>
      <c r="L248" s="99"/>
      <c r="M248" s="99"/>
      <c r="N248" s="99"/>
      <c r="O248" s="99">
        <v>200000</v>
      </c>
      <c r="P248" s="99">
        <f t="shared" si="107"/>
        <v>200000</v>
      </c>
      <c r="Q248" s="30"/>
      <c r="R248" s="32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  <c r="LU248" s="30"/>
      <c r="LV248" s="30"/>
      <c r="LW248" s="30"/>
      <c r="LX248" s="30"/>
      <c r="LY248" s="30"/>
      <c r="LZ248" s="30"/>
      <c r="MA248" s="30"/>
      <c r="MB248" s="30"/>
      <c r="MC248" s="30"/>
      <c r="MD248" s="30"/>
      <c r="ME248" s="30"/>
      <c r="MF248" s="30"/>
      <c r="MG248" s="30"/>
      <c r="MH248" s="30"/>
      <c r="MI248" s="30"/>
      <c r="MJ248" s="30"/>
      <c r="MK248" s="30"/>
      <c r="ML248" s="30"/>
      <c r="MM248" s="30"/>
      <c r="MN248" s="30"/>
      <c r="MO248" s="30"/>
      <c r="MP248" s="30"/>
      <c r="MQ248" s="30"/>
      <c r="MR248" s="30"/>
      <c r="MS248" s="30"/>
      <c r="MT248" s="30"/>
      <c r="MU248" s="30"/>
      <c r="MV248" s="30"/>
      <c r="MW248" s="30"/>
      <c r="MX248" s="30"/>
      <c r="MY248" s="30"/>
      <c r="MZ248" s="30"/>
      <c r="NA248" s="30"/>
      <c r="NB248" s="30"/>
      <c r="NC248" s="30"/>
      <c r="ND248" s="30"/>
      <c r="NE248" s="30"/>
      <c r="NF248" s="30"/>
      <c r="NG248" s="30"/>
      <c r="NH248" s="30"/>
      <c r="NI248" s="30"/>
      <c r="NJ248" s="30"/>
      <c r="NK248" s="30"/>
      <c r="NL248" s="30"/>
      <c r="NM248" s="30"/>
      <c r="NN248" s="30"/>
      <c r="NO248" s="30"/>
      <c r="NP248" s="30"/>
      <c r="NQ248" s="30"/>
      <c r="NR248" s="30"/>
      <c r="NS248" s="30"/>
      <c r="NT248" s="30"/>
      <c r="NU248" s="30"/>
      <c r="NV248" s="30"/>
      <c r="NW248" s="30"/>
      <c r="NX248" s="30"/>
      <c r="NY248" s="30"/>
      <c r="NZ248" s="30"/>
      <c r="OA248" s="30"/>
      <c r="OB248" s="30"/>
      <c r="OC248" s="30"/>
      <c r="OD248" s="30"/>
      <c r="OE248" s="30"/>
      <c r="OF248" s="30"/>
      <c r="OG248" s="30"/>
      <c r="OH248" s="30"/>
      <c r="OI248" s="30"/>
      <c r="OJ248" s="30"/>
      <c r="OK248" s="30"/>
      <c r="OL248" s="30"/>
      <c r="OM248" s="30"/>
      <c r="ON248" s="30"/>
      <c r="OO248" s="30"/>
      <c r="OP248" s="30"/>
      <c r="OQ248" s="30"/>
      <c r="OR248" s="30"/>
      <c r="OS248" s="30"/>
      <c r="OT248" s="30"/>
      <c r="OU248" s="30"/>
      <c r="OV248" s="30"/>
      <c r="OW248" s="30"/>
      <c r="OX248" s="30"/>
      <c r="OY248" s="30"/>
      <c r="OZ248" s="30"/>
      <c r="PA248" s="30"/>
      <c r="PB248" s="30"/>
      <c r="PC248" s="30"/>
      <c r="PD248" s="30"/>
      <c r="PE248" s="30"/>
      <c r="PF248" s="30"/>
      <c r="PG248" s="30"/>
      <c r="PH248" s="30"/>
      <c r="PI248" s="30"/>
      <c r="PJ248" s="30"/>
      <c r="PK248" s="30"/>
      <c r="PL248" s="30"/>
      <c r="PM248" s="30"/>
      <c r="PN248" s="30"/>
      <c r="PO248" s="30"/>
      <c r="PP248" s="30"/>
      <c r="PQ248" s="30"/>
      <c r="PR248" s="30"/>
      <c r="PS248" s="30"/>
      <c r="PT248" s="30"/>
      <c r="PU248" s="30"/>
      <c r="PV248" s="30"/>
      <c r="PW248" s="30"/>
      <c r="PX248" s="30"/>
      <c r="PY248" s="30"/>
      <c r="PZ248" s="30"/>
      <c r="QA248" s="30"/>
      <c r="QB248" s="30"/>
      <c r="QC248" s="30"/>
      <c r="QD248" s="30"/>
      <c r="QE248" s="30"/>
      <c r="QF248" s="30"/>
      <c r="QG248" s="30"/>
      <c r="QH248" s="30"/>
      <c r="QI248" s="30"/>
      <c r="QJ248" s="30"/>
      <c r="QK248" s="30"/>
      <c r="QL248" s="30"/>
      <c r="QM248" s="30"/>
      <c r="QN248" s="30"/>
      <c r="QO248" s="30"/>
      <c r="QP248" s="30"/>
      <c r="QQ248" s="30"/>
      <c r="QR248" s="30"/>
      <c r="QS248" s="30"/>
      <c r="QT248" s="30"/>
      <c r="QU248" s="30"/>
      <c r="QV248" s="30"/>
      <c r="QW248" s="30"/>
      <c r="QX248" s="30"/>
      <c r="QY248" s="30"/>
      <c r="QZ248" s="30"/>
      <c r="RA248" s="30"/>
      <c r="RB248" s="30"/>
      <c r="RC248" s="30"/>
      <c r="RD248" s="30"/>
      <c r="RE248" s="30"/>
      <c r="RF248" s="30"/>
      <c r="RG248" s="30"/>
      <c r="RH248" s="30"/>
      <c r="RI248" s="30"/>
      <c r="RJ248" s="30"/>
      <c r="RK248" s="30"/>
      <c r="RL248" s="30"/>
      <c r="RM248" s="30"/>
      <c r="RN248" s="30"/>
      <c r="RO248" s="30"/>
      <c r="RP248" s="30"/>
      <c r="RQ248" s="30"/>
      <c r="RR248" s="30"/>
      <c r="RS248" s="30"/>
      <c r="RT248" s="30"/>
      <c r="RU248" s="30"/>
      <c r="RV248" s="30"/>
      <c r="RW248" s="30"/>
      <c r="RX248" s="30"/>
      <c r="RY248" s="30"/>
      <c r="RZ248" s="30"/>
      <c r="SA248" s="30"/>
      <c r="SB248" s="30"/>
      <c r="SC248" s="30"/>
      <c r="SD248" s="30"/>
      <c r="SE248" s="30"/>
      <c r="SF248" s="30"/>
      <c r="SG248" s="30"/>
      <c r="SH248" s="30"/>
      <c r="SI248" s="30"/>
      <c r="SJ248" s="30"/>
      <c r="SK248" s="30"/>
      <c r="SL248" s="30"/>
      <c r="SM248" s="30"/>
      <c r="SN248" s="30"/>
      <c r="SO248" s="30"/>
      <c r="SP248" s="30"/>
      <c r="SQ248" s="30"/>
      <c r="SR248" s="30"/>
      <c r="SS248" s="30"/>
      <c r="ST248" s="30"/>
      <c r="SU248" s="30"/>
      <c r="SV248" s="30"/>
      <c r="SW248" s="30"/>
      <c r="SX248" s="30"/>
      <c r="SY248" s="30"/>
      <c r="SZ248" s="30"/>
      <c r="TA248" s="30"/>
      <c r="TB248" s="30"/>
      <c r="TC248" s="30"/>
      <c r="TD248" s="30"/>
      <c r="TE248" s="30"/>
      <c r="TF248" s="30"/>
      <c r="TG248" s="30"/>
    </row>
    <row r="249" spans="1:527" s="24" customFormat="1" ht="15.75" x14ac:dyDescent="0.25">
      <c r="A249" s="84"/>
      <c r="B249" s="111"/>
      <c r="C249" s="111"/>
      <c r="D249" s="85" t="s">
        <v>393</v>
      </c>
      <c r="E249" s="101">
        <f t="shared" si="106"/>
        <v>0</v>
      </c>
      <c r="F249" s="101"/>
      <c r="G249" s="101"/>
      <c r="H249" s="101"/>
      <c r="I249" s="101"/>
      <c r="J249" s="101">
        <f t="shared" si="108"/>
        <v>200000</v>
      </c>
      <c r="K249" s="101">
        <v>200000</v>
      </c>
      <c r="L249" s="101"/>
      <c r="M249" s="101"/>
      <c r="N249" s="101"/>
      <c r="O249" s="101">
        <v>200000</v>
      </c>
      <c r="P249" s="101">
        <f t="shared" si="107"/>
        <v>200000</v>
      </c>
      <c r="Q249" s="30"/>
      <c r="R249" s="32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  <c r="LU249" s="30"/>
      <c r="LV249" s="30"/>
      <c r="LW249" s="30"/>
      <c r="LX249" s="30"/>
      <c r="LY249" s="30"/>
      <c r="LZ249" s="30"/>
      <c r="MA249" s="30"/>
      <c r="MB249" s="30"/>
      <c r="MC249" s="30"/>
      <c r="MD249" s="30"/>
      <c r="ME249" s="30"/>
      <c r="MF249" s="30"/>
      <c r="MG249" s="30"/>
      <c r="MH249" s="30"/>
      <c r="MI249" s="30"/>
      <c r="MJ249" s="30"/>
      <c r="MK249" s="30"/>
      <c r="ML249" s="30"/>
      <c r="MM249" s="30"/>
      <c r="MN249" s="30"/>
      <c r="MO249" s="30"/>
      <c r="MP249" s="30"/>
      <c r="MQ249" s="30"/>
      <c r="MR249" s="30"/>
      <c r="MS249" s="30"/>
      <c r="MT249" s="30"/>
      <c r="MU249" s="30"/>
      <c r="MV249" s="30"/>
      <c r="MW249" s="30"/>
      <c r="MX249" s="30"/>
      <c r="MY249" s="30"/>
      <c r="MZ249" s="30"/>
      <c r="NA249" s="30"/>
      <c r="NB249" s="30"/>
      <c r="NC249" s="30"/>
      <c r="ND249" s="30"/>
      <c r="NE249" s="30"/>
      <c r="NF249" s="30"/>
      <c r="NG249" s="30"/>
      <c r="NH249" s="30"/>
      <c r="NI249" s="30"/>
      <c r="NJ249" s="30"/>
      <c r="NK249" s="30"/>
      <c r="NL249" s="30"/>
      <c r="NM249" s="30"/>
      <c r="NN249" s="30"/>
      <c r="NO249" s="30"/>
      <c r="NP249" s="30"/>
      <c r="NQ249" s="30"/>
      <c r="NR249" s="30"/>
      <c r="NS249" s="30"/>
      <c r="NT249" s="30"/>
      <c r="NU249" s="30"/>
      <c r="NV249" s="30"/>
      <c r="NW249" s="30"/>
      <c r="NX249" s="30"/>
      <c r="NY249" s="30"/>
      <c r="NZ249" s="30"/>
      <c r="OA249" s="30"/>
      <c r="OB249" s="30"/>
      <c r="OC249" s="30"/>
      <c r="OD249" s="30"/>
      <c r="OE249" s="30"/>
      <c r="OF249" s="30"/>
      <c r="OG249" s="30"/>
      <c r="OH249" s="30"/>
      <c r="OI249" s="30"/>
      <c r="OJ249" s="30"/>
      <c r="OK249" s="30"/>
      <c r="OL249" s="30"/>
      <c r="OM249" s="30"/>
      <c r="ON249" s="30"/>
      <c r="OO249" s="30"/>
      <c r="OP249" s="30"/>
      <c r="OQ249" s="30"/>
      <c r="OR249" s="30"/>
      <c r="OS249" s="30"/>
      <c r="OT249" s="30"/>
      <c r="OU249" s="30"/>
      <c r="OV249" s="30"/>
      <c r="OW249" s="30"/>
      <c r="OX249" s="30"/>
      <c r="OY249" s="30"/>
      <c r="OZ249" s="30"/>
      <c r="PA249" s="30"/>
      <c r="PB249" s="30"/>
      <c r="PC249" s="30"/>
      <c r="PD249" s="30"/>
      <c r="PE249" s="30"/>
      <c r="PF249" s="30"/>
      <c r="PG249" s="30"/>
      <c r="PH249" s="30"/>
      <c r="PI249" s="30"/>
      <c r="PJ249" s="30"/>
      <c r="PK249" s="30"/>
      <c r="PL249" s="30"/>
      <c r="PM249" s="30"/>
      <c r="PN249" s="30"/>
      <c r="PO249" s="30"/>
      <c r="PP249" s="30"/>
      <c r="PQ249" s="30"/>
      <c r="PR249" s="30"/>
      <c r="PS249" s="30"/>
      <c r="PT249" s="30"/>
      <c r="PU249" s="30"/>
      <c r="PV249" s="30"/>
      <c r="PW249" s="30"/>
      <c r="PX249" s="30"/>
      <c r="PY249" s="30"/>
      <c r="PZ249" s="30"/>
      <c r="QA249" s="30"/>
      <c r="QB249" s="30"/>
      <c r="QC249" s="30"/>
      <c r="QD249" s="30"/>
      <c r="QE249" s="30"/>
      <c r="QF249" s="30"/>
      <c r="QG249" s="30"/>
      <c r="QH249" s="30"/>
      <c r="QI249" s="30"/>
      <c r="QJ249" s="30"/>
      <c r="QK249" s="30"/>
      <c r="QL249" s="30"/>
      <c r="QM249" s="30"/>
      <c r="QN249" s="30"/>
      <c r="QO249" s="30"/>
      <c r="QP249" s="30"/>
      <c r="QQ249" s="30"/>
      <c r="QR249" s="30"/>
      <c r="QS249" s="30"/>
      <c r="QT249" s="30"/>
      <c r="QU249" s="30"/>
      <c r="QV249" s="30"/>
      <c r="QW249" s="30"/>
      <c r="QX249" s="30"/>
      <c r="QY249" s="30"/>
      <c r="QZ249" s="30"/>
      <c r="RA249" s="30"/>
      <c r="RB249" s="30"/>
      <c r="RC249" s="30"/>
      <c r="RD249" s="30"/>
      <c r="RE249" s="30"/>
      <c r="RF249" s="30"/>
      <c r="RG249" s="30"/>
      <c r="RH249" s="30"/>
      <c r="RI249" s="30"/>
      <c r="RJ249" s="30"/>
      <c r="RK249" s="30"/>
      <c r="RL249" s="30"/>
      <c r="RM249" s="30"/>
      <c r="RN249" s="30"/>
      <c r="RO249" s="30"/>
      <c r="RP249" s="30"/>
      <c r="RQ249" s="30"/>
      <c r="RR249" s="30"/>
      <c r="RS249" s="30"/>
      <c r="RT249" s="30"/>
      <c r="RU249" s="30"/>
      <c r="RV249" s="30"/>
      <c r="RW249" s="30"/>
      <c r="RX249" s="30"/>
      <c r="RY249" s="30"/>
      <c r="RZ249" s="30"/>
      <c r="SA249" s="30"/>
      <c r="SB249" s="30"/>
      <c r="SC249" s="30"/>
      <c r="SD249" s="30"/>
      <c r="SE249" s="30"/>
      <c r="SF249" s="30"/>
      <c r="SG249" s="30"/>
      <c r="SH249" s="30"/>
      <c r="SI249" s="30"/>
      <c r="SJ249" s="30"/>
      <c r="SK249" s="30"/>
      <c r="SL249" s="30"/>
      <c r="SM249" s="30"/>
      <c r="SN249" s="30"/>
      <c r="SO249" s="30"/>
      <c r="SP249" s="30"/>
      <c r="SQ249" s="30"/>
      <c r="SR249" s="30"/>
      <c r="SS249" s="30"/>
      <c r="ST249" s="30"/>
      <c r="SU249" s="30"/>
      <c r="SV249" s="30"/>
      <c r="SW249" s="30"/>
      <c r="SX249" s="30"/>
      <c r="SY249" s="30"/>
      <c r="SZ249" s="30"/>
      <c r="TA249" s="30"/>
      <c r="TB249" s="30"/>
      <c r="TC249" s="30"/>
      <c r="TD249" s="30"/>
      <c r="TE249" s="30"/>
      <c r="TF249" s="30"/>
      <c r="TG249" s="30"/>
    </row>
    <row r="250" spans="1:527" s="22" customFormat="1" ht="47.25" x14ac:dyDescent="0.25">
      <c r="A250" s="59" t="s">
        <v>374</v>
      </c>
      <c r="B250" s="93">
        <f>'дод 8'!A202</f>
        <v>7462</v>
      </c>
      <c r="C250" s="59" t="s">
        <v>400</v>
      </c>
      <c r="D250" s="117" t="s">
        <v>399</v>
      </c>
      <c r="E250" s="99">
        <f t="shared" ref="E250:E255" si="112">F250+I250</f>
        <v>1527346</v>
      </c>
      <c r="F250" s="99">
        <v>1527346</v>
      </c>
      <c r="G250" s="99"/>
      <c r="H250" s="99"/>
      <c r="I250" s="99"/>
      <c r="J250" s="99">
        <f t="shared" ref="J250:J255" si="113">L250+O250</f>
        <v>0</v>
      </c>
      <c r="K250" s="99"/>
      <c r="L250" s="99"/>
      <c r="M250" s="99"/>
      <c r="N250" s="99"/>
      <c r="O250" s="99"/>
      <c r="P250" s="99">
        <f t="shared" ref="P250:P255" si="114">E250+J250</f>
        <v>1527346</v>
      </c>
      <c r="Q250" s="23"/>
      <c r="R250" s="32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</row>
    <row r="251" spans="1:527" s="24" customFormat="1" ht="110.25" hidden="1" customHeight="1" x14ac:dyDescent="0.25">
      <c r="A251" s="84"/>
      <c r="B251" s="111"/>
      <c r="C251" s="111"/>
      <c r="D251" s="87" t="s">
        <v>397</v>
      </c>
      <c r="E251" s="101">
        <f t="shared" si="112"/>
        <v>0</v>
      </c>
      <c r="F251" s="101"/>
      <c r="G251" s="101"/>
      <c r="H251" s="101"/>
      <c r="I251" s="101"/>
      <c r="J251" s="101">
        <f t="shared" si="113"/>
        <v>0</v>
      </c>
      <c r="K251" s="101"/>
      <c r="L251" s="101"/>
      <c r="M251" s="101"/>
      <c r="N251" s="101"/>
      <c r="O251" s="101"/>
      <c r="P251" s="101">
        <f t="shared" si="114"/>
        <v>0</v>
      </c>
      <c r="Q251" s="30"/>
      <c r="R251" s="32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  <c r="LU251" s="30"/>
      <c r="LV251" s="30"/>
      <c r="LW251" s="30"/>
      <c r="LX251" s="30"/>
      <c r="LY251" s="30"/>
      <c r="LZ251" s="30"/>
      <c r="MA251" s="30"/>
      <c r="MB251" s="30"/>
      <c r="MC251" s="30"/>
      <c r="MD251" s="30"/>
      <c r="ME251" s="30"/>
      <c r="MF251" s="30"/>
      <c r="MG251" s="30"/>
      <c r="MH251" s="30"/>
      <c r="MI251" s="30"/>
      <c r="MJ251" s="30"/>
      <c r="MK251" s="30"/>
      <c r="ML251" s="30"/>
      <c r="MM251" s="30"/>
      <c r="MN251" s="30"/>
      <c r="MO251" s="30"/>
      <c r="MP251" s="30"/>
      <c r="MQ251" s="30"/>
      <c r="MR251" s="30"/>
      <c r="MS251" s="30"/>
      <c r="MT251" s="30"/>
      <c r="MU251" s="30"/>
      <c r="MV251" s="30"/>
      <c r="MW251" s="30"/>
      <c r="MX251" s="30"/>
      <c r="MY251" s="30"/>
      <c r="MZ251" s="30"/>
      <c r="NA251" s="30"/>
      <c r="NB251" s="30"/>
      <c r="NC251" s="30"/>
      <c r="ND251" s="30"/>
      <c r="NE251" s="30"/>
      <c r="NF251" s="30"/>
      <c r="NG251" s="30"/>
      <c r="NH251" s="30"/>
      <c r="NI251" s="30"/>
      <c r="NJ251" s="30"/>
      <c r="NK251" s="30"/>
      <c r="NL251" s="30"/>
      <c r="NM251" s="30"/>
      <c r="NN251" s="30"/>
      <c r="NO251" s="30"/>
      <c r="NP251" s="30"/>
      <c r="NQ251" s="30"/>
      <c r="NR251" s="30"/>
      <c r="NS251" s="30"/>
      <c r="NT251" s="30"/>
      <c r="NU251" s="30"/>
      <c r="NV251" s="30"/>
      <c r="NW251" s="30"/>
      <c r="NX251" s="30"/>
      <c r="NY251" s="30"/>
      <c r="NZ251" s="30"/>
      <c r="OA251" s="30"/>
      <c r="OB251" s="30"/>
      <c r="OC251" s="30"/>
      <c r="OD251" s="30"/>
      <c r="OE251" s="30"/>
      <c r="OF251" s="30"/>
      <c r="OG251" s="30"/>
      <c r="OH251" s="30"/>
      <c r="OI251" s="30"/>
      <c r="OJ251" s="30"/>
      <c r="OK251" s="30"/>
      <c r="OL251" s="30"/>
      <c r="OM251" s="30"/>
      <c r="ON251" s="30"/>
      <c r="OO251" s="30"/>
      <c r="OP251" s="30"/>
      <c r="OQ251" s="30"/>
      <c r="OR251" s="30"/>
      <c r="OS251" s="30"/>
      <c r="OT251" s="30"/>
      <c r="OU251" s="30"/>
      <c r="OV251" s="30"/>
      <c r="OW251" s="30"/>
      <c r="OX251" s="30"/>
      <c r="OY251" s="30"/>
      <c r="OZ251" s="30"/>
      <c r="PA251" s="30"/>
      <c r="PB251" s="30"/>
      <c r="PC251" s="30"/>
      <c r="PD251" s="30"/>
      <c r="PE251" s="30"/>
      <c r="PF251" s="30"/>
      <c r="PG251" s="30"/>
      <c r="PH251" s="30"/>
      <c r="PI251" s="30"/>
      <c r="PJ251" s="30"/>
      <c r="PK251" s="30"/>
      <c r="PL251" s="30"/>
      <c r="PM251" s="30"/>
      <c r="PN251" s="30"/>
      <c r="PO251" s="30"/>
      <c r="PP251" s="30"/>
      <c r="PQ251" s="30"/>
      <c r="PR251" s="30"/>
      <c r="PS251" s="30"/>
      <c r="PT251" s="30"/>
      <c r="PU251" s="30"/>
      <c r="PV251" s="30"/>
      <c r="PW251" s="30"/>
      <c r="PX251" s="30"/>
      <c r="PY251" s="30"/>
      <c r="PZ251" s="30"/>
      <c r="QA251" s="30"/>
      <c r="QB251" s="30"/>
      <c r="QC251" s="30"/>
      <c r="QD251" s="30"/>
      <c r="QE251" s="30"/>
      <c r="QF251" s="30"/>
      <c r="QG251" s="30"/>
      <c r="QH251" s="30"/>
      <c r="QI251" s="30"/>
      <c r="QJ251" s="30"/>
      <c r="QK251" s="30"/>
      <c r="QL251" s="30"/>
      <c r="QM251" s="30"/>
      <c r="QN251" s="30"/>
      <c r="QO251" s="30"/>
      <c r="QP251" s="30"/>
      <c r="QQ251" s="30"/>
      <c r="QR251" s="30"/>
      <c r="QS251" s="30"/>
      <c r="QT251" s="30"/>
      <c r="QU251" s="30"/>
      <c r="QV251" s="30"/>
      <c r="QW251" s="30"/>
      <c r="QX251" s="30"/>
      <c r="QY251" s="30"/>
      <c r="QZ251" s="30"/>
      <c r="RA251" s="30"/>
      <c r="RB251" s="30"/>
      <c r="RC251" s="30"/>
      <c r="RD251" s="30"/>
      <c r="RE251" s="30"/>
      <c r="RF251" s="30"/>
      <c r="RG251" s="30"/>
      <c r="RH251" s="30"/>
      <c r="RI251" s="30"/>
      <c r="RJ251" s="30"/>
      <c r="RK251" s="30"/>
      <c r="RL251" s="30"/>
      <c r="RM251" s="30"/>
      <c r="RN251" s="30"/>
      <c r="RO251" s="30"/>
      <c r="RP251" s="30"/>
      <c r="RQ251" s="30"/>
      <c r="RR251" s="30"/>
      <c r="RS251" s="30"/>
      <c r="RT251" s="30"/>
      <c r="RU251" s="30"/>
      <c r="RV251" s="30"/>
      <c r="RW251" s="30"/>
      <c r="RX251" s="30"/>
      <c r="RY251" s="30"/>
      <c r="RZ251" s="30"/>
      <c r="SA251" s="30"/>
      <c r="SB251" s="30"/>
      <c r="SC251" s="30"/>
      <c r="SD251" s="30"/>
      <c r="SE251" s="30"/>
      <c r="SF251" s="30"/>
      <c r="SG251" s="30"/>
      <c r="SH251" s="30"/>
      <c r="SI251" s="30"/>
      <c r="SJ251" s="30"/>
      <c r="SK251" s="30"/>
      <c r="SL251" s="30"/>
      <c r="SM251" s="30"/>
      <c r="SN251" s="30"/>
      <c r="SO251" s="30"/>
      <c r="SP251" s="30"/>
      <c r="SQ251" s="30"/>
      <c r="SR251" s="30"/>
      <c r="SS251" s="30"/>
      <c r="ST251" s="30"/>
      <c r="SU251" s="30"/>
      <c r="SV251" s="30"/>
      <c r="SW251" s="30"/>
      <c r="SX251" s="30"/>
      <c r="SY251" s="30"/>
      <c r="SZ251" s="30"/>
      <c r="TA251" s="30"/>
      <c r="TB251" s="30"/>
      <c r="TC251" s="30"/>
      <c r="TD251" s="30"/>
      <c r="TE251" s="30"/>
      <c r="TF251" s="30"/>
      <c r="TG251" s="30"/>
    </row>
    <row r="252" spans="1:527" s="24" customFormat="1" ht="78.75" x14ac:dyDescent="0.25">
      <c r="A252" s="84"/>
      <c r="B252" s="111"/>
      <c r="C252" s="84"/>
      <c r="D252" s="87" t="s">
        <v>540</v>
      </c>
      <c r="E252" s="101">
        <f t="shared" si="112"/>
        <v>1527346</v>
      </c>
      <c r="F252" s="101">
        <v>1527346</v>
      </c>
      <c r="G252" s="101"/>
      <c r="H252" s="101"/>
      <c r="I252" s="101"/>
      <c r="J252" s="101">
        <f t="shared" si="113"/>
        <v>0</v>
      </c>
      <c r="K252" s="101"/>
      <c r="L252" s="101"/>
      <c r="M252" s="101"/>
      <c r="N252" s="101"/>
      <c r="O252" s="101"/>
      <c r="P252" s="101">
        <f t="shared" si="114"/>
        <v>1527346</v>
      </c>
      <c r="Q252" s="30"/>
      <c r="R252" s="32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  <c r="LU252" s="30"/>
      <c r="LV252" s="30"/>
      <c r="LW252" s="30"/>
      <c r="LX252" s="30"/>
      <c r="LY252" s="30"/>
      <c r="LZ252" s="30"/>
      <c r="MA252" s="30"/>
      <c r="MB252" s="30"/>
      <c r="MC252" s="30"/>
      <c r="MD252" s="30"/>
      <c r="ME252" s="30"/>
      <c r="MF252" s="30"/>
      <c r="MG252" s="30"/>
      <c r="MH252" s="30"/>
      <c r="MI252" s="30"/>
      <c r="MJ252" s="30"/>
      <c r="MK252" s="30"/>
      <c r="ML252" s="30"/>
      <c r="MM252" s="30"/>
      <c r="MN252" s="30"/>
      <c r="MO252" s="30"/>
      <c r="MP252" s="30"/>
      <c r="MQ252" s="30"/>
      <c r="MR252" s="30"/>
      <c r="MS252" s="30"/>
      <c r="MT252" s="30"/>
      <c r="MU252" s="30"/>
      <c r="MV252" s="30"/>
      <c r="MW252" s="30"/>
      <c r="MX252" s="30"/>
      <c r="MY252" s="30"/>
      <c r="MZ252" s="30"/>
      <c r="NA252" s="30"/>
      <c r="NB252" s="30"/>
      <c r="NC252" s="30"/>
      <c r="ND252" s="30"/>
      <c r="NE252" s="30"/>
      <c r="NF252" s="30"/>
      <c r="NG252" s="30"/>
      <c r="NH252" s="30"/>
      <c r="NI252" s="30"/>
      <c r="NJ252" s="30"/>
      <c r="NK252" s="30"/>
      <c r="NL252" s="30"/>
      <c r="NM252" s="30"/>
      <c r="NN252" s="30"/>
      <c r="NO252" s="30"/>
      <c r="NP252" s="30"/>
      <c r="NQ252" s="30"/>
      <c r="NR252" s="30"/>
      <c r="NS252" s="30"/>
      <c r="NT252" s="30"/>
      <c r="NU252" s="30"/>
      <c r="NV252" s="30"/>
      <c r="NW252" s="30"/>
      <c r="NX252" s="30"/>
      <c r="NY252" s="30"/>
      <c r="NZ252" s="30"/>
      <c r="OA252" s="30"/>
      <c r="OB252" s="30"/>
      <c r="OC252" s="30"/>
      <c r="OD252" s="30"/>
      <c r="OE252" s="30"/>
      <c r="OF252" s="30"/>
      <c r="OG252" s="30"/>
      <c r="OH252" s="30"/>
      <c r="OI252" s="30"/>
      <c r="OJ252" s="30"/>
      <c r="OK252" s="30"/>
      <c r="OL252" s="30"/>
      <c r="OM252" s="30"/>
      <c r="ON252" s="30"/>
      <c r="OO252" s="30"/>
      <c r="OP252" s="30"/>
      <c r="OQ252" s="30"/>
      <c r="OR252" s="30"/>
      <c r="OS252" s="30"/>
      <c r="OT252" s="30"/>
      <c r="OU252" s="30"/>
      <c r="OV252" s="30"/>
      <c r="OW252" s="30"/>
      <c r="OX252" s="30"/>
      <c r="OY252" s="30"/>
      <c r="OZ252" s="30"/>
      <c r="PA252" s="30"/>
      <c r="PB252" s="30"/>
      <c r="PC252" s="30"/>
      <c r="PD252" s="30"/>
      <c r="PE252" s="30"/>
      <c r="PF252" s="30"/>
      <c r="PG252" s="30"/>
      <c r="PH252" s="30"/>
      <c r="PI252" s="30"/>
      <c r="PJ252" s="30"/>
      <c r="PK252" s="30"/>
      <c r="PL252" s="30"/>
      <c r="PM252" s="30"/>
      <c r="PN252" s="30"/>
      <c r="PO252" s="30"/>
      <c r="PP252" s="30"/>
      <c r="PQ252" s="30"/>
      <c r="PR252" s="30"/>
      <c r="PS252" s="30"/>
      <c r="PT252" s="30"/>
      <c r="PU252" s="30"/>
      <c r="PV252" s="30"/>
      <c r="PW252" s="30"/>
      <c r="PX252" s="30"/>
      <c r="PY252" s="30"/>
      <c r="PZ252" s="30"/>
      <c r="QA252" s="30"/>
      <c r="QB252" s="30"/>
      <c r="QC252" s="30"/>
      <c r="QD252" s="30"/>
      <c r="QE252" s="30"/>
      <c r="QF252" s="30"/>
      <c r="QG252" s="30"/>
      <c r="QH252" s="30"/>
      <c r="QI252" s="30"/>
      <c r="QJ252" s="30"/>
      <c r="QK252" s="30"/>
      <c r="QL252" s="30"/>
      <c r="QM252" s="30"/>
      <c r="QN252" s="30"/>
      <c r="QO252" s="30"/>
      <c r="QP252" s="30"/>
      <c r="QQ252" s="30"/>
      <c r="QR252" s="30"/>
      <c r="QS252" s="30"/>
      <c r="QT252" s="30"/>
      <c r="QU252" s="30"/>
      <c r="QV252" s="30"/>
      <c r="QW252" s="30"/>
      <c r="QX252" s="30"/>
      <c r="QY252" s="30"/>
      <c r="QZ252" s="30"/>
      <c r="RA252" s="30"/>
      <c r="RB252" s="30"/>
      <c r="RC252" s="30"/>
      <c r="RD252" s="30"/>
      <c r="RE252" s="30"/>
      <c r="RF252" s="30"/>
      <c r="RG252" s="30"/>
      <c r="RH252" s="30"/>
      <c r="RI252" s="30"/>
      <c r="RJ252" s="30"/>
      <c r="RK252" s="30"/>
      <c r="RL252" s="30"/>
      <c r="RM252" s="30"/>
      <c r="RN252" s="30"/>
      <c r="RO252" s="30"/>
      <c r="RP252" s="30"/>
      <c r="RQ252" s="30"/>
      <c r="RR252" s="30"/>
      <c r="RS252" s="30"/>
      <c r="RT252" s="30"/>
      <c r="RU252" s="30"/>
      <c r="RV252" s="30"/>
      <c r="RW252" s="30"/>
      <c r="RX252" s="30"/>
      <c r="RY252" s="30"/>
      <c r="RZ252" s="30"/>
      <c r="SA252" s="30"/>
      <c r="SB252" s="30"/>
      <c r="SC252" s="30"/>
      <c r="SD252" s="30"/>
      <c r="SE252" s="30"/>
      <c r="SF252" s="30"/>
      <c r="SG252" s="30"/>
      <c r="SH252" s="30"/>
      <c r="SI252" s="30"/>
      <c r="SJ252" s="30"/>
      <c r="SK252" s="30"/>
      <c r="SL252" s="30"/>
      <c r="SM252" s="30"/>
      <c r="SN252" s="30"/>
      <c r="SO252" s="30"/>
      <c r="SP252" s="30"/>
      <c r="SQ252" s="30"/>
      <c r="SR252" s="30"/>
      <c r="SS252" s="30"/>
      <c r="ST252" s="30"/>
      <c r="SU252" s="30"/>
      <c r="SV252" s="30"/>
      <c r="SW252" s="30"/>
      <c r="SX252" s="30"/>
      <c r="SY252" s="30"/>
      <c r="SZ252" s="30"/>
      <c r="TA252" s="30"/>
      <c r="TB252" s="30"/>
      <c r="TC252" s="30"/>
      <c r="TD252" s="30"/>
      <c r="TE252" s="30"/>
      <c r="TF252" s="30"/>
      <c r="TG252" s="30"/>
    </row>
    <row r="253" spans="1:527" s="24" customFormat="1" ht="47.25" x14ac:dyDescent="0.25">
      <c r="A253" s="59" t="s">
        <v>589</v>
      </c>
      <c r="B253" s="93">
        <v>7463</v>
      </c>
      <c r="C253" s="59" t="s">
        <v>400</v>
      </c>
      <c r="D253" s="117" t="s">
        <v>590</v>
      </c>
      <c r="E253" s="99">
        <f t="shared" si="112"/>
        <v>200000</v>
      </c>
      <c r="F253" s="99">
        <v>200000</v>
      </c>
      <c r="G253" s="101"/>
      <c r="H253" s="101"/>
      <c r="I253" s="101"/>
      <c r="J253" s="99">
        <f t="shared" si="113"/>
        <v>0</v>
      </c>
      <c r="K253" s="101"/>
      <c r="L253" s="101"/>
      <c r="M253" s="101"/>
      <c r="N253" s="101"/>
      <c r="O253" s="101"/>
      <c r="P253" s="99">
        <f t="shared" si="114"/>
        <v>200000</v>
      </c>
      <c r="Q253" s="30"/>
      <c r="R253" s="32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  <c r="SO253" s="30"/>
      <c r="SP253" s="30"/>
      <c r="SQ253" s="30"/>
      <c r="SR253" s="30"/>
      <c r="SS253" s="30"/>
      <c r="ST253" s="30"/>
      <c r="SU253" s="30"/>
      <c r="SV253" s="30"/>
      <c r="SW253" s="30"/>
      <c r="SX253" s="30"/>
      <c r="SY253" s="30"/>
      <c r="SZ253" s="30"/>
      <c r="TA253" s="30"/>
      <c r="TB253" s="30"/>
      <c r="TC253" s="30"/>
      <c r="TD253" s="30"/>
      <c r="TE253" s="30"/>
      <c r="TF253" s="30"/>
      <c r="TG253" s="30"/>
    </row>
    <row r="254" spans="1:527" s="24" customFormat="1" ht="15.75" x14ac:dyDescent="0.25">
      <c r="A254" s="84"/>
      <c r="B254" s="111"/>
      <c r="C254" s="84"/>
      <c r="D254" s="85" t="s">
        <v>393</v>
      </c>
      <c r="E254" s="101">
        <f t="shared" si="112"/>
        <v>200000</v>
      </c>
      <c r="F254" s="101">
        <v>200000</v>
      </c>
      <c r="G254" s="101"/>
      <c r="H254" s="101"/>
      <c r="I254" s="101"/>
      <c r="J254" s="101">
        <f t="shared" si="113"/>
        <v>0</v>
      </c>
      <c r="K254" s="101"/>
      <c r="L254" s="101"/>
      <c r="M254" s="101"/>
      <c r="N254" s="101"/>
      <c r="O254" s="101"/>
      <c r="P254" s="101">
        <f t="shared" si="114"/>
        <v>200000</v>
      </c>
      <c r="Q254" s="30"/>
      <c r="R254" s="3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  <c r="SQ254" s="30"/>
      <c r="SR254" s="30"/>
      <c r="SS254" s="30"/>
      <c r="ST254" s="30"/>
      <c r="SU254" s="30"/>
      <c r="SV254" s="30"/>
      <c r="SW254" s="30"/>
      <c r="SX254" s="30"/>
      <c r="SY254" s="30"/>
      <c r="SZ254" s="30"/>
      <c r="TA254" s="30"/>
      <c r="TB254" s="30"/>
      <c r="TC254" s="30"/>
      <c r="TD254" s="30"/>
      <c r="TE254" s="30"/>
      <c r="TF254" s="30"/>
      <c r="TG254" s="30"/>
    </row>
    <row r="255" spans="1:527" s="24" customFormat="1" ht="31.5" hidden="1" x14ac:dyDescent="0.25">
      <c r="A255" s="59" t="s">
        <v>429</v>
      </c>
      <c r="B255" s="93">
        <v>7530</v>
      </c>
      <c r="C255" s="59" t="s">
        <v>236</v>
      </c>
      <c r="D255" s="94" t="s">
        <v>234</v>
      </c>
      <c r="E255" s="99">
        <f t="shared" si="112"/>
        <v>0</v>
      </c>
      <c r="F255" s="99"/>
      <c r="G255" s="101"/>
      <c r="H255" s="101"/>
      <c r="I255" s="101"/>
      <c r="J255" s="99">
        <f t="shared" si="113"/>
        <v>0</v>
      </c>
      <c r="K255" s="99"/>
      <c r="L255" s="99"/>
      <c r="M255" s="99"/>
      <c r="N255" s="99"/>
      <c r="O255" s="99"/>
      <c r="P255" s="99">
        <f t="shared" si="114"/>
        <v>0</v>
      </c>
      <c r="Q255" s="30"/>
      <c r="R255" s="3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  <c r="SQ255" s="30"/>
      <c r="SR255" s="30"/>
      <c r="SS255" s="30"/>
      <c r="ST255" s="30"/>
      <c r="SU255" s="30"/>
      <c r="SV255" s="30"/>
      <c r="SW255" s="30"/>
      <c r="SX255" s="30"/>
      <c r="SY255" s="30"/>
      <c r="SZ255" s="30"/>
      <c r="TA255" s="30"/>
      <c r="TB255" s="30"/>
      <c r="TC255" s="30"/>
      <c r="TD255" s="30"/>
      <c r="TE255" s="30"/>
      <c r="TF255" s="30"/>
      <c r="TG255" s="30"/>
    </row>
    <row r="256" spans="1:527" s="22" customFormat="1" ht="20.25" customHeight="1" x14ac:dyDescent="0.25">
      <c r="A256" s="59" t="s">
        <v>202</v>
      </c>
      <c r="B256" s="93" t="str">
        <f>'дод 8'!A215</f>
        <v>7640</v>
      </c>
      <c r="C256" s="59" t="str">
        <f>'дод 8'!B215</f>
        <v>0470</v>
      </c>
      <c r="D256" s="60" t="s">
        <v>422</v>
      </c>
      <c r="E256" s="99">
        <f t="shared" si="106"/>
        <v>1997910</v>
      </c>
      <c r="F256" s="99">
        <f>700000-100000</f>
        <v>600000</v>
      </c>
      <c r="G256" s="99"/>
      <c r="H256" s="99"/>
      <c r="I256" s="99">
        <f>1500000+500000-42090-560000</f>
        <v>1397910</v>
      </c>
      <c r="J256" s="99">
        <f t="shared" si="108"/>
        <v>0</v>
      </c>
      <c r="K256" s="99"/>
      <c r="L256" s="99"/>
      <c r="M256" s="99"/>
      <c r="N256" s="99"/>
      <c r="O256" s="99"/>
      <c r="P256" s="99">
        <f t="shared" si="107"/>
        <v>1997910</v>
      </c>
      <c r="Q256" s="23"/>
      <c r="R256" s="32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</row>
    <row r="257" spans="1:527" s="22" customFormat="1" ht="30" customHeight="1" x14ac:dyDescent="0.25">
      <c r="A257" s="59" t="s">
        <v>331</v>
      </c>
      <c r="B257" s="93" t="str">
        <f>'дод 8'!A219</f>
        <v>7670</v>
      </c>
      <c r="C257" s="59" t="str">
        <f>'дод 8'!B219</f>
        <v>0490</v>
      </c>
      <c r="D257" s="60" t="str">
        <f>'дод 8'!C219</f>
        <v>Внески до статутного капіталу суб’єктів господарювання, у т. ч. за рахунок:</v>
      </c>
      <c r="E257" s="99">
        <f t="shared" si="106"/>
        <v>0</v>
      </c>
      <c r="F257" s="99"/>
      <c r="G257" s="99"/>
      <c r="H257" s="99"/>
      <c r="I257" s="99"/>
      <c r="J257" s="99">
        <f t="shared" si="108"/>
        <v>26790000</v>
      </c>
      <c r="K257" s="99">
        <f>46790000-20000000</f>
        <v>26790000</v>
      </c>
      <c r="L257" s="99"/>
      <c r="M257" s="99"/>
      <c r="N257" s="99"/>
      <c r="O257" s="99">
        <f>46790000-20000000</f>
        <v>26790000</v>
      </c>
      <c r="P257" s="99">
        <f t="shared" si="107"/>
        <v>26790000</v>
      </c>
      <c r="Q257" s="23"/>
      <c r="R257" s="32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</row>
    <row r="258" spans="1:527" s="24" customFormat="1" ht="18.75" customHeight="1" x14ac:dyDescent="0.25">
      <c r="A258" s="84"/>
      <c r="B258" s="111"/>
      <c r="C258" s="111"/>
      <c r="D258" s="85" t="s">
        <v>419</v>
      </c>
      <c r="E258" s="101">
        <f t="shared" si="106"/>
        <v>0</v>
      </c>
      <c r="F258" s="101"/>
      <c r="G258" s="101"/>
      <c r="H258" s="101"/>
      <c r="I258" s="101"/>
      <c r="J258" s="101">
        <f t="shared" si="108"/>
        <v>26250000</v>
      </c>
      <c r="K258" s="101">
        <v>26250000</v>
      </c>
      <c r="L258" s="101"/>
      <c r="M258" s="101"/>
      <c r="N258" s="101"/>
      <c r="O258" s="101">
        <v>26250000</v>
      </c>
      <c r="P258" s="101">
        <f t="shared" si="107"/>
        <v>26250000</v>
      </c>
      <c r="Q258" s="30"/>
      <c r="R258" s="32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  <c r="TG258" s="30"/>
    </row>
    <row r="259" spans="1:527" s="22" customFormat="1" ht="126" x14ac:dyDescent="0.25">
      <c r="A259" s="103" t="s">
        <v>300</v>
      </c>
      <c r="B259" s="42">
        <v>7691</v>
      </c>
      <c r="C259" s="42" t="s">
        <v>82</v>
      </c>
      <c r="D259" s="36" t="str">
        <f>'дод 8'!C222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59" s="99">
        <f t="shared" si="106"/>
        <v>0</v>
      </c>
      <c r="F259" s="99"/>
      <c r="G259" s="99"/>
      <c r="H259" s="99"/>
      <c r="I259" s="99"/>
      <c r="J259" s="99">
        <f t="shared" si="108"/>
        <v>2205686.5699999998</v>
      </c>
      <c r="K259" s="99"/>
      <c r="L259" s="99">
        <f>169598+128488.57</f>
        <v>298086.57</v>
      </c>
      <c r="M259" s="99"/>
      <c r="N259" s="99"/>
      <c r="O259" s="99">
        <f>1900000+7600</f>
        <v>1907600</v>
      </c>
      <c r="P259" s="99">
        <f t="shared" si="107"/>
        <v>2205686.5699999998</v>
      </c>
      <c r="Q259" s="23"/>
      <c r="R259" s="32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</row>
    <row r="260" spans="1:527" s="22" customFormat="1" ht="31.5" x14ac:dyDescent="0.25">
      <c r="A260" s="103" t="s">
        <v>380</v>
      </c>
      <c r="B260" s="42" t="str">
        <f>'дод 8'!A230</f>
        <v>8110</v>
      </c>
      <c r="C260" s="42" t="str">
        <f>'дод 8'!B230</f>
        <v>0320</v>
      </c>
      <c r="D260" s="104" t="str">
        <f>'дод 8'!C230</f>
        <v>Заходи із запобігання та ліквідації надзвичайних ситуацій та наслідків стихійного лиха</v>
      </c>
      <c r="E260" s="99">
        <f t="shared" ref="E260" si="115">F260+I260</f>
        <v>677493.87</v>
      </c>
      <c r="F260" s="99">
        <v>677493.87</v>
      </c>
      <c r="G260" s="99"/>
      <c r="H260" s="99"/>
      <c r="I260" s="99"/>
      <c r="J260" s="99">
        <f t="shared" ref="J260" si="116">L260+O260</f>
        <v>0</v>
      </c>
      <c r="K260" s="99"/>
      <c r="L260" s="99"/>
      <c r="M260" s="99"/>
      <c r="N260" s="99"/>
      <c r="O260" s="99"/>
      <c r="P260" s="99">
        <f t="shared" ref="P260" si="117">E260+J260</f>
        <v>677493.87</v>
      </c>
      <c r="Q260" s="23"/>
      <c r="R260" s="32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</row>
    <row r="261" spans="1:527" s="22" customFormat="1" ht="15.75" hidden="1" customHeight="1" x14ac:dyDescent="0.25">
      <c r="A261" s="103" t="s">
        <v>379</v>
      </c>
      <c r="B261" s="42" t="str">
        <f>'дод 8'!A234</f>
        <v>8230</v>
      </c>
      <c r="C261" s="42" t="str">
        <f>'дод 8'!B234</f>
        <v>0380</v>
      </c>
      <c r="D261" s="104" t="str">
        <f>'дод 8'!C234</f>
        <v>Інші заходи громадського порядку та безпеки</v>
      </c>
      <c r="E261" s="99">
        <f t="shared" ref="E261" si="118">F261+I261</f>
        <v>0</v>
      </c>
      <c r="F261" s="99"/>
      <c r="G261" s="99"/>
      <c r="H261" s="99"/>
      <c r="I261" s="99"/>
      <c r="J261" s="99">
        <f t="shared" ref="J261" si="119">L261+O261</f>
        <v>0</v>
      </c>
      <c r="K261" s="99"/>
      <c r="L261" s="99"/>
      <c r="M261" s="99"/>
      <c r="N261" s="99"/>
      <c r="O261" s="99"/>
      <c r="P261" s="99">
        <f t="shared" ref="P261" si="120">E261+J261</f>
        <v>0</v>
      </c>
      <c r="Q261" s="23"/>
      <c r="R261" s="32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  <c r="TF261" s="23"/>
      <c r="TG261" s="23"/>
    </row>
    <row r="262" spans="1:527" s="22" customFormat="1" ht="35.25" customHeight="1" x14ac:dyDescent="0.25">
      <c r="A262" s="59" t="s">
        <v>203</v>
      </c>
      <c r="B262" s="93" t="str">
        <f>'дод 8'!A237</f>
        <v>8340</v>
      </c>
      <c r="C262" s="93" t="str">
        <f>'дод 8'!B237</f>
        <v>0540</v>
      </c>
      <c r="D262" s="60" t="str">
        <f>'дод 8'!C237</f>
        <v>Природоохоронні заходи за рахунок цільових фондів</v>
      </c>
      <c r="E262" s="99">
        <f t="shared" si="106"/>
        <v>0</v>
      </c>
      <c r="F262" s="99"/>
      <c r="G262" s="99"/>
      <c r="H262" s="99"/>
      <c r="I262" s="99"/>
      <c r="J262" s="99">
        <f t="shared" si="108"/>
        <v>2949600</v>
      </c>
      <c r="K262" s="99"/>
      <c r="L262" s="99">
        <f>1442000+186000+21600</f>
        <v>1649600</v>
      </c>
      <c r="M262" s="99"/>
      <c r="N262" s="99"/>
      <c r="O262" s="99">
        <v>1300000</v>
      </c>
      <c r="P262" s="99">
        <f t="shared" si="107"/>
        <v>2949600</v>
      </c>
      <c r="Q262" s="23"/>
      <c r="R262" s="32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</row>
    <row r="263" spans="1:527" s="22" customFormat="1" ht="78.75" x14ac:dyDescent="0.25">
      <c r="A263" s="59" t="s">
        <v>574</v>
      </c>
      <c r="B263" s="93">
        <v>9730</v>
      </c>
      <c r="C263" s="59" t="s">
        <v>45</v>
      </c>
      <c r="D263" s="60" t="s">
        <v>575</v>
      </c>
      <c r="E263" s="99">
        <f t="shared" si="106"/>
        <v>0</v>
      </c>
      <c r="F263" s="99">
        <f>25000000-25000000</f>
        <v>0</v>
      </c>
      <c r="G263" s="99"/>
      <c r="H263" s="99"/>
      <c r="I263" s="99"/>
      <c r="J263" s="99">
        <f t="shared" si="108"/>
        <v>0</v>
      </c>
      <c r="K263" s="99"/>
      <c r="L263" s="99"/>
      <c r="M263" s="99"/>
      <c r="N263" s="99"/>
      <c r="O263" s="99"/>
      <c r="P263" s="99">
        <f t="shared" si="107"/>
        <v>0</v>
      </c>
      <c r="Q263" s="23"/>
      <c r="R263" s="32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</row>
    <row r="264" spans="1:527" s="22" customFormat="1" ht="20.25" customHeight="1" x14ac:dyDescent="0.25">
      <c r="A264" s="59" t="s">
        <v>204</v>
      </c>
      <c r="B264" s="93" t="str">
        <f>'дод 8'!A253</f>
        <v>9770</v>
      </c>
      <c r="C264" s="93" t="str">
        <f>'дод 8'!B253</f>
        <v>0180</v>
      </c>
      <c r="D264" s="60" t="str">
        <f>'дод 8'!C253</f>
        <v>Інші субвенції з місцевого бюджету</v>
      </c>
      <c r="E264" s="99">
        <f t="shared" si="106"/>
        <v>8550000</v>
      </c>
      <c r="F264" s="99">
        <f>4000000+4550000</f>
        <v>8550000</v>
      </c>
      <c r="G264" s="99"/>
      <c r="H264" s="99"/>
      <c r="I264" s="99"/>
      <c r="J264" s="99">
        <f t="shared" si="108"/>
        <v>6450000</v>
      </c>
      <c r="K264" s="99">
        <f>7000000-4000000+3450000</f>
        <v>6450000</v>
      </c>
      <c r="L264" s="99"/>
      <c r="M264" s="99"/>
      <c r="N264" s="99"/>
      <c r="O264" s="99">
        <f>7000000-4000000+3450000</f>
        <v>6450000</v>
      </c>
      <c r="P264" s="99">
        <f t="shared" si="107"/>
        <v>15000000</v>
      </c>
      <c r="Q264" s="23"/>
      <c r="R264" s="32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</row>
    <row r="265" spans="1:527" s="27" customFormat="1" ht="33.75" customHeight="1" x14ac:dyDescent="0.25">
      <c r="A265" s="110" t="s">
        <v>27</v>
      </c>
      <c r="B265" s="112"/>
      <c r="C265" s="112"/>
      <c r="D265" s="107" t="s">
        <v>34</v>
      </c>
      <c r="E265" s="95">
        <f>E266</f>
        <v>6537039</v>
      </c>
      <c r="F265" s="95">
        <f t="shared" ref="F265:J266" si="121">F266</f>
        <v>6537039</v>
      </c>
      <c r="G265" s="95">
        <f t="shared" si="121"/>
        <v>5070500</v>
      </c>
      <c r="H265" s="95">
        <f t="shared" si="121"/>
        <v>115519</v>
      </c>
      <c r="I265" s="95">
        <f t="shared" si="121"/>
        <v>0</v>
      </c>
      <c r="J265" s="95">
        <f t="shared" si="121"/>
        <v>0</v>
      </c>
      <c r="K265" s="95">
        <f t="shared" ref="K265:K266" si="122">K266</f>
        <v>0</v>
      </c>
      <c r="L265" s="95">
        <f t="shared" ref="L265:L266" si="123">L266</f>
        <v>0</v>
      </c>
      <c r="M265" s="95">
        <f t="shared" ref="M265:M266" si="124">M266</f>
        <v>0</v>
      </c>
      <c r="N265" s="95">
        <f t="shared" ref="N265:N266" si="125">N266</f>
        <v>0</v>
      </c>
      <c r="O265" s="95">
        <f t="shared" ref="O265:P266" si="126">O266</f>
        <v>0</v>
      </c>
      <c r="P265" s="95">
        <f t="shared" si="126"/>
        <v>6537039</v>
      </c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  <c r="IU265" s="32"/>
      <c r="IV265" s="32"/>
      <c r="IW265" s="32"/>
      <c r="IX265" s="32"/>
      <c r="IY265" s="32"/>
      <c r="IZ265" s="32"/>
      <c r="JA265" s="32"/>
      <c r="JB265" s="32"/>
      <c r="JC265" s="32"/>
      <c r="JD265" s="32"/>
      <c r="JE265" s="32"/>
      <c r="JF265" s="32"/>
      <c r="JG265" s="32"/>
      <c r="JH265" s="32"/>
      <c r="JI265" s="32"/>
      <c r="JJ265" s="32"/>
      <c r="JK265" s="32"/>
      <c r="JL265" s="32"/>
      <c r="JM265" s="32"/>
      <c r="JN265" s="32"/>
      <c r="JO265" s="32"/>
      <c r="JP265" s="32"/>
      <c r="JQ265" s="32"/>
      <c r="JR265" s="32"/>
      <c r="JS265" s="32"/>
      <c r="JT265" s="32"/>
      <c r="JU265" s="32"/>
      <c r="JV265" s="32"/>
      <c r="JW265" s="32"/>
      <c r="JX265" s="32"/>
      <c r="JY265" s="32"/>
      <c r="JZ265" s="32"/>
      <c r="KA265" s="32"/>
      <c r="KB265" s="32"/>
      <c r="KC265" s="32"/>
      <c r="KD265" s="32"/>
      <c r="KE265" s="32"/>
      <c r="KF265" s="32"/>
      <c r="KG265" s="32"/>
      <c r="KH265" s="32"/>
      <c r="KI265" s="32"/>
      <c r="KJ265" s="32"/>
      <c r="KK265" s="32"/>
      <c r="KL265" s="32"/>
      <c r="KM265" s="32"/>
      <c r="KN265" s="32"/>
      <c r="KO265" s="32"/>
      <c r="KP265" s="32"/>
      <c r="KQ265" s="32"/>
      <c r="KR265" s="32"/>
      <c r="KS265" s="32"/>
      <c r="KT265" s="32"/>
      <c r="KU265" s="32"/>
      <c r="KV265" s="32"/>
      <c r="KW265" s="32"/>
      <c r="KX265" s="32"/>
      <c r="KY265" s="32"/>
      <c r="KZ265" s="32"/>
      <c r="LA265" s="32"/>
      <c r="LB265" s="32"/>
      <c r="LC265" s="32"/>
      <c r="LD265" s="32"/>
      <c r="LE265" s="32"/>
      <c r="LF265" s="32"/>
      <c r="LG265" s="32"/>
      <c r="LH265" s="32"/>
      <c r="LI265" s="32"/>
      <c r="LJ265" s="32"/>
      <c r="LK265" s="32"/>
      <c r="LL265" s="32"/>
      <c r="LM265" s="32"/>
      <c r="LN265" s="32"/>
      <c r="LO265" s="32"/>
      <c r="LP265" s="32"/>
      <c r="LQ265" s="32"/>
      <c r="LR265" s="32"/>
      <c r="LS265" s="32"/>
      <c r="LT265" s="32"/>
      <c r="LU265" s="32"/>
      <c r="LV265" s="32"/>
      <c r="LW265" s="32"/>
      <c r="LX265" s="32"/>
      <c r="LY265" s="32"/>
      <c r="LZ265" s="32"/>
      <c r="MA265" s="32"/>
      <c r="MB265" s="32"/>
      <c r="MC265" s="32"/>
      <c r="MD265" s="32"/>
      <c r="ME265" s="32"/>
      <c r="MF265" s="32"/>
      <c r="MG265" s="32"/>
      <c r="MH265" s="32"/>
      <c r="MI265" s="32"/>
      <c r="MJ265" s="32"/>
      <c r="MK265" s="32"/>
      <c r="ML265" s="32"/>
      <c r="MM265" s="32"/>
      <c r="MN265" s="32"/>
      <c r="MO265" s="32"/>
      <c r="MP265" s="32"/>
      <c r="MQ265" s="32"/>
      <c r="MR265" s="32"/>
      <c r="MS265" s="32"/>
      <c r="MT265" s="32"/>
      <c r="MU265" s="32"/>
      <c r="MV265" s="32"/>
      <c r="MW265" s="32"/>
      <c r="MX265" s="32"/>
      <c r="MY265" s="32"/>
      <c r="MZ265" s="32"/>
      <c r="NA265" s="32"/>
      <c r="NB265" s="32"/>
      <c r="NC265" s="32"/>
      <c r="ND265" s="32"/>
      <c r="NE265" s="32"/>
      <c r="NF265" s="32"/>
      <c r="NG265" s="32"/>
      <c r="NH265" s="32"/>
      <c r="NI265" s="32"/>
      <c r="NJ265" s="32"/>
      <c r="NK265" s="32"/>
      <c r="NL265" s="32"/>
      <c r="NM265" s="32"/>
      <c r="NN265" s="32"/>
      <c r="NO265" s="32"/>
      <c r="NP265" s="32"/>
      <c r="NQ265" s="32"/>
      <c r="NR265" s="32"/>
      <c r="NS265" s="32"/>
      <c r="NT265" s="32"/>
      <c r="NU265" s="32"/>
      <c r="NV265" s="32"/>
      <c r="NW265" s="32"/>
      <c r="NX265" s="32"/>
      <c r="NY265" s="32"/>
      <c r="NZ265" s="32"/>
      <c r="OA265" s="32"/>
      <c r="OB265" s="32"/>
      <c r="OC265" s="32"/>
      <c r="OD265" s="32"/>
      <c r="OE265" s="32"/>
      <c r="OF265" s="32"/>
      <c r="OG265" s="32"/>
      <c r="OH265" s="32"/>
      <c r="OI265" s="32"/>
      <c r="OJ265" s="32"/>
      <c r="OK265" s="32"/>
      <c r="OL265" s="32"/>
      <c r="OM265" s="32"/>
      <c r="ON265" s="32"/>
      <c r="OO265" s="32"/>
      <c r="OP265" s="32"/>
      <c r="OQ265" s="32"/>
      <c r="OR265" s="32"/>
      <c r="OS265" s="32"/>
      <c r="OT265" s="32"/>
      <c r="OU265" s="32"/>
      <c r="OV265" s="32"/>
      <c r="OW265" s="32"/>
      <c r="OX265" s="32"/>
      <c r="OY265" s="32"/>
      <c r="OZ265" s="32"/>
      <c r="PA265" s="32"/>
      <c r="PB265" s="32"/>
      <c r="PC265" s="32"/>
      <c r="PD265" s="32"/>
      <c r="PE265" s="32"/>
      <c r="PF265" s="32"/>
      <c r="PG265" s="32"/>
      <c r="PH265" s="32"/>
      <c r="PI265" s="32"/>
      <c r="PJ265" s="32"/>
      <c r="PK265" s="32"/>
      <c r="PL265" s="32"/>
      <c r="PM265" s="32"/>
      <c r="PN265" s="32"/>
      <c r="PO265" s="32"/>
      <c r="PP265" s="32"/>
      <c r="PQ265" s="32"/>
      <c r="PR265" s="32"/>
      <c r="PS265" s="32"/>
      <c r="PT265" s="32"/>
      <c r="PU265" s="32"/>
      <c r="PV265" s="32"/>
      <c r="PW265" s="32"/>
      <c r="PX265" s="32"/>
      <c r="PY265" s="32"/>
      <c r="PZ265" s="32"/>
      <c r="QA265" s="32"/>
      <c r="QB265" s="32"/>
      <c r="QC265" s="32"/>
      <c r="QD265" s="32"/>
      <c r="QE265" s="32"/>
      <c r="QF265" s="32"/>
      <c r="QG265" s="32"/>
      <c r="QH265" s="32"/>
      <c r="QI265" s="32"/>
      <c r="QJ265" s="32"/>
      <c r="QK265" s="32"/>
      <c r="QL265" s="32"/>
      <c r="QM265" s="32"/>
      <c r="QN265" s="32"/>
      <c r="QO265" s="32"/>
      <c r="QP265" s="32"/>
      <c r="QQ265" s="32"/>
      <c r="QR265" s="32"/>
      <c r="QS265" s="32"/>
      <c r="QT265" s="32"/>
      <c r="QU265" s="32"/>
      <c r="QV265" s="32"/>
      <c r="QW265" s="32"/>
      <c r="QX265" s="32"/>
      <c r="QY265" s="32"/>
      <c r="QZ265" s="32"/>
      <c r="RA265" s="32"/>
      <c r="RB265" s="32"/>
      <c r="RC265" s="32"/>
      <c r="RD265" s="32"/>
      <c r="RE265" s="32"/>
      <c r="RF265" s="32"/>
      <c r="RG265" s="32"/>
      <c r="RH265" s="32"/>
      <c r="RI265" s="32"/>
      <c r="RJ265" s="32"/>
      <c r="RK265" s="32"/>
      <c r="RL265" s="32"/>
      <c r="RM265" s="32"/>
      <c r="RN265" s="32"/>
      <c r="RO265" s="32"/>
      <c r="RP265" s="32"/>
      <c r="RQ265" s="32"/>
      <c r="RR265" s="32"/>
      <c r="RS265" s="32"/>
      <c r="RT265" s="32"/>
      <c r="RU265" s="32"/>
      <c r="RV265" s="32"/>
      <c r="RW265" s="32"/>
      <c r="RX265" s="32"/>
      <c r="RY265" s="32"/>
      <c r="RZ265" s="32"/>
      <c r="SA265" s="32"/>
      <c r="SB265" s="32"/>
      <c r="SC265" s="32"/>
      <c r="SD265" s="32"/>
      <c r="SE265" s="32"/>
      <c r="SF265" s="32"/>
      <c r="SG265" s="32"/>
      <c r="SH265" s="32"/>
      <c r="SI265" s="32"/>
      <c r="SJ265" s="32"/>
      <c r="SK265" s="32"/>
      <c r="SL265" s="32"/>
      <c r="SM265" s="32"/>
      <c r="SN265" s="32"/>
      <c r="SO265" s="32"/>
      <c r="SP265" s="32"/>
      <c r="SQ265" s="32"/>
      <c r="SR265" s="32"/>
      <c r="SS265" s="32"/>
      <c r="ST265" s="32"/>
      <c r="SU265" s="32"/>
      <c r="SV265" s="32"/>
      <c r="SW265" s="32"/>
      <c r="SX265" s="32"/>
      <c r="SY265" s="32"/>
      <c r="SZ265" s="32"/>
      <c r="TA265" s="32"/>
      <c r="TB265" s="32"/>
      <c r="TC265" s="32"/>
      <c r="TD265" s="32"/>
      <c r="TE265" s="32"/>
      <c r="TF265" s="32"/>
      <c r="TG265" s="32"/>
    </row>
    <row r="266" spans="1:527" s="34" customFormat="1" ht="36.75" customHeight="1" x14ac:dyDescent="0.25">
      <c r="A266" s="96" t="s">
        <v>118</v>
      </c>
      <c r="B266" s="109"/>
      <c r="C266" s="109"/>
      <c r="D266" s="77" t="s">
        <v>34</v>
      </c>
      <c r="E266" s="98">
        <f>E267</f>
        <v>6537039</v>
      </c>
      <c r="F266" s="98">
        <f t="shared" si="121"/>
        <v>6537039</v>
      </c>
      <c r="G266" s="98">
        <f t="shared" si="121"/>
        <v>5070500</v>
      </c>
      <c r="H266" s="98">
        <f t="shared" si="121"/>
        <v>115519</v>
      </c>
      <c r="I266" s="98">
        <f t="shared" si="121"/>
        <v>0</v>
      </c>
      <c r="J266" s="98">
        <f t="shared" si="121"/>
        <v>0</v>
      </c>
      <c r="K266" s="98">
        <f t="shared" si="122"/>
        <v>0</v>
      </c>
      <c r="L266" s="98">
        <f t="shared" si="123"/>
        <v>0</v>
      </c>
      <c r="M266" s="98">
        <f t="shared" si="124"/>
        <v>0</v>
      </c>
      <c r="N266" s="98">
        <f t="shared" si="125"/>
        <v>0</v>
      </c>
      <c r="O266" s="98">
        <f t="shared" si="126"/>
        <v>0</v>
      </c>
      <c r="P266" s="98">
        <f t="shared" si="126"/>
        <v>6537039</v>
      </c>
      <c r="Q266" s="33"/>
      <c r="R266" s="32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  <c r="IW266" s="33"/>
      <c r="IX266" s="33"/>
      <c r="IY266" s="33"/>
      <c r="IZ266" s="33"/>
      <c r="JA266" s="33"/>
      <c r="JB266" s="33"/>
      <c r="JC266" s="33"/>
      <c r="JD266" s="33"/>
      <c r="JE266" s="33"/>
      <c r="JF266" s="33"/>
      <c r="JG266" s="33"/>
      <c r="JH266" s="33"/>
      <c r="JI266" s="33"/>
      <c r="JJ266" s="33"/>
      <c r="JK266" s="33"/>
      <c r="JL266" s="33"/>
      <c r="JM266" s="33"/>
      <c r="JN266" s="33"/>
      <c r="JO266" s="33"/>
      <c r="JP266" s="33"/>
      <c r="JQ266" s="33"/>
      <c r="JR266" s="33"/>
      <c r="JS266" s="33"/>
      <c r="JT266" s="33"/>
      <c r="JU266" s="33"/>
      <c r="JV266" s="33"/>
      <c r="JW266" s="33"/>
      <c r="JX266" s="33"/>
      <c r="JY266" s="33"/>
      <c r="JZ266" s="33"/>
      <c r="KA266" s="33"/>
      <c r="KB266" s="33"/>
      <c r="KC266" s="33"/>
      <c r="KD266" s="33"/>
      <c r="KE266" s="33"/>
      <c r="KF266" s="33"/>
      <c r="KG266" s="33"/>
      <c r="KH266" s="33"/>
      <c r="KI266" s="33"/>
      <c r="KJ266" s="33"/>
      <c r="KK266" s="33"/>
      <c r="KL266" s="33"/>
      <c r="KM266" s="33"/>
      <c r="KN266" s="33"/>
      <c r="KO266" s="33"/>
      <c r="KP266" s="33"/>
      <c r="KQ266" s="33"/>
      <c r="KR266" s="33"/>
      <c r="KS266" s="33"/>
      <c r="KT266" s="33"/>
      <c r="KU266" s="33"/>
      <c r="KV266" s="33"/>
      <c r="KW266" s="33"/>
      <c r="KX266" s="33"/>
      <c r="KY266" s="33"/>
      <c r="KZ266" s="33"/>
      <c r="LA266" s="33"/>
      <c r="LB266" s="33"/>
      <c r="LC266" s="33"/>
      <c r="LD266" s="33"/>
      <c r="LE266" s="33"/>
      <c r="LF266" s="33"/>
      <c r="LG266" s="33"/>
      <c r="LH266" s="33"/>
      <c r="LI266" s="33"/>
      <c r="LJ266" s="33"/>
      <c r="LK266" s="33"/>
      <c r="LL266" s="33"/>
      <c r="LM266" s="33"/>
      <c r="LN266" s="33"/>
      <c r="LO266" s="33"/>
      <c r="LP266" s="33"/>
      <c r="LQ266" s="33"/>
      <c r="LR266" s="33"/>
      <c r="LS266" s="33"/>
      <c r="LT266" s="33"/>
      <c r="LU266" s="33"/>
      <c r="LV266" s="33"/>
      <c r="LW266" s="33"/>
      <c r="LX266" s="33"/>
      <c r="LY266" s="33"/>
      <c r="LZ266" s="33"/>
      <c r="MA266" s="33"/>
      <c r="MB266" s="33"/>
      <c r="MC266" s="33"/>
      <c r="MD266" s="33"/>
      <c r="ME266" s="33"/>
      <c r="MF266" s="33"/>
      <c r="MG266" s="33"/>
      <c r="MH266" s="33"/>
      <c r="MI266" s="33"/>
      <c r="MJ266" s="33"/>
      <c r="MK266" s="33"/>
      <c r="ML266" s="33"/>
      <c r="MM266" s="33"/>
      <c r="MN266" s="33"/>
      <c r="MO266" s="33"/>
      <c r="MP266" s="33"/>
      <c r="MQ266" s="33"/>
      <c r="MR266" s="33"/>
      <c r="MS266" s="33"/>
      <c r="MT266" s="33"/>
      <c r="MU266" s="33"/>
      <c r="MV266" s="33"/>
      <c r="MW266" s="33"/>
      <c r="MX266" s="33"/>
      <c r="MY266" s="33"/>
      <c r="MZ266" s="33"/>
      <c r="NA266" s="33"/>
      <c r="NB266" s="33"/>
      <c r="NC266" s="33"/>
      <c r="ND266" s="33"/>
      <c r="NE266" s="33"/>
      <c r="NF266" s="33"/>
      <c r="NG266" s="33"/>
      <c r="NH266" s="33"/>
      <c r="NI266" s="33"/>
      <c r="NJ266" s="33"/>
      <c r="NK266" s="33"/>
      <c r="NL266" s="33"/>
      <c r="NM266" s="33"/>
      <c r="NN266" s="33"/>
      <c r="NO266" s="33"/>
      <c r="NP266" s="33"/>
      <c r="NQ266" s="33"/>
      <c r="NR266" s="33"/>
      <c r="NS266" s="33"/>
      <c r="NT266" s="33"/>
      <c r="NU266" s="33"/>
      <c r="NV266" s="33"/>
      <c r="NW266" s="33"/>
      <c r="NX266" s="33"/>
      <c r="NY266" s="33"/>
      <c r="NZ266" s="33"/>
      <c r="OA266" s="33"/>
      <c r="OB266" s="33"/>
      <c r="OC266" s="33"/>
      <c r="OD266" s="33"/>
      <c r="OE266" s="33"/>
      <c r="OF266" s="33"/>
      <c r="OG266" s="33"/>
      <c r="OH266" s="33"/>
      <c r="OI266" s="33"/>
      <c r="OJ266" s="33"/>
      <c r="OK266" s="33"/>
      <c r="OL266" s="33"/>
      <c r="OM266" s="33"/>
      <c r="ON266" s="33"/>
      <c r="OO266" s="33"/>
      <c r="OP266" s="33"/>
      <c r="OQ266" s="33"/>
      <c r="OR266" s="33"/>
      <c r="OS266" s="33"/>
      <c r="OT266" s="33"/>
      <c r="OU266" s="33"/>
      <c r="OV266" s="33"/>
      <c r="OW266" s="33"/>
      <c r="OX266" s="33"/>
      <c r="OY266" s="33"/>
      <c r="OZ266" s="33"/>
      <c r="PA266" s="33"/>
      <c r="PB266" s="33"/>
      <c r="PC266" s="33"/>
      <c r="PD266" s="33"/>
      <c r="PE266" s="33"/>
      <c r="PF266" s="33"/>
      <c r="PG266" s="33"/>
      <c r="PH266" s="33"/>
      <c r="PI266" s="33"/>
      <c r="PJ266" s="33"/>
      <c r="PK266" s="33"/>
      <c r="PL266" s="33"/>
      <c r="PM266" s="33"/>
      <c r="PN266" s="33"/>
      <c r="PO266" s="33"/>
      <c r="PP266" s="33"/>
      <c r="PQ266" s="33"/>
      <c r="PR266" s="33"/>
      <c r="PS266" s="33"/>
      <c r="PT266" s="33"/>
      <c r="PU266" s="33"/>
      <c r="PV266" s="33"/>
      <c r="PW266" s="33"/>
      <c r="PX266" s="33"/>
      <c r="PY266" s="33"/>
      <c r="PZ266" s="33"/>
      <c r="QA266" s="33"/>
      <c r="QB266" s="33"/>
      <c r="QC266" s="33"/>
      <c r="QD266" s="33"/>
      <c r="QE266" s="33"/>
      <c r="QF266" s="33"/>
      <c r="QG266" s="33"/>
      <c r="QH266" s="33"/>
      <c r="QI266" s="33"/>
      <c r="QJ266" s="33"/>
      <c r="QK266" s="33"/>
      <c r="QL266" s="33"/>
      <c r="QM266" s="33"/>
      <c r="QN266" s="33"/>
      <c r="QO266" s="33"/>
      <c r="QP266" s="33"/>
      <c r="QQ266" s="33"/>
      <c r="QR266" s="33"/>
      <c r="QS266" s="33"/>
      <c r="QT266" s="33"/>
      <c r="QU266" s="33"/>
      <c r="QV266" s="33"/>
      <c r="QW266" s="33"/>
      <c r="QX266" s="33"/>
      <c r="QY266" s="33"/>
      <c r="QZ266" s="33"/>
      <c r="RA266" s="33"/>
      <c r="RB266" s="33"/>
      <c r="RC266" s="33"/>
      <c r="RD266" s="33"/>
      <c r="RE266" s="33"/>
      <c r="RF266" s="33"/>
      <c r="RG266" s="33"/>
      <c r="RH266" s="33"/>
      <c r="RI266" s="33"/>
      <c r="RJ266" s="33"/>
      <c r="RK266" s="33"/>
      <c r="RL266" s="33"/>
      <c r="RM266" s="33"/>
      <c r="RN266" s="33"/>
      <c r="RO266" s="33"/>
      <c r="RP266" s="33"/>
      <c r="RQ266" s="33"/>
      <c r="RR266" s="33"/>
      <c r="RS266" s="33"/>
      <c r="RT266" s="33"/>
      <c r="RU266" s="33"/>
      <c r="RV266" s="33"/>
      <c r="RW266" s="33"/>
      <c r="RX266" s="33"/>
      <c r="RY266" s="33"/>
      <c r="RZ266" s="33"/>
      <c r="SA266" s="33"/>
      <c r="SB266" s="33"/>
      <c r="SC266" s="33"/>
      <c r="SD266" s="33"/>
      <c r="SE266" s="33"/>
      <c r="SF266" s="33"/>
      <c r="SG266" s="33"/>
      <c r="SH266" s="33"/>
      <c r="SI266" s="33"/>
      <c r="SJ266" s="33"/>
      <c r="SK266" s="33"/>
      <c r="SL266" s="33"/>
      <c r="SM266" s="33"/>
      <c r="SN266" s="33"/>
      <c r="SO266" s="33"/>
      <c r="SP266" s="33"/>
      <c r="SQ266" s="33"/>
      <c r="SR266" s="33"/>
      <c r="SS266" s="33"/>
      <c r="ST266" s="33"/>
      <c r="SU266" s="33"/>
      <c r="SV266" s="33"/>
      <c r="SW266" s="33"/>
      <c r="SX266" s="33"/>
      <c r="SY266" s="33"/>
      <c r="SZ266" s="33"/>
      <c r="TA266" s="33"/>
      <c r="TB266" s="33"/>
      <c r="TC266" s="33"/>
      <c r="TD266" s="33"/>
      <c r="TE266" s="33"/>
      <c r="TF266" s="33"/>
      <c r="TG266" s="33"/>
    </row>
    <row r="267" spans="1:527" s="22" customFormat="1" ht="47.25" x14ac:dyDescent="0.25">
      <c r="A267" s="59" t="s">
        <v>0</v>
      </c>
      <c r="B267" s="93" t="str">
        <f>'дод 8'!A19</f>
        <v>0160</v>
      </c>
      <c r="C267" s="93" t="str">
        <f>'дод 8'!B19</f>
        <v>0111</v>
      </c>
      <c r="D267" s="36" t="s">
        <v>494</v>
      </c>
      <c r="E267" s="99">
        <f>F267+I267</f>
        <v>6537039</v>
      </c>
      <c r="F267" s="99">
        <f>6378200+8000+26619+111020+13200</f>
        <v>6537039</v>
      </c>
      <c r="G267" s="99">
        <f>5019800+91000-40300</f>
        <v>5070500</v>
      </c>
      <c r="H267" s="99">
        <f>75700+26619+13200</f>
        <v>115519</v>
      </c>
      <c r="I267" s="99"/>
      <c r="J267" s="99">
        <f>L267+O267</f>
        <v>0</v>
      </c>
      <c r="K267" s="99">
        <f>8000-8000</f>
        <v>0</v>
      </c>
      <c r="L267" s="99"/>
      <c r="M267" s="99"/>
      <c r="N267" s="99"/>
      <c r="O267" s="99">
        <f>8000-8000</f>
        <v>0</v>
      </c>
      <c r="P267" s="99">
        <f>E267+J267</f>
        <v>6537039</v>
      </c>
      <c r="Q267" s="23"/>
      <c r="R267" s="32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</row>
    <row r="268" spans="1:527" s="27" customFormat="1" ht="52.5" customHeight="1" x14ac:dyDescent="0.25">
      <c r="A268" s="110" t="s">
        <v>28</v>
      </c>
      <c r="B268" s="112"/>
      <c r="C268" s="112"/>
      <c r="D268" s="107" t="s">
        <v>33</v>
      </c>
      <c r="E268" s="95">
        <f>E269</f>
        <v>3721421.1500000004</v>
      </c>
      <c r="F268" s="95">
        <f t="shared" ref="F268:J268" si="127">F269</f>
        <v>3721421.1500000004</v>
      </c>
      <c r="G268" s="95">
        <f t="shared" si="127"/>
        <v>2559400</v>
      </c>
      <c r="H268" s="95">
        <f t="shared" si="127"/>
        <v>0</v>
      </c>
      <c r="I268" s="95">
        <f t="shared" si="127"/>
        <v>0</v>
      </c>
      <c r="J268" s="95">
        <f t="shared" si="127"/>
        <v>280399104.5</v>
      </c>
      <c r="K268" s="95">
        <f t="shared" ref="K268" si="128">K269</f>
        <v>266953821.85000002</v>
      </c>
      <c r="L268" s="95">
        <f t="shared" ref="L268" si="129">L269</f>
        <v>1900000</v>
      </c>
      <c r="M268" s="95">
        <f t="shared" ref="M268" si="130">M269</f>
        <v>1332000</v>
      </c>
      <c r="N268" s="95">
        <f t="shared" ref="N268" si="131">N269</f>
        <v>71500</v>
      </c>
      <c r="O268" s="95">
        <f t="shared" ref="O268:P268" si="132">O269</f>
        <v>278499104.5</v>
      </c>
      <c r="P268" s="95">
        <f t="shared" si="132"/>
        <v>284120525.64999998</v>
      </c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  <c r="IW268" s="32"/>
      <c r="IX268" s="32"/>
      <c r="IY268" s="32"/>
      <c r="IZ268" s="32"/>
      <c r="JA268" s="32"/>
      <c r="JB268" s="32"/>
      <c r="JC268" s="32"/>
      <c r="JD268" s="32"/>
      <c r="JE268" s="32"/>
      <c r="JF268" s="32"/>
      <c r="JG268" s="32"/>
      <c r="JH268" s="32"/>
      <c r="JI268" s="32"/>
      <c r="JJ268" s="32"/>
      <c r="JK268" s="32"/>
      <c r="JL268" s="32"/>
      <c r="JM268" s="32"/>
      <c r="JN268" s="32"/>
      <c r="JO268" s="32"/>
      <c r="JP268" s="32"/>
      <c r="JQ268" s="32"/>
      <c r="JR268" s="32"/>
      <c r="JS268" s="32"/>
      <c r="JT268" s="32"/>
      <c r="JU268" s="32"/>
      <c r="JV268" s="32"/>
      <c r="JW268" s="32"/>
      <c r="JX268" s="32"/>
      <c r="JY268" s="32"/>
      <c r="JZ268" s="32"/>
      <c r="KA268" s="32"/>
      <c r="KB268" s="32"/>
      <c r="KC268" s="32"/>
      <c r="KD268" s="32"/>
      <c r="KE268" s="32"/>
      <c r="KF268" s="32"/>
      <c r="KG268" s="32"/>
      <c r="KH268" s="32"/>
      <c r="KI268" s="32"/>
      <c r="KJ268" s="32"/>
      <c r="KK268" s="32"/>
      <c r="KL268" s="32"/>
      <c r="KM268" s="32"/>
      <c r="KN268" s="32"/>
      <c r="KO268" s="32"/>
      <c r="KP268" s="32"/>
      <c r="KQ268" s="32"/>
      <c r="KR268" s="32"/>
      <c r="KS268" s="32"/>
      <c r="KT268" s="32"/>
      <c r="KU268" s="32"/>
      <c r="KV268" s="32"/>
      <c r="KW268" s="32"/>
      <c r="KX268" s="32"/>
      <c r="KY268" s="32"/>
      <c r="KZ268" s="32"/>
      <c r="LA268" s="32"/>
      <c r="LB268" s="32"/>
      <c r="LC268" s="32"/>
      <c r="LD268" s="32"/>
      <c r="LE268" s="32"/>
      <c r="LF268" s="32"/>
      <c r="LG268" s="32"/>
      <c r="LH268" s="32"/>
      <c r="LI268" s="32"/>
      <c r="LJ268" s="32"/>
      <c r="LK268" s="32"/>
      <c r="LL268" s="32"/>
      <c r="LM268" s="32"/>
      <c r="LN268" s="32"/>
      <c r="LO268" s="32"/>
      <c r="LP268" s="32"/>
      <c r="LQ268" s="32"/>
      <c r="LR268" s="32"/>
      <c r="LS268" s="32"/>
      <c r="LT268" s="32"/>
      <c r="LU268" s="32"/>
      <c r="LV268" s="32"/>
      <c r="LW268" s="32"/>
      <c r="LX268" s="32"/>
      <c r="LY268" s="32"/>
      <c r="LZ268" s="32"/>
      <c r="MA268" s="32"/>
      <c r="MB268" s="32"/>
      <c r="MC268" s="32"/>
      <c r="MD268" s="32"/>
      <c r="ME268" s="32"/>
      <c r="MF268" s="32"/>
      <c r="MG268" s="32"/>
      <c r="MH268" s="32"/>
      <c r="MI268" s="32"/>
      <c r="MJ268" s="32"/>
      <c r="MK268" s="32"/>
      <c r="ML268" s="32"/>
      <c r="MM268" s="32"/>
      <c r="MN268" s="32"/>
      <c r="MO268" s="32"/>
      <c r="MP268" s="32"/>
      <c r="MQ268" s="32"/>
      <c r="MR268" s="32"/>
      <c r="MS268" s="32"/>
      <c r="MT268" s="32"/>
      <c r="MU268" s="32"/>
      <c r="MV268" s="32"/>
      <c r="MW268" s="32"/>
      <c r="MX268" s="32"/>
      <c r="MY268" s="32"/>
      <c r="MZ268" s="32"/>
      <c r="NA268" s="32"/>
      <c r="NB268" s="32"/>
      <c r="NC268" s="32"/>
      <c r="ND268" s="32"/>
      <c r="NE268" s="32"/>
      <c r="NF268" s="32"/>
      <c r="NG268" s="32"/>
      <c r="NH268" s="32"/>
      <c r="NI268" s="32"/>
      <c r="NJ268" s="32"/>
      <c r="NK268" s="32"/>
      <c r="NL268" s="32"/>
      <c r="NM268" s="32"/>
      <c r="NN268" s="32"/>
      <c r="NO268" s="32"/>
      <c r="NP268" s="32"/>
      <c r="NQ268" s="32"/>
      <c r="NR268" s="32"/>
      <c r="NS268" s="32"/>
      <c r="NT268" s="32"/>
      <c r="NU268" s="32"/>
      <c r="NV268" s="32"/>
      <c r="NW268" s="32"/>
      <c r="NX268" s="32"/>
      <c r="NY268" s="32"/>
      <c r="NZ268" s="32"/>
      <c r="OA268" s="32"/>
      <c r="OB268" s="32"/>
      <c r="OC268" s="32"/>
      <c r="OD268" s="32"/>
      <c r="OE268" s="32"/>
      <c r="OF268" s="32"/>
      <c r="OG268" s="32"/>
      <c r="OH268" s="32"/>
      <c r="OI268" s="32"/>
      <c r="OJ268" s="32"/>
      <c r="OK268" s="32"/>
      <c r="OL268" s="32"/>
      <c r="OM268" s="32"/>
      <c r="ON268" s="32"/>
      <c r="OO268" s="32"/>
      <c r="OP268" s="32"/>
      <c r="OQ268" s="32"/>
      <c r="OR268" s="32"/>
      <c r="OS268" s="32"/>
      <c r="OT268" s="32"/>
      <c r="OU268" s="32"/>
      <c r="OV268" s="32"/>
      <c r="OW268" s="32"/>
      <c r="OX268" s="32"/>
      <c r="OY268" s="32"/>
      <c r="OZ268" s="32"/>
      <c r="PA268" s="32"/>
      <c r="PB268" s="32"/>
      <c r="PC268" s="32"/>
      <c r="PD268" s="32"/>
      <c r="PE268" s="32"/>
      <c r="PF268" s="32"/>
      <c r="PG268" s="32"/>
      <c r="PH268" s="32"/>
      <c r="PI268" s="32"/>
      <c r="PJ268" s="32"/>
      <c r="PK268" s="32"/>
      <c r="PL268" s="32"/>
      <c r="PM268" s="32"/>
      <c r="PN268" s="32"/>
      <c r="PO268" s="32"/>
      <c r="PP268" s="32"/>
      <c r="PQ268" s="32"/>
      <c r="PR268" s="32"/>
      <c r="PS268" s="32"/>
      <c r="PT268" s="32"/>
      <c r="PU268" s="32"/>
      <c r="PV268" s="32"/>
      <c r="PW268" s="32"/>
      <c r="PX268" s="32"/>
      <c r="PY268" s="32"/>
      <c r="PZ268" s="32"/>
      <c r="QA268" s="32"/>
      <c r="QB268" s="32"/>
      <c r="QC268" s="32"/>
      <c r="QD268" s="32"/>
      <c r="QE268" s="32"/>
      <c r="QF268" s="32"/>
      <c r="QG268" s="32"/>
      <c r="QH268" s="32"/>
      <c r="QI268" s="32"/>
      <c r="QJ268" s="32"/>
      <c r="QK268" s="32"/>
      <c r="QL268" s="32"/>
      <c r="QM268" s="32"/>
      <c r="QN268" s="32"/>
      <c r="QO268" s="32"/>
      <c r="QP268" s="32"/>
      <c r="QQ268" s="32"/>
      <c r="QR268" s="32"/>
      <c r="QS268" s="32"/>
      <c r="QT268" s="32"/>
      <c r="QU268" s="32"/>
      <c r="QV268" s="32"/>
      <c r="QW268" s="32"/>
      <c r="QX268" s="32"/>
      <c r="QY268" s="32"/>
      <c r="QZ268" s="32"/>
      <c r="RA268" s="32"/>
      <c r="RB268" s="32"/>
      <c r="RC268" s="32"/>
      <c r="RD268" s="32"/>
      <c r="RE268" s="32"/>
      <c r="RF268" s="32"/>
      <c r="RG268" s="32"/>
      <c r="RH268" s="32"/>
      <c r="RI268" s="32"/>
      <c r="RJ268" s="32"/>
      <c r="RK268" s="32"/>
      <c r="RL268" s="32"/>
      <c r="RM268" s="32"/>
      <c r="RN268" s="32"/>
      <c r="RO268" s="32"/>
      <c r="RP268" s="32"/>
      <c r="RQ268" s="32"/>
      <c r="RR268" s="32"/>
      <c r="RS268" s="32"/>
      <c r="RT268" s="32"/>
      <c r="RU268" s="32"/>
      <c r="RV268" s="32"/>
      <c r="RW268" s="32"/>
      <c r="RX268" s="32"/>
      <c r="RY268" s="32"/>
      <c r="RZ268" s="32"/>
      <c r="SA268" s="32"/>
      <c r="SB268" s="32"/>
      <c r="SC268" s="32"/>
      <c r="SD268" s="32"/>
      <c r="SE268" s="32"/>
      <c r="SF268" s="32"/>
      <c r="SG268" s="32"/>
      <c r="SH268" s="32"/>
      <c r="SI268" s="32"/>
      <c r="SJ268" s="32"/>
      <c r="SK268" s="32"/>
      <c r="SL268" s="32"/>
      <c r="SM268" s="32"/>
      <c r="SN268" s="32"/>
      <c r="SO268" s="32"/>
      <c r="SP268" s="32"/>
      <c r="SQ268" s="32"/>
      <c r="SR268" s="32"/>
      <c r="SS268" s="32"/>
      <c r="ST268" s="32"/>
      <c r="SU268" s="32"/>
      <c r="SV268" s="32"/>
      <c r="SW268" s="32"/>
      <c r="SX268" s="32"/>
      <c r="SY268" s="32"/>
      <c r="SZ268" s="32"/>
      <c r="TA268" s="32"/>
      <c r="TB268" s="32"/>
      <c r="TC268" s="32"/>
      <c r="TD268" s="32"/>
      <c r="TE268" s="32"/>
      <c r="TF268" s="32"/>
      <c r="TG268" s="32"/>
    </row>
    <row r="269" spans="1:527" s="34" customFormat="1" ht="47.25" x14ac:dyDescent="0.25">
      <c r="A269" s="96" t="s">
        <v>29</v>
      </c>
      <c r="B269" s="109"/>
      <c r="C269" s="109"/>
      <c r="D269" s="77" t="s">
        <v>420</v>
      </c>
      <c r="E269" s="98">
        <f>SUM(E271+E272+E273+E274+E275+E276+E277+E279+E280+E281+E282+E283+E284+E278+E286+E287)</f>
        <v>3721421.1500000004</v>
      </c>
      <c r="F269" s="98">
        <f t="shared" ref="F269:P269" si="133">SUM(F271+F272+F273+F274+F275+F276+F277+F279+F280+F281+F282+F283+F284+F278+F286+F287)</f>
        <v>3721421.1500000004</v>
      </c>
      <c r="G269" s="98">
        <f t="shared" si="133"/>
        <v>2559400</v>
      </c>
      <c r="H269" s="98">
        <f t="shared" si="133"/>
        <v>0</v>
      </c>
      <c r="I269" s="98">
        <f t="shared" si="133"/>
        <v>0</v>
      </c>
      <c r="J269" s="98">
        <f t="shared" si="133"/>
        <v>280399104.5</v>
      </c>
      <c r="K269" s="98">
        <f t="shared" si="133"/>
        <v>266953821.85000002</v>
      </c>
      <c r="L269" s="98">
        <f t="shared" si="133"/>
        <v>1900000</v>
      </c>
      <c r="M269" s="98">
        <f t="shared" si="133"/>
        <v>1332000</v>
      </c>
      <c r="N269" s="98">
        <f t="shared" si="133"/>
        <v>71500</v>
      </c>
      <c r="O269" s="98">
        <f t="shared" si="133"/>
        <v>278499104.5</v>
      </c>
      <c r="P269" s="98">
        <f t="shared" si="133"/>
        <v>284120525.64999998</v>
      </c>
      <c r="Q269" s="33"/>
      <c r="R269" s="32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  <c r="IW269" s="33"/>
      <c r="IX269" s="33"/>
      <c r="IY269" s="33"/>
      <c r="IZ269" s="33"/>
      <c r="JA269" s="33"/>
      <c r="JB269" s="33"/>
      <c r="JC269" s="33"/>
      <c r="JD269" s="33"/>
      <c r="JE269" s="33"/>
      <c r="JF269" s="33"/>
      <c r="JG269" s="33"/>
      <c r="JH269" s="33"/>
      <c r="JI269" s="33"/>
      <c r="JJ269" s="33"/>
      <c r="JK269" s="33"/>
      <c r="JL269" s="33"/>
      <c r="JM269" s="33"/>
      <c r="JN269" s="33"/>
      <c r="JO269" s="33"/>
      <c r="JP269" s="33"/>
      <c r="JQ269" s="33"/>
      <c r="JR269" s="33"/>
      <c r="JS269" s="33"/>
      <c r="JT269" s="33"/>
      <c r="JU269" s="33"/>
      <c r="JV269" s="33"/>
      <c r="JW269" s="33"/>
      <c r="JX269" s="33"/>
      <c r="JY269" s="33"/>
      <c r="JZ269" s="33"/>
      <c r="KA269" s="33"/>
      <c r="KB269" s="33"/>
      <c r="KC269" s="33"/>
      <c r="KD269" s="33"/>
      <c r="KE269" s="33"/>
      <c r="KF269" s="33"/>
      <c r="KG269" s="33"/>
      <c r="KH269" s="33"/>
      <c r="KI269" s="33"/>
      <c r="KJ269" s="33"/>
      <c r="KK269" s="33"/>
      <c r="KL269" s="33"/>
      <c r="KM269" s="33"/>
      <c r="KN269" s="33"/>
      <c r="KO269" s="33"/>
      <c r="KP269" s="33"/>
      <c r="KQ269" s="33"/>
      <c r="KR269" s="33"/>
      <c r="KS269" s="33"/>
      <c r="KT269" s="33"/>
      <c r="KU269" s="33"/>
      <c r="KV269" s="33"/>
      <c r="KW269" s="33"/>
      <c r="KX269" s="33"/>
      <c r="KY269" s="33"/>
      <c r="KZ269" s="33"/>
      <c r="LA269" s="33"/>
      <c r="LB269" s="33"/>
      <c r="LC269" s="33"/>
      <c r="LD269" s="33"/>
      <c r="LE269" s="33"/>
      <c r="LF269" s="33"/>
      <c r="LG269" s="33"/>
      <c r="LH269" s="33"/>
      <c r="LI269" s="33"/>
      <c r="LJ269" s="33"/>
      <c r="LK269" s="33"/>
      <c r="LL269" s="33"/>
      <c r="LM269" s="33"/>
      <c r="LN269" s="33"/>
      <c r="LO269" s="33"/>
      <c r="LP269" s="33"/>
      <c r="LQ269" s="33"/>
      <c r="LR269" s="33"/>
      <c r="LS269" s="33"/>
      <c r="LT269" s="33"/>
      <c r="LU269" s="33"/>
      <c r="LV269" s="33"/>
      <c r="LW269" s="33"/>
      <c r="LX269" s="33"/>
      <c r="LY269" s="33"/>
      <c r="LZ269" s="33"/>
      <c r="MA269" s="33"/>
      <c r="MB269" s="33"/>
      <c r="MC269" s="33"/>
      <c r="MD269" s="33"/>
      <c r="ME269" s="33"/>
      <c r="MF269" s="33"/>
      <c r="MG269" s="33"/>
      <c r="MH269" s="33"/>
      <c r="MI269" s="33"/>
      <c r="MJ269" s="33"/>
      <c r="MK269" s="33"/>
      <c r="ML269" s="33"/>
      <c r="MM269" s="33"/>
      <c r="MN269" s="33"/>
      <c r="MO269" s="33"/>
      <c r="MP269" s="33"/>
      <c r="MQ269" s="33"/>
      <c r="MR269" s="33"/>
      <c r="MS269" s="33"/>
      <c r="MT269" s="33"/>
      <c r="MU269" s="33"/>
      <c r="MV269" s="33"/>
      <c r="MW269" s="33"/>
      <c r="MX269" s="33"/>
      <c r="MY269" s="33"/>
      <c r="MZ269" s="33"/>
      <c r="NA269" s="33"/>
      <c r="NB269" s="33"/>
      <c r="NC269" s="33"/>
      <c r="ND269" s="33"/>
      <c r="NE269" s="33"/>
      <c r="NF269" s="33"/>
      <c r="NG269" s="33"/>
      <c r="NH269" s="33"/>
      <c r="NI269" s="33"/>
      <c r="NJ269" s="33"/>
      <c r="NK269" s="33"/>
      <c r="NL269" s="33"/>
      <c r="NM269" s="33"/>
      <c r="NN269" s="33"/>
      <c r="NO269" s="33"/>
      <c r="NP269" s="33"/>
      <c r="NQ269" s="33"/>
      <c r="NR269" s="33"/>
      <c r="NS269" s="33"/>
      <c r="NT269" s="33"/>
      <c r="NU269" s="33"/>
      <c r="NV269" s="33"/>
      <c r="NW269" s="33"/>
      <c r="NX269" s="33"/>
      <c r="NY269" s="33"/>
      <c r="NZ269" s="33"/>
      <c r="OA269" s="33"/>
      <c r="OB269" s="33"/>
      <c r="OC269" s="33"/>
      <c r="OD269" s="33"/>
      <c r="OE269" s="33"/>
      <c r="OF269" s="33"/>
      <c r="OG269" s="33"/>
      <c r="OH269" s="33"/>
      <c r="OI269" s="33"/>
      <c r="OJ269" s="33"/>
      <c r="OK269" s="33"/>
      <c r="OL269" s="33"/>
      <c r="OM269" s="33"/>
      <c r="ON269" s="33"/>
      <c r="OO269" s="33"/>
      <c r="OP269" s="33"/>
      <c r="OQ269" s="33"/>
      <c r="OR269" s="33"/>
      <c r="OS269" s="33"/>
      <c r="OT269" s="33"/>
      <c r="OU269" s="33"/>
      <c r="OV269" s="33"/>
      <c r="OW269" s="33"/>
      <c r="OX269" s="33"/>
      <c r="OY269" s="33"/>
      <c r="OZ269" s="33"/>
      <c r="PA269" s="33"/>
      <c r="PB269" s="33"/>
      <c r="PC269" s="33"/>
      <c r="PD269" s="33"/>
      <c r="PE269" s="33"/>
      <c r="PF269" s="33"/>
      <c r="PG269" s="33"/>
      <c r="PH269" s="33"/>
      <c r="PI269" s="33"/>
      <c r="PJ269" s="33"/>
      <c r="PK269" s="33"/>
      <c r="PL269" s="33"/>
      <c r="PM269" s="33"/>
      <c r="PN269" s="33"/>
      <c r="PO269" s="33"/>
      <c r="PP269" s="33"/>
      <c r="PQ269" s="33"/>
      <c r="PR269" s="33"/>
      <c r="PS269" s="33"/>
      <c r="PT269" s="33"/>
      <c r="PU269" s="33"/>
      <c r="PV269" s="33"/>
      <c r="PW269" s="33"/>
      <c r="PX269" s="33"/>
      <c r="PY269" s="33"/>
      <c r="PZ269" s="33"/>
      <c r="QA269" s="33"/>
      <c r="QB269" s="33"/>
      <c r="QC269" s="33"/>
      <c r="QD269" s="33"/>
      <c r="QE269" s="33"/>
      <c r="QF269" s="33"/>
      <c r="QG269" s="33"/>
      <c r="QH269" s="33"/>
      <c r="QI269" s="33"/>
      <c r="QJ269" s="33"/>
      <c r="QK269" s="33"/>
      <c r="QL269" s="33"/>
      <c r="QM269" s="33"/>
      <c r="QN269" s="33"/>
      <c r="QO269" s="33"/>
      <c r="QP269" s="33"/>
      <c r="QQ269" s="33"/>
      <c r="QR269" s="33"/>
      <c r="QS269" s="33"/>
      <c r="QT269" s="33"/>
      <c r="QU269" s="33"/>
      <c r="QV269" s="33"/>
      <c r="QW269" s="33"/>
      <c r="QX269" s="33"/>
      <c r="QY269" s="33"/>
      <c r="QZ269" s="33"/>
      <c r="RA269" s="33"/>
      <c r="RB269" s="33"/>
      <c r="RC269" s="33"/>
      <c r="RD269" s="33"/>
      <c r="RE269" s="33"/>
      <c r="RF269" s="33"/>
      <c r="RG269" s="33"/>
      <c r="RH269" s="33"/>
      <c r="RI269" s="33"/>
      <c r="RJ269" s="33"/>
      <c r="RK269" s="33"/>
      <c r="RL269" s="33"/>
      <c r="RM269" s="33"/>
      <c r="RN269" s="33"/>
      <c r="RO269" s="33"/>
      <c r="RP269" s="33"/>
      <c r="RQ269" s="33"/>
      <c r="RR269" s="33"/>
      <c r="RS269" s="33"/>
      <c r="RT269" s="33"/>
      <c r="RU269" s="33"/>
      <c r="RV269" s="33"/>
      <c r="RW269" s="33"/>
      <c r="RX269" s="33"/>
      <c r="RY269" s="33"/>
      <c r="RZ269" s="33"/>
      <c r="SA269" s="33"/>
      <c r="SB269" s="33"/>
      <c r="SC269" s="33"/>
      <c r="SD269" s="33"/>
      <c r="SE269" s="33"/>
      <c r="SF269" s="33"/>
      <c r="SG269" s="33"/>
      <c r="SH269" s="33"/>
      <c r="SI269" s="33"/>
      <c r="SJ269" s="33"/>
      <c r="SK269" s="33"/>
      <c r="SL269" s="33"/>
      <c r="SM269" s="33"/>
      <c r="SN269" s="33"/>
      <c r="SO269" s="33"/>
      <c r="SP269" s="33"/>
      <c r="SQ269" s="33"/>
      <c r="SR269" s="33"/>
      <c r="SS269" s="33"/>
      <c r="ST269" s="33"/>
      <c r="SU269" s="33"/>
      <c r="SV269" s="33"/>
      <c r="SW269" s="33"/>
      <c r="SX269" s="33"/>
      <c r="SY269" s="33"/>
      <c r="SZ269" s="33"/>
      <c r="TA269" s="33"/>
      <c r="TB269" s="33"/>
      <c r="TC269" s="33"/>
      <c r="TD269" s="33"/>
      <c r="TE269" s="33"/>
      <c r="TF269" s="33"/>
      <c r="TG269" s="33"/>
    </row>
    <row r="270" spans="1:527" s="34" customFormat="1" ht="17.25" customHeight="1" x14ac:dyDescent="0.25">
      <c r="A270" s="96"/>
      <c r="B270" s="109"/>
      <c r="C270" s="109"/>
      <c r="D270" s="83" t="s">
        <v>419</v>
      </c>
      <c r="E270" s="98">
        <f>E285</f>
        <v>0</v>
      </c>
      <c r="F270" s="98">
        <f t="shared" ref="F270:P270" si="134">F285</f>
        <v>0</v>
      </c>
      <c r="G270" s="98">
        <f t="shared" si="134"/>
        <v>0</v>
      </c>
      <c r="H270" s="98">
        <f t="shared" si="134"/>
        <v>0</v>
      </c>
      <c r="I270" s="98">
        <f t="shared" si="134"/>
        <v>0</v>
      </c>
      <c r="J270" s="98">
        <f t="shared" si="134"/>
        <v>96859595</v>
      </c>
      <c r="K270" s="98">
        <f t="shared" si="134"/>
        <v>96859595</v>
      </c>
      <c r="L270" s="98">
        <f t="shared" si="134"/>
        <v>0</v>
      </c>
      <c r="M270" s="98">
        <f t="shared" si="134"/>
        <v>0</v>
      </c>
      <c r="N270" s="98">
        <f t="shared" si="134"/>
        <v>0</v>
      </c>
      <c r="O270" s="98">
        <f t="shared" si="134"/>
        <v>96859595</v>
      </c>
      <c r="P270" s="98">
        <f t="shared" si="134"/>
        <v>96859595</v>
      </c>
      <c r="Q270" s="33"/>
      <c r="R270" s="32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  <c r="IW270" s="33"/>
      <c r="IX270" s="33"/>
      <c r="IY270" s="33"/>
      <c r="IZ270" s="33"/>
      <c r="JA270" s="33"/>
      <c r="JB270" s="33"/>
      <c r="JC270" s="33"/>
      <c r="JD270" s="33"/>
      <c r="JE270" s="33"/>
      <c r="JF270" s="33"/>
      <c r="JG270" s="33"/>
      <c r="JH270" s="33"/>
      <c r="JI270" s="33"/>
      <c r="JJ270" s="33"/>
      <c r="JK270" s="33"/>
      <c r="JL270" s="33"/>
      <c r="JM270" s="33"/>
      <c r="JN270" s="33"/>
      <c r="JO270" s="33"/>
      <c r="JP270" s="33"/>
      <c r="JQ270" s="33"/>
      <c r="JR270" s="33"/>
      <c r="JS270" s="33"/>
      <c r="JT270" s="33"/>
      <c r="JU270" s="33"/>
      <c r="JV270" s="33"/>
      <c r="JW270" s="33"/>
      <c r="JX270" s="33"/>
      <c r="JY270" s="33"/>
      <c r="JZ270" s="33"/>
      <c r="KA270" s="33"/>
      <c r="KB270" s="33"/>
      <c r="KC270" s="33"/>
      <c r="KD270" s="33"/>
      <c r="KE270" s="33"/>
      <c r="KF270" s="33"/>
      <c r="KG270" s="33"/>
      <c r="KH270" s="33"/>
      <c r="KI270" s="33"/>
      <c r="KJ270" s="33"/>
      <c r="KK270" s="33"/>
      <c r="KL270" s="33"/>
      <c r="KM270" s="33"/>
      <c r="KN270" s="33"/>
      <c r="KO270" s="33"/>
      <c r="KP270" s="33"/>
      <c r="KQ270" s="33"/>
      <c r="KR270" s="33"/>
      <c r="KS270" s="33"/>
      <c r="KT270" s="33"/>
      <c r="KU270" s="33"/>
      <c r="KV270" s="33"/>
      <c r="KW270" s="33"/>
      <c r="KX270" s="33"/>
      <c r="KY270" s="33"/>
      <c r="KZ270" s="33"/>
      <c r="LA270" s="33"/>
      <c r="LB270" s="33"/>
      <c r="LC270" s="33"/>
      <c r="LD270" s="33"/>
      <c r="LE270" s="33"/>
      <c r="LF270" s="33"/>
      <c r="LG270" s="33"/>
      <c r="LH270" s="33"/>
      <c r="LI270" s="33"/>
      <c r="LJ270" s="33"/>
      <c r="LK270" s="33"/>
      <c r="LL270" s="33"/>
      <c r="LM270" s="33"/>
      <c r="LN270" s="33"/>
      <c r="LO270" s="33"/>
      <c r="LP270" s="33"/>
      <c r="LQ270" s="33"/>
      <c r="LR270" s="33"/>
      <c r="LS270" s="33"/>
      <c r="LT270" s="33"/>
      <c r="LU270" s="33"/>
      <c r="LV270" s="33"/>
      <c r="LW270" s="33"/>
      <c r="LX270" s="33"/>
      <c r="LY270" s="33"/>
      <c r="LZ270" s="33"/>
      <c r="MA270" s="33"/>
      <c r="MB270" s="33"/>
      <c r="MC270" s="33"/>
      <c r="MD270" s="33"/>
      <c r="ME270" s="33"/>
      <c r="MF270" s="33"/>
      <c r="MG270" s="33"/>
      <c r="MH270" s="33"/>
      <c r="MI270" s="33"/>
      <c r="MJ270" s="33"/>
      <c r="MK270" s="33"/>
      <c r="ML270" s="33"/>
      <c r="MM270" s="33"/>
      <c r="MN270" s="33"/>
      <c r="MO270" s="33"/>
      <c r="MP270" s="33"/>
      <c r="MQ270" s="33"/>
      <c r="MR270" s="33"/>
      <c r="MS270" s="33"/>
      <c r="MT270" s="33"/>
      <c r="MU270" s="33"/>
      <c r="MV270" s="33"/>
      <c r="MW270" s="33"/>
      <c r="MX270" s="33"/>
      <c r="MY270" s="33"/>
      <c r="MZ270" s="33"/>
      <c r="NA270" s="33"/>
      <c r="NB270" s="33"/>
      <c r="NC270" s="33"/>
      <c r="ND270" s="33"/>
      <c r="NE270" s="33"/>
      <c r="NF270" s="33"/>
      <c r="NG270" s="33"/>
      <c r="NH270" s="33"/>
      <c r="NI270" s="33"/>
      <c r="NJ270" s="33"/>
      <c r="NK270" s="33"/>
      <c r="NL270" s="33"/>
      <c r="NM270" s="33"/>
      <c r="NN270" s="33"/>
      <c r="NO270" s="33"/>
      <c r="NP270" s="33"/>
      <c r="NQ270" s="33"/>
      <c r="NR270" s="33"/>
      <c r="NS270" s="33"/>
      <c r="NT270" s="33"/>
      <c r="NU270" s="33"/>
      <c r="NV270" s="33"/>
      <c r="NW270" s="33"/>
      <c r="NX270" s="33"/>
      <c r="NY270" s="33"/>
      <c r="NZ270" s="33"/>
      <c r="OA270" s="33"/>
      <c r="OB270" s="33"/>
      <c r="OC270" s="33"/>
      <c r="OD270" s="33"/>
      <c r="OE270" s="33"/>
      <c r="OF270" s="33"/>
      <c r="OG270" s="33"/>
      <c r="OH270" s="33"/>
      <c r="OI270" s="33"/>
      <c r="OJ270" s="33"/>
      <c r="OK270" s="33"/>
      <c r="OL270" s="33"/>
      <c r="OM270" s="33"/>
      <c r="ON270" s="33"/>
      <c r="OO270" s="33"/>
      <c r="OP270" s="33"/>
      <c r="OQ270" s="33"/>
      <c r="OR270" s="33"/>
      <c r="OS270" s="33"/>
      <c r="OT270" s="33"/>
      <c r="OU270" s="33"/>
      <c r="OV270" s="33"/>
      <c r="OW270" s="33"/>
      <c r="OX270" s="33"/>
      <c r="OY270" s="33"/>
      <c r="OZ270" s="33"/>
      <c r="PA270" s="33"/>
      <c r="PB270" s="33"/>
      <c r="PC270" s="33"/>
      <c r="PD270" s="33"/>
      <c r="PE270" s="33"/>
      <c r="PF270" s="33"/>
      <c r="PG270" s="33"/>
      <c r="PH270" s="33"/>
      <c r="PI270" s="33"/>
      <c r="PJ270" s="33"/>
      <c r="PK270" s="33"/>
      <c r="PL270" s="33"/>
      <c r="PM270" s="33"/>
      <c r="PN270" s="33"/>
      <c r="PO270" s="33"/>
      <c r="PP270" s="33"/>
      <c r="PQ270" s="33"/>
      <c r="PR270" s="33"/>
      <c r="PS270" s="33"/>
      <c r="PT270" s="33"/>
      <c r="PU270" s="33"/>
      <c r="PV270" s="33"/>
      <c r="PW270" s="33"/>
      <c r="PX270" s="33"/>
      <c r="PY270" s="33"/>
      <c r="PZ270" s="33"/>
      <c r="QA270" s="33"/>
      <c r="QB270" s="33"/>
      <c r="QC270" s="33"/>
      <c r="QD270" s="33"/>
      <c r="QE270" s="33"/>
      <c r="QF270" s="33"/>
      <c r="QG270" s="33"/>
      <c r="QH270" s="33"/>
      <c r="QI270" s="33"/>
      <c r="QJ270" s="33"/>
      <c r="QK270" s="33"/>
      <c r="QL270" s="33"/>
      <c r="QM270" s="33"/>
      <c r="QN270" s="33"/>
      <c r="QO270" s="33"/>
      <c r="QP270" s="33"/>
      <c r="QQ270" s="33"/>
      <c r="QR270" s="33"/>
      <c r="QS270" s="33"/>
      <c r="QT270" s="33"/>
      <c r="QU270" s="33"/>
      <c r="QV270" s="33"/>
      <c r="QW270" s="33"/>
      <c r="QX270" s="33"/>
      <c r="QY270" s="33"/>
      <c r="QZ270" s="33"/>
      <c r="RA270" s="33"/>
      <c r="RB270" s="33"/>
      <c r="RC270" s="33"/>
      <c r="RD270" s="33"/>
      <c r="RE270" s="33"/>
      <c r="RF270" s="33"/>
      <c r="RG270" s="33"/>
      <c r="RH270" s="33"/>
      <c r="RI270" s="33"/>
      <c r="RJ270" s="33"/>
      <c r="RK270" s="33"/>
      <c r="RL270" s="33"/>
      <c r="RM270" s="33"/>
      <c r="RN270" s="33"/>
      <c r="RO270" s="33"/>
      <c r="RP270" s="33"/>
      <c r="RQ270" s="33"/>
      <c r="RR270" s="33"/>
      <c r="RS270" s="33"/>
      <c r="RT270" s="33"/>
      <c r="RU270" s="33"/>
      <c r="RV270" s="33"/>
      <c r="RW270" s="33"/>
      <c r="RX270" s="33"/>
      <c r="RY270" s="33"/>
      <c r="RZ270" s="33"/>
      <c r="SA270" s="33"/>
      <c r="SB270" s="33"/>
      <c r="SC270" s="33"/>
      <c r="SD270" s="33"/>
      <c r="SE270" s="33"/>
      <c r="SF270" s="33"/>
      <c r="SG270" s="33"/>
      <c r="SH270" s="33"/>
      <c r="SI270" s="33"/>
      <c r="SJ270" s="33"/>
      <c r="SK270" s="33"/>
      <c r="SL270" s="33"/>
      <c r="SM270" s="33"/>
      <c r="SN270" s="33"/>
      <c r="SO270" s="33"/>
      <c r="SP270" s="33"/>
      <c r="SQ270" s="33"/>
      <c r="SR270" s="33"/>
      <c r="SS270" s="33"/>
      <c r="ST270" s="33"/>
      <c r="SU270" s="33"/>
      <c r="SV270" s="33"/>
      <c r="SW270" s="33"/>
      <c r="SX270" s="33"/>
      <c r="SY270" s="33"/>
      <c r="SZ270" s="33"/>
      <c r="TA270" s="33"/>
      <c r="TB270" s="33"/>
      <c r="TC270" s="33"/>
      <c r="TD270" s="33"/>
      <c r="TE270" s="33"/>
      <c r="TF270" s="33"/>
      <c r="TG270" s="33"/>
    </row>
    <row r="271" spans="1:527" s="22" customFormat="1" ht="47.25" x14ac:dyDescent="0.25">
      <c r="A271" s="59" t="s">
        <v>140</v>
      </c>
      <c r="B271" s="93" t="str">
        <f>'дод 8'!A19</f>
        <v>0160</v>
      </c>
      <c r="C271" s="93" t="str">
        <f>'дод 8'!B19</f>
        <v>0111</v>
      </c>
      <c r="D271" s="36" t="s">
        <v>494</v>
      </c>
      <c r="E271" s="99">
        <f t="shared" ref="E271:E286" si="135">F271+I271</f>
        <v>3109000</v>
      </c>
      <c r="F271" s="99">
        <f>3609000-1000000+500000</f>
        <v>3109000</v>
      </c>
      <c r="G271" s="99">
        <f>2958200-812000+413200</f>
        <v>2559400</v>
      </c>
      <c r="H271" s="99"/>
      <c r="I271" s="99"/>
      <c r="J271" s="99">
        <f>L271+O271</f>
        <v>1900000</v>
      </c>
      <c r="K271" s="99"/>
      <c r="L271" s="99">
        <v>1900000</v>
      </c>
      <c r="M271" s="99">
        <v>1332000</v>
      </c>
      <c r="N271" s="99">
        <v>71500</v>
      </c>
      <c r="O271" s="99"/>
      <c r="P271" s="99">
        <f t="shared" ref="P271:P286" si="136">E271+J271</f>
        <v>5009000</v>
      </c>
      <c r="Q271" s="23"/>
      <c r="R271" s="32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  <c r="TG271" s="23"/>
    </row>
    <row r="272" spans="1:527" s="22" customFormat="1" ht="18" customHeight="1" x14ac:dyDescent="0.25">
      <c r="A272" s="59" t="s">
        <v>205</v>
      </c>
      <c r="B272" s="93" t="str">
        <f>'дод 8'!A162</f>
        <v>6030</v>
      </c>
      <c r="C272" s="93" t="str">
        <f>'дод 8'!B162</f>
        <v>0620</v>
      </c>
      <c r="D272" s="60" t="str">
        <f>'дод 8'!C162</f>
        <v>Організація благоустрою населених пунктів</v>
      </c>
      <c r="E272" s="99">
        <f t="shared" si="135"/>
        <v>0</v>
      </c>
      <c r="F272" s="99"/>
      <c r="G272" s="99"/>
      <c r="H272" s="99"/>
      <c r="I272" s="99"/>
      <c r="J272" s="99">
        <f t="shared" ref="J272:J294" si="137">L272+O272</f>
        <v>59585128</v>
      </c>
      <c r="K272" s="99">
        <f>50000000+200000+100000+49000+50000+1764511+50000+381259-3407127+9457485+300000+640000</f>
        <v>59585128</v>
      </c>
      <c r="L272" s="99"/>
      <c r="M272" s="99"/>
      <c r="N272" s="99"/>
      <c r="O272" s="99">
        <f>50000000+200000+100000+49000+50000+1764511+50000+381259-3407127+9457485+300000+640000</f>
        <v>59585128</v>
      </c>
      <c r="P272" s="99">
        <f t="shared" si="136"/>
        <v>59585128</v>
      </c>
      <c r="Q272" s="23"/>
      <c r="R272" s="32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  <c r="TF272" s="23"/>
      <c r="TG272" s="23"/>
    </row>
    <row r="273" spans="1:527" s="22" customFormat="1" ht="65.25" customHeight="1" x14ac:dyDescent="0.25">
      <c r="A273" s="59" t="s">
        <v>206</v>
      </c>
      <c r="B273" s="93" t="str">
        <f>'дод 8'!A165</f>
        <v>6084</v>
      </c>
      <c r="C273" s="93" t="str">
        <f>'дод 8'!B165</f>
        <v>0610</v>
      </c>
      <c r="D273" s="60" t="s">
        <v>531</v>
      </c>
      <c r="E273" s="99">
        <f t="shared" si="135"/>
        <v>0</v>
      </c>
      <c r="F273" s="99"/>
      <c r="G273" s="99"/>
      <c r="H273" s="99"/>
      <c r="I273" s="99"/>
      <c r="J273" s="99">
        <f t="shared" si="137"/>
        <v>71348.649999999994</v>
      </c>
      <c r="K273" s="99"/>
      <c r="L273" s="113"/>
      <c r="M273" s="99"/>
      <c r="N273" s="99"/>
      <c r="O273" s="99">
        <f>70060+1288.65</f>
        <v>71348.649999999994</v>
      </c>
      <c r="P273" s="99">
        <f t="shared" si="136"/>
        <v>71348.649999999994</v>
      </c>
      <c r="Q273" s="23"/>
      <c r="R273" s="32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</row>
    <row r="274" spans="1:527" s="22" customFormat="1" ht="31.5" x14ac:dyDescent="0.25">
      <c r="A274" s="59" t="s">
        <v>275</v>
      </c>
      <c r="B274" s="93" t="str">
        <f>'дод 8'!A177</f>
        <v>7310</v>
      </c>
      <c r="C274" s="93" t="str">
        <f>'дод 8'!B177</f>
        <v>0443</v>
      </c>
      <c r="D274" s="60" t="str">
        <f>'дод 8'!C177</f>
        <v>Будівництво1 об'єктів житлово-комунального господарства</v>
      </c>
      <c r="E274" s="99">
        <f t="shared" si="135"/>
        <v>0</v>
      </c>
      <c r="F274" s="99"/>
      <c r="G274" s="99"/>
      <c r="H274" s="99"/>
      <c r="I274" s="99"/>
      <c r="J274" s="99">
        <f t="shared" si="137"/>
        <v>23385.4</v>
      </c>
      <c r="K274" s="99">
        <v>23385.4</v>
      </c>
      <c r="L274" s="99"/>
      <c r="M274" s="99"/>
      <c r="N274" s="99"/>
      <c r="O274" s="99">
        <v>23385.4</v>
      </c>
      <c r="P274" s="99">
        <f t="shared" si="136"/>
        <v>23385.4</v>
      </c>
      <c r="Q274" s="23"/>
      <c r="R274" s="32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  <c r="TG274" s="23"/>
    </row>
    <row r="275" spans="1:527" s="22" customFormat="1" ht="18.75" x14ac:dyDescent="0.25">
      <c r="A275" s="59" t="s">
        <v>276</v>
      </c>
      <c r="B275" s="93" t="str">
        <f>'дод 8'!A178</f>
        <v>7321</v>
      </c>
      <c r="C275" s="93" t="str">
        <f>'дод 8'!B178</f>
        <v>0443</v>
      </c>
      <c r="D275" s="6" t="s">
        <v>548</v>
      </c>
      <c r="E275" s="99">
        <f t="shared" si="135"/>
        <v>0</v>
      </c>
      <c r="F275" s="99"/>
      <c r="G275" s="99"/>
      <c r="H275" s="99"/>
      <c r="I275" s="99"/>
      <c r="J275" s="99">
        <f t="shared" si="137"/>
        <v>4370560</v>
      </c>
      <c r="K275" s="99">
        <f>42471+46089+10000+22000+1000000+100000+3000000+150000</f>
        <v>4370560</v>
      </c>
      <c r="L275" s="99"/>
      <c r="M275" s="99"/>
      <c r="N275" s="99"/>
      <c r="O275" s="99">
        <f>42471+46089+10000+22000+1000000+100000+3000000+150000</f>
        <v>4370560</v>
      </c>
      <c r="P275" s="99">
        <f t="shared" si="136"/>
        <v>4370560</v>
      </c>
      <c r="Q275" s="23"/>
      <c r="R275" s="32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  <c r="TF275" s="23"/>
      <c r="TG275" s="23"/>
    </row>
    <row r="276" spans="1:527" s="22" customFormat="1" ht="18.75" x14ac:dyDescent="0.25">
      <c r="A276" s="59" t="s">
        <v>278</v>
      </c>
      <c r="B276" s="93" t="str">
        <f>'дод 8'!A180</f>
        <v>7322</v>
      </c>
      <c r="C276" s="93" t="str">
        <f>'дод 8'!B180</f>
        <v>0443</v>
      </c>
      <c r="D276" s="6" t="s">
        <v>549</v>
      </c>
      <c r="E276" s="99">
        <f t="shared" si="135"/>
        <v>0</v>
      </c>
      <c r="F276" s="99"/>
      <c r="G276" s="99"/>
      <c r="H276" s="99"/>
      <c r="I276" s="99"/>
      <c r="J276" s="99">
        <f t="shared" si="137"/>
        <v>9800000</v>
      </c>
      <c r="K276" s="99">
        <f>3000000+1800000+2000000+3000000</f>
        <v>9800000</v>
      </c>
      <c r="L276" s="99"/>
      <c r="M276" s="99"/>
      <c r="N276" s="99"/>
      <c r="O276" s="99">
        <f>3000000+1800000+2000000+3000000</f>
        <v>9800000</v>
      </c>
      <c r="P276" s="99">
        <f t="shared" si="136"/>
        <v>9800000</v>
      </c>
      <c r="Q276" s="23"/>
      <c r="R276" s="32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  <c r="TF276" s="23"/>
      <c r="TG276" s="23"/>
    </row>
    <row r="277" spans="1:527" s="22" customFormat="1" ht="18.75" x14ac:dyDescent="0.25">
      <c r="A277" s="59" t="s">
        <v>563</v>
      </c>
      <c r="B277" s="93">
        <v>7324</v>
      </c>
      <c r="C277" s="93">
        <v>443</v>
      </c>
      <c r="D277" s="6" t="s">
        <v>551</v>
      </c>
      <c r="E277" s="99">
        <f t="shared" si="135"/>
        <v>0</v>
      </c>
      <c r="F277" s="99"/>
      <c r="G277" s="99"/>
      <c r="H277" s="99"/>
      <c r="I277" s="99"/>
      <c r="J277" s="99">
        <f t="shared" si="137"/>
        <v>400000</v>
      </c>
      <c r="K277" s="99">
        <v>400000</v>
      </c>
      <c r="L277" s="99"/>
      <c r="M277" s="99"/>
      <c r="N277" s="99"/>
      <c r="O277" s="99">
        <v>400000</v>
      </c>
      <c r="P277" s="99">
        <f t="shared" si="136"/>
        <v>400000</v>
      </c>
      <c r="Q277" s="23"/>
      <c r="R277" s="32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</row>
    <row r="278" spans="1:527" s="22" customFormat="1" ht="34.5" x14ac:dyDescent="0.25">
      <c r="A278" s="59" t="s">
        <v>359</v>
      </c>
      <c r="B278" s="93">
        <f>'дод 8'!A183</f>
        <v>7325</v>
      </c>
      <c r="C278" s="59" t="s">
        <v>111</v>
      </c>
      <c r="D278" s="6" t="s">
        <v>546</v>
      </c>
      <c r="E278" s="99">
        <f t="shared" si="135"/>
        <v>0</v>
      </c>
      <c r="F278" s="99"/>
      <c r="G278" s="99"/>
      <c r="H278" s="99"/>
      <c r="I278" s="99"/>
      <c r="J278" s="99">
        <f t="shared" si="137"/>
        <v>2849440</v>
      </c>
      <c r="K278" s="99">
        <f>199440+1000000+600000+750000+300000</f>
        <v>2849440</v>
      </c>
      <c r="L278" s="99"/>
      <c r="M278" s="99"/>
      <c r="N278" s="99"/>
      <c r="O278" s="99">
        <f>199440+1000000+600000+750000+300000</f>
        <v>2849440</v>
      </c>
      <c r="P278" s="99">
        <f t="shared" si="136"/>
        <v>2849440</v>
      </c>
      <c r="Q278" s="23"/>
      <c r="R278" s="32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22" customFormat="1" ht="18" customHeight="1" x14ac:dyDescent="0.25">
      <c r="A279" s="59" t="s">
        <v>280</v>
      </c>
      <c r="B279" s="93" t="str">
        <f>'дод 8'!A184</f>
        <v>7330</v>
      </c>
      <c r="C279" s="93" t="str">
        <f>'дод 8'!B184</f>
        <v>0443</v>
      </c>
      <c r="D279" s="6" t="s">
        <v>547</v>
      </c>
      <c r="E279" s="99">
        <f t="shared" si="135"/>
        <v>0</v>
      </c>
      <c r="F279" s="99"/>
      <c r="G279" s="99"/>
      <c r="H279" s="99"/>
      <c r="I279" s="99"/>
      <c r="J279" s="99">
        <f t="shared" si="137"/>
        <v>11360539</v>
      </c>
      <c r="K279" s="99">
        <f>39750000+1567447+258138-1800000+200000+135000+200000+95995-28000000+240000-70000+60000+30000-30000+49900+1000000-2814608-60000+698667-136875+136875-150000</f>
        <v>11360539</v>
      </c>
      <c r="L279" s="99"/>
      <c r="M279" s="99"/>
      <c r="N279" s="99"/>
      <c r="O279" s="99">
        <f>39750000+1567447+258138-1800000+200000+135000+200000+95995-28000000+240000-70000+60000+30000-30000+49900+1000000-2814608-60000+698667-136875+136875-150000</f>
        <v>11360539</v>
      </c>
      <c r="P279" s="99">
        <f t="shared" si="136"/>
        <v>11360539</v>
      </c>
      <c r="Q279" s="23"/>
      <c r="R279" s="32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</row>
    <row r="280" spans="1:527" s="22" customFormat="1" ht="31.5" x14ac:dyDescent="0.25">
      <c r="A280" s="59" t="s">
        <v>428</v>
      </c>
      <c r="B280" s="93">
        <v>7340</v>
      </c>
      <c r="C280" s="59" t="s">
        <v>111</v>
      </c>
      <c r="D280" s="60" t="s">
        <v>1</v>
      </c>
      <c r="E280" s="99">
        <f t="shared" si="135"/>
        <v>0</v>
      </c>
      <c r="F280" s="99"/>
      <c r="G280" s="99"/>
      <c r="H280" s="99"/>
      <c r="I280" s="99"/>
      <c r="J280" s="99">
        <f t="shared" si="137"/>
        <v>1000000</v>
      </c>
      <c r="K280" s="99">
        <f>6000000-2067496-104420-86000-2742084</f>
        <v>1000000</v>
      </c>
      <c r="L280" s="99"/>
      <c r="M280" s="99"/>
      <c r="N280" s="99"/>
      <c r="O280" s="99">
        <f>6000000-2067496-104420-86000-2742084</f>
        <v>1000000</v>
      </c>
      <c r="P280" s="99">
        <f t="shared" si="136"/>
        <v>1000000</v>
      </c>
      <c r="Q280" s="23"/>
      <c r="R280" s="32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2" customFormat="1" ht="53.25" customHeight="1" x14ac:dyDescent="0.25">
      <c r="A281" s="59" t="s">
        <v>371</v>
      </c>
      <c r="B281" s="93">
        <f>'дод 8'!A187</f>
        <v>7361</v>
      </c>
      <c r="C281" s="93" t="str">
        <f>'дод 8'!B187</f>
        <v>0490</v>
      </c>
      <c r="D281" s="60" t="str">
        <f>'дод 8'!C187</f>
        <v>Співфінансування інвестиційних проектів, що реалізуються за рахунок коштів державного фонду регіонального розвитку</v>
      </c>
      <c r="E281" s="99">
        <f t="shared" ref="E281" si="138">F281+I281</f>
        <v>0</v>
      </c>
      <c r="F281" s="99"/>
      <c r="G281" s="99"/>
      <c r="H281" s="99"/>
      <c r="I281" s="99"/>
      <c r="J281" s="99">
        <f t="shared" ref="J281" si="139">L281+O281</f>
        <v>67172673</v>
      </c>
      <c r="K281" s="99">
        <f>10172673+28000000+15000000+924549+4075451+9000000</f>
        <v>67172673</v>
      </c>
      <c r="L281" s="99"/>
      <c r="M281" s="99"/>
      <c r="N281" s="99"/>
      <c r="O281" s="99">
        <f>10172673+28000000+15000000+924549+4075451+9000000</f>
        <v>67172673</v>
      </c>
      <c r="P281" s="99">
        <f t="shared" si="136"/>
        <v>67172673</v>
      </c>
      <c r="Q281" s="23"/>
      <c r="R281" s="32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</row>
    <row r="282" spans="1:527" s="22" customFormat="1" ht="47.25" hidden="1" customHeight="1" x14ac:dyDescent="0.25">
      <c r="A282" s="59" t="s">
        <v>366</v>
      </c>
      <c r="B282" s="93">
        <v>7363</v>
      </c>
      <c r="C282" s="59" t="s">
        <v>82</v>
      </c>
      <c r="D282" s="60" t="s">
        <v>398</v>
      </c>
      <c r="E282" s="99">
        <f t="shared" si="135"/>
        <v>0</v>
      </c>
      <c r="F282" s="99"/>
      <c r="G282" s="99"/>
      <c r="H282" s="99"/>
      <c r="I282" s="99"/>
      <c r="J282" s="99">
        <f t="shared" si="137"/>
        <v>0</v>
      </c>
      <c r="K282" s="99"/>
      <c r="L282" s="99"/>
      <c r="M282" s="99"/>
      <c r="N282" s="99"/>
      <c r="O282" s="99"/>
      <c r="P282" s="99">
        <f t="shared" si="136"/>
        <v>0</v>
      </c>
      <c r="Q282" s="23"/>
      <c r="R282" s="32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  <c r="TF282" s="23"/>
      <c r="TG282" s="23"/>
    </row>
    <row r="283" spans="1:527" s="22" customFormat="1" ht="31.5" x14ac:dyDescent="0.25">
      <c r="A283" s="59" t="s">
        <v>430</v>
      </c>
      <c r="B283" s="93">
        <v>7370</v>
      </c>
      <c r="C283" s="59" t="s">
        <v>82</v>
      </c>
      <c r="D283" s="60" t="s">
        <v>431</v>
      </c>
      <c r="E283" s="99">
        <f>F283+I283</f>
        <v>81034.600000000006</v>
      </c>
      <c r="F283" s="99">
        <f>104420-23385.4</f>
        <v>81034.600000000006</v>
      </c>
      <c r="G283" s="99"/>
      <c r="H283" s="99"/>
      <c r="I283" s="99"/>
      <c r="J283" s="99">
        <f t="shared" si="137"/>
        <v>0</v>
      </c>
      <c r="K283" s="99"/>
      <c r="L283" s="99"/>
      <c r="M283" s="99"/>
      <c r="N283" s="99"/>
      <c r="O283" s="99"/>
      <c r="P283" s="99">
        <f t="shared" si="136"/>
        <v>81034.600000000006</v>
      </c>
      <c r="Q283" s="23"/>
      <c r="R283" s="32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</row>
    <row r="284" spans="1:527" s="22" customFormat="1" ht="21.75" customHeight="1" x14ac:dyDescent="0.25">
      <c r="A284" s="59" t="s">
        <v>146</v>
      </c>
      <c r="B284" s="93" t="str">
        <f>'дод 8'!A215</f>
        <v>7640</v>
      </c>
      <c r="C284" s="93" t="str">
        <f>'дод 8'!B215</f>
        <v>0470</v>
      </c>
      <c r="D284" s="60" t="s">
        <v>468</v>
      </c>
      <c r="E284" s="99">
        <f t="shared" si="135"/>
        <v>531386.55000000005</v>
      </c>
      <c r="F284" s="99">
        <f>1763607-797422.45+49500-484298</f>
        <v>531386.55000000005</v>
      </c>
      <c r="G284" s="99"/>
      <c r="H284" s="99"/>
      <c r="I284" s="99"/>
      <c r="J284" s="99">
        <f t="shared" si="137"/>
        <v>121780030.44999999</v>
      </c>
      <c r="K284" s="99">
        <f>124644482+797422.45+2700000-4500000-14835808+1500000</f>
        <v>110306096.45</v>
      </c>
      <c r="L284" s="113"/>
      <c r="M284" s="99"/>
      <c r="N284" s="99"/>
      <c r="O284" s="99">
        <f>136118416+797422.45+2700000-4500000-14835808+1500000</f>
        <v>121780030.44999999</v>
      </c>
      <c r="P284" s="99">
        <f t="shared" si="136"/>
        <v>122311416.99999999</v>
      </c>
      <c r="Q284" s="23"/>
      <c r="R284" s="32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4" customFormat="1" ht="17.25" customHeight="1" x14ac:dyDescent="0.25">
      <c r="A285" s="84"/>
      <c r="B285" s="111"/>
      <c r="C285" s="111"/>
      <c r="D285" s="85" t="s">
        <v>419</v>
      </c>
      <c r="E285" s="101">
        <f t="shared" si="135"/>
        <v>0</v>
      </c>
      <c r="F285" s="101"/>
      <c r="G285" s="101"/>
      <c r="H285" s="101"/>
      <c r="I285" s="101"/>
      <c r="J285" s="101">
        <f t="shared" si="137"/>
        <v>96859595</v>
      </c>
      <c r="K285" s="101">
        <v>96859595</v>
      </c>
      <c r="L285" s="114"/>
      <c r="M285" s="101"/>
      <c r="N285" s="101"/>
      <c r="O285" s="101">
        <v>96859595</v>
      </c>
      <c r="P285" s="101">
        <f t="shared" si="136"/>
        <v>96859595</v>
      </c>
      <c r="Q285" s="30"/>
      <c r="R285" s="32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  <c r="IW285" s="30"/>
      <c r="IX285" s="30"/>
      <c r="IY285" s="30"/>
      <c r="IZ285" s="30"/>
      <c r="JA285" s="30"/>
      <c r="JB285" s="30"/>
      <c r="JC285" s="30"/>
      <c r="JD285" s="30"/>
      <c r="JE285" s="30"/>
      <c r="JF285" s="30"/>
      <c r="JG285" s="30"/>
      <c r="JH285" s="30"/>
      <c r="JI285" s="30"/>
      <c r="JJ285" s="30"/>
      <c r="JK285" s="30"/>
      <c r="JL285" s="30"/>
      <c r="JM285" s="30"/>
      <c r="JN285" s="30"/>
      <c r="JO285" s="30"/>
      <c r="JP285" s="30"/>
      <c r="JQ285" s="30"/>
      <c r="JR285" s="30"/>
      <c r="JS285" s="30"/>
      <c r="JT285" s="30"/>
      <c r="JU285" s="30"/>
      <c r="JV285" s="30"/>
      <c r="JW285" s="30"/>
      <c r="JX285" s="30"/>
      <c r="JY285" s="30"/>
      <c r="JZ285" s="30"/>
      <c r="KA285" s="30"/>
      <c r="KB285" s="30"/>
      <c r="KC285" s="30"/>
      <c r="KD285" s="30"/>
      <c r="KE285" s="30"/>
      <c r="KF285" s="30"/>
      <c r="KG285" s="30"/>
      <c r="KH285" s="30"/>
      <c r="KI285" s="30"/>
      <c r="KJ285" s="30"/>
      <c r="KK285" s="30"/>
      <c r="KL285" s="30"/>
      <c r="KM285" s="30"/>
      <c r="KN285" s="30"/>
      <c r="KO285" s="30"/>
      <c r="KP285" s="30"/>
      <c r="KQ285" s="30"/>
      <c r="KR285" s="30"/>
      <c r="KS285" s="30"/>
      <c r="KT285" s="30"/>
      <c r="KU285" s="30"/>
      <c r="KV285" s="30"/>
      <c r="KW285" s="30"/>
      <c r="KX285" s="30"/>
      <c r="KY285" s="30"/>
      <c r="KZ285" s="30"/>
      <c r="LA285" s="30"/>
      <c r="LB285" s="30"/>
      <c r="LC285" s="30"/>
      <c r="LD285" s="30"/>
      <c r="LE285" s="30"/>
      <c r="LF285" s="30"/>
      <c r="LG285" s="30"/>
      <c r="LH285" s="30"/>
      <c r="LI285" s="30"/>
      <c r="LJ285" s="30"/>
      <c r="LK285" s="30"/>
      <c r="LL285" s="30"/>
      <c r="LM285" s="30"/>
      <c r="LN285" s="30"/>
      <c r="LO285" s="30"/>
      <c r="LP285" s="30"/>
      <c r="LQ285" s="30"/>
      <c r="LR285" s="30"/>
      <c r="LS285" s="30"/>
      <c r="LT285" s="30"/>
      <c r="LU285" s="30"/>
      <c r="LV285" s="30"/>
      <c r="LW285" s="30"/>
      <c r="LX285" s="30"/>
      <c r="LY285" s="30"/>
      <c r="LZ285" s="30"/>
      <c r="MA285" s="30"/>
      <c r="MB285" s="30"/>
      <c r="MC285" s="30"/>
      <c r="MD285" s="30"/>
      <c r="ME285" s="30"/>
      <c r="MF285" s="30"/>
      <c r="MG285" s="30"/>
      <c r="MH285" s="30"/>
      <c r="MI285" s="30"/>
      <c r="MJ285" s="30"/>
      <c r="MK285" s="30"/>
      <c r="ML285" s="30"/>
      <c r="MM285" s="30"/>
      <c r="MN285" s="30"/>
      <c r="MO285" s="30"/>
      <c r="MP285" s="30"/>
      <c r="MQ285" s="30"/>
      <c r="MR285" s="30"/>
      <c r="MS285" s="30"/>
      <c r="MT285" s="30"/>
      <c r="MU285" s="30"/>
      <c r="MV285" s="30"/>
      <c r="MW285" s="30"/>
      <c r="MX285" s="30"/>
      <c r="MY285" s="30"/>
      <c r="MZ285" s="30"/>
      <c r="NA285" s="30"/>
      <c r="NB285" s="30"/>
      <c r="NC285" s="30"/>
      <c r="ND285" s="30"/>
      <c r="NE285" s="30"/>
      <c r="NF285" s="30"/>
      <c r="NG285" s="30"/>
      <c r="NH285" s="30"/>
      <c r="NI285" s="30"/>
      <c r="NJ285" s="30"/>
      <c r="NK285" s="30"/>
      <c r="NL285" s="30"/>
      <c r="NM285" s="30"/>
      <c r="NN285" s="30"/>
      <c r="NO285" s="30"/>
      <c r="NP285" s="30"/>
      <c r="NQ285" s="30"/>
      <c r="NR285" s="30"/>
      <c r="NS285" s="30"/>
      <c r="NT285" s="30"/>
      <c r="NU285" s="30"/>
      <c r="NV285" s="30"/>
      <c r="NW285" s="30"/>
      <c r="NX285" s="30"/>
      <c r="NY285" s="30"/>
      <c r="NZ285" s="30"/>
      <c r="OA285" s="30"/>
      <c r="OB285" s="30"/>
      <c r="OC285" s="30"/>
      <c r="OD285" s="30"/>
      <c r="OE285" s="30"/>
      <c r="OF285" s="30"/>
      <c r="OG285" s="30"/>
      <c r="OH285" s="30"/>
      <c r="OI285" s="30"/>
      <c r="OJ285" s="30"/>
      <c r="OK285" s="30"/>
      <c r="OL285" s="30"/>
      <c r="OM285" s="30"/>
      <c r="ON285" s="30"/>
      <c r="OO285" s="30"/>
      <c r="OP285" s="30"/>
      <c r="OQ285" s="30"/>
      <c r="OR285" s="30"/>
      <c r="OS285" s="30"/>
      <c r="OT285" s="30"/>
      <c r="OU285" s="30"/>
      <c r="OV285" s="30"/>
      <c r="OW285" s="30"/>
      <c r="OX285" s="30"/>
      <c r="OY285" s="30"/>
      <c r="OZ285" s="30"/>
      <c r="PA285" s="30"/>
      <c r="PB285" s="30"/>
      <c r="PC285" s="30"/>
      <c r="PD285" s="30"/>
      <c r="PE285" s="30"/>
      <c r="PF285" s="30"/>
      <c r="PG285" s="30"/>
      <c r="PH285" s="30"/>
      <c r="PI285" s="30"/>
      <c r="PJ285" s="30"/>
      <c r="PK285" s="30"/>
      <c r="PL285" s="30"/>
      <c r="PM285" s="30"/>
      <c r="PN285" s="30"/>
      <c r="PO285" s="30"/>
      <c r="PP285" s="30"/>
      <c r="PQ285" s="30"/>
      <c r="PR285" s="30"/>
      <c r="PS285" s="30"/>
      <c r="PT285" s="30"/>
      <c r="PU285" s="30"/>
      <c r="PV285" s="30"/>
      <c r="PW285" s="30"/>
      <c r="PX285" s="30"/>
      <c r="PY285" s="30"/>
      <c r="PZ285" s="30"/>
      <c r="QA285" s="30"/>
      <c r="QB285" s="30"/>
      <c r="QC285" s="30"/>
      <c r="QD285" s="30"/>
      <c r="QE285" s="30"/>
      <c r="QF285" s="30"/>
      <c r="QG285" s="30"/>
      <c r="QH285" s="30"/>
      <c r="QI285" s="30"/>
      <c r="QJ285" s="30"/>
      <c r="QK285" s="30"/>
      <c r="QL285" s="30"/>
      <c r="QM285" s="30"/>
      <c r="QN285" s="30"/>
      <c r="QO285" s="30"/>
      <c r="QP285" s="30"/>
      <c r="QQ285" s="30"/>
      <c r="QR285" s="30"/>
      <c r="QS285" s="30"/>
      <c r="QT285" s="30"/>
      <c r="QU285" s="30"/>
      <c r="QV285" s="30"/>
      <c r="QW285" s="30"/>
      <c r="QX285" s="30"/>
      <c r="QY285" s="30"/>
      <c r="QZ285" s="30"/>
      <c r="RA285" s="30"/>
      <c r="RB285" s="30"/>
      <c r="RC285" s="30"/>
      <c r="RD285" s="30"/>
      <c r="RE285" s="30"/>
      <c r="RF285" s="30"/>
      <c r="RG285" s="30"/>
      <c r="RH285" s="30"/>
      <c r="RI285" s="30"/>
      <c r="RJ285" s="30"/>
      <c r="RK285" s="30"/>
      <c r="RL285" s="30"/>
      <c r="RM285" s="30"/>
      <c r="RN285" s="30"/>
      <c r="RO285" s="30"/>
      <c r="RP285" s="30"/>
      <c r="RQ285" s="30"/>
      <c r="RR285" s="30"/>
      <c r="RS285" s="30"/>
      <c r="RT285" s="30"/>
      <c r="RU285" s="30"/>
      <c r="RV285" s="30"/>
      <c r="RW285" s="30"/>
      <c r="RX285" s="30"/>
      <c r="RY285" s="30"/>
      <c r="RZ285" s="30"/>
      <c r="SA285" s="30"/>
      <c r="SB285" s="30"/>
      <c r="SC285" s="30"/>
      <c r="SD285" s="30"/>
      <c r="SE285" s="30"/>
      <c r="SF285" s="30"/>
      <c r="SG285" s="30"/>
      <c r="SH285" s="30"/>
      <c r="SI285" s="30"/>
      <c r="SJ285" s="30"/>
      <c r="SK285" s="30"/>
      <c r="SL285" s="30"/>
      <c r="SM285" s="30"/>
      <c r="SN285" s="30"/>
      <c r="SO285" s="30"/>
      <c r="SP285" s="30"/>
      <c r="SQ285" s="30"/>
      <c r="SR285" s="30"/>
      <c r="SS285" s="30"/>
      <c r="ST285" s="30"/>
      <c r="SU285" s="30"/>
      <c r="SV285" s="30"/>
      <c r="SW285" s="30"/>
      <c r="SX285" s="30"/>
      <c r="SY285" s="30"/>
      <c r="SZ285" s="30"/>
      <c r="TA285" s="30"/>
      <c r="TB285" s="30"/>
      <c r="TC285" s="30"/>
      <c r="TD285" s="30"/>
      <c r="TE285" s="30"/>
      <c r="TF285" s="30"/>
      <c r="TG285" s="30"/>
    </row>
    <row r="286" spans="1:527" s="22" customFormat="1" ht="126" hidden="1" customHeight="1" x14ac:dyDescent="0.25">
      <c r="A286" s="59" t="s">
        <v>369</v>
      </c>
      <c r="B286" s="93">
        <v>7691</v>
      </c>
      <c r="C286" s="37" t="s">
        <v>82</v>
      </c>
      <c r="D286" s="60" t="s">
        <v>314</v>
      </c>
      <c r="E286" s="99">
        <f t="shared" si="135"/>
        <v>0</v>
      </c>
      <c r="F286" s="99"/>
      <c r="G286" s="99"/>
      <c r="H286" s="99"/>
      <c r="I286" s="99"/>
      <c r="J286" s="99">
        <f t="shared" si="137"/>
        <v>0</v>
      </c>
      <c r="K286" s="99"/>
      <c r="L286" s="113"/>
      <c r="M286" s="99"/>
      <c r="N286" s="99"/>
      <c r="O286" s="99"/>
      <c r="P286" s="99">
        <f t="shared" si="136"/>
        <v>0</v>
      </c>
      <c r="Q286" s="23"/>
      <c r="R286" s="32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  <c r="TG286" s="23"/>
    </row>
    <row r="287" spans="1:527" s="22" customFormat="1" ht="33.75" customHeight="1" x14ac:dyDescent="0.25">
      <c r="A287" s="59" t="s">
        <v>528</v>
      </c>
      <c r="B287" s="93">
        <v>9750</v>
      </c>
      <c r="C287" s="59" t="s">
        <v>45</v>
      </c>
      <c r="D287" s="60" t="s">
        <v>529</v>
      </c>
      <c r="E287" s="99">
        <f t="shared" ref="E287" si="140">F287+I287</f>
        <v>0</v>
      </c>
      <c r="F287" s="99"/>
      <c r="G287" s="99"/>
      <c r="H287" s="99"/>
      <c r="I287" s="99"/>
      <c r="J287" s="99">
        <f t="shared" ref="J287" si="141">L287+O287</f>
        <v>86000</v>
      </c>
      <c r="K287" s="99">
        <v>86000</v>
      </c>
      <c r="L287" s="113"/>
      <c r="M287" s="99"/>
      <c r="N287" s="99"/>
      <c r="O287" s="99">
        <v>86000</v>
      </c>
      <c r="P287" s="99">
        <f t="shared" ref="P287" si="142">E287+J287</f>
        <v>86000</v>
      </c>
      <c r="Q287" s="23"/>
      <c r="R287" s="32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</row>
    <row r="288" spans="1:527" s="27" customFormat="1" ht="30.75" customHeight="1" x14ac:dyDescent="0.25">
      <c r="A288" s="110" t="s">
        <v>207</v>
      </c>
      <c r="B288" s="112"/>
      <c r="C288" s="112"/>
      <c r="D288" s="107" t="s">
        <v>40</v>
      </c>
      <c r="E288" s="95">
        <f>E289</f>
        <v>11950107</v>
      </c>
      <c r="F288" s="95">
        <f t="shared" ref="F288:J288" si="143">F289</f>
        <v>11950107</v>
      </c>
      <c r="G288" s="95">
        <f t="shared" si="143"/>
        <v>7405200</v>
      </c>
      <c r="H288" s="95">
        <f t="shared" si="143"/>
        <v>132522</v>
      </c>
      <c r="I288" s="95">
        <f t="shared" si="143"/>
        <v>0</v>
      </c>
      <c r="J288" s="95">
        <f t="shared" si="143"/>
        <v>2596250.2999999998</v>
      </c>
      <c r="K288" s="95">
        <f t="shared" ref="K288" si="144">K289</f>
        <v>0</v>
      </c>
      <c r="L288" s="95">
        <f t="shared" ref="L288" si="145">L289</f>
        <v>2596250.2999999998</v>
      </c>
      <c r="M288" s="95">
        <f t="shared" ref="M288" si="146">M289</f>
        <v>0</v>
      </c>
      <c r="N288" s="95">
        <f t="shared" ref="N288" si="147">N289</f>
        <v>0</v>
      </c>
      <c r="O288" s="95">
        <f t="shared" ref="O288:P288" si="148">O289</f>
        <v>0</v>
      </c>
      <c r="P288" s="95">
        <f t="shared" si="148"/>
        <v>14546357.300000001</v>
      </c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  <c r="IT288" s="32"/>
      <c r="IU288" s="32"/>
      <c r="IV288" s="32"/>
      <c r="IW288" s="32"/>
      <c r="IX288" s="32"/>
      <c r="IY288" s="32"/>
      <c r="IZ288" s="32"/>
      <c r="JA288" s="32"/>
      <c r="JB288" s="32"/>
      <c r="JC288" s="32"/>
      <c r="JD288" s="32"/>
      <c r="JE288" s="32"/>
      <c r="JF288" s="32"/>
      <c r="JG288" s="32"/>
      <c r="JH288" s="32"/>
      <c r="JI288" s="32"/>
      <c r="JJ288" s="32"/>
      <c r="JK288" s="32"/>
      <c r="JL288" s="32"/>
      <c r="JM288" s="32"/>
      <c r="JN288" s="32"/>
      <c r="JO288" s="32"/>
      <c r="JP288" s="32"/>
      <c r="JQ288" s="32"/>
      <c r="JR288" s="32"/>
      <c r="JS288" s="32"/>
      <c r="JT288" s="32"/>
      <c r="JU288" s="32"/>
      <c r="JV288" s="32"/>
      <c r="JW288" s="32"/>
      <c r="JX288" s="32"/>
      <c r="JY288" s="32"/>
      <c r="JZ288" s="32"/>
      <c r="KA288" s="32"/>
      <c r="KB288" s="32"/>
      <c r="KC288" s="32"/>
      <c r="KD288" s="32"/>
      <c r="KE288" s="32"/>
      <c r="KF288" s="32"/>
      <c r="KG288" s="32"/>
      <c r="KH288" s="32"/>
      <c r="KI288" s="32"/>
      <c r="KJ288" s="32"/>
      <c r="KK288" s="32"/>
      <c r="KL288" s="32"/>
      <c r="KM288" s="32"/>
      <c r="KN288" s="32"/>
      <c r="KO288" s="32"/>
      <c r="KP288" s="32"/>
      <c r="KQ288" s="32"/>
      <c r="KR288" s="32"/>
      <c r="KS288" s="32"/>
      <c r="KT288" s="32"/>
      <c r="KU288" s="32"/>
      <c r="KV288" s="32"/>
      <c r="KW288" s="32"/>
      <c r="KX288" s="32"/>
      <c r="KY288" s="32"/>
      <c r="KZ288" s="32"/>
      <c r="LA288" s="32"/>
      <c r="LB288" s="32"/>
      <c r="LC288" s="32"/>
      <c r="LD288" s="32"/>
      <c r="LE288" s="32"/>
      <c r="LF288" s="32"/>
      <c r="LG288" s="32"/>
      <c r="LH288" s="32"/>
      <c r="LI288" s="32"/>
      <c r="LJ288" s="32"/>
      <c r="LK288" s="32"/>
      <c r="LL288" s="32"/>
      <c r="LM288" s="32"/>
      <c r="LN288" s="32"/>
      <c r="LO288" s="32"/>
      <c r="LP288" s="32"/>
      <c r="LQ288" s="32"/>
      <c r="LR288" s="32"/>
      <c r="LS288" s="32"/>
      <c r="LT288" s="32"/>
      <c r="LU288" s="32"/>
      <c r="LV288" s="32"/>
      <c r="LW288" s="32"/>
      <c r="LX288" s="32"/>
      <c r="LY288" s="32"/>
      <c r="LZ288" s="32"/>
      <c r="MA288" s="32"/>
      <c r="MB288" s="32"/>
      <c r="MC288" s="32"/>
      <c r="MD288" s="32"/>
      <c r="ME288" s="32"/>
      <c r="MF288" s="32"/>
      <c r="MG288" s="32"/>
      <c r="MH288" s="32"/>
      <c r="MI288" s="32"/>
      <c r="MJ288" s="32"/>
      <c r="MK288" s="32"/>
      <c r="ML288" s="32"/>
      <c r="MM288" s="32"/>
      <c r="MN288" s="32"/>
      <c r="MO288" s="32"/>
      <c r="MP288" s="32"/>
      <c r="MQ288" s="32"/>
      <c r="MR288" s="32"/>
      <c r="MS288" s="32"/>
      <c r="MT288" s="32"/>
      <c r="MU288" s="32"/>
      <c r="MV288" s="32"/>
      <c r="MW288" s="32"/>
      <c r="MX288" s="32"/>
      <c r="MY288" s="32"/>
      <c r="MZ288" s="32"/>
      <c r="NA288" s="32"/>
      <c r="NB288" s="32"/>
      <c r="NC288" s="32"/>
      <c r="ND288" s="32"/>
      <c r="NE288" s="32"/>
      <c r="NF288" s="32"/>
      <c r="NG288" s="32"/>
      <c r="NH288" s="32"/>
      <c r="NI288" s="32"/>
      <c r="NJ288" s="32"/>
      <c r="NK288" s="32"/>
      <c r="NL288" s="32"/>
      <c r="NM288" s="32"/>
      <c r="NN288" s="32"/>
      <c r="NO288" s="32"/>
      <c r="NP288" s="32"/>
      <c r="NQ288" s="32"/>
      <c r="NR288" s="32"/>
      <c r="NS288" s="32"/>
      <c r="NT288" s="32"/>
      <c r="NU288" s="32"/>
      <c r="NV288" s="32"/>
      <c r="NW288" s="32"/>
      <c r="NX288" s="32"/>
      <c r="NY288" s="32"/>
      <c r="NZ288" s="32"/>
      <c r="OA288" s="32"/>
      <c r="OB288" s="32"/>
      <c r="OC288" s="32"/>
      <c r="OD288" s="32"/>
      <c r="OE288" s="32"/>
      <c r="OF288" s="32"/>
      <c r="OG288" s="32"/>
      <c r="OH288" s="32"/>
      <c r="OI288" s="32"/>
      <c r="OJ288" s="32"/>
      <c r="OK288" s="32"/>
      <c r="OL288" s="32"/>
      <c r="OM288" s="32"/>
      <c r="ON288" s="32"/>
      <c r="OO288" s="32"/>
      <c r="OP288" s="32"/>
      <c r="OQ288" s="32"/>
      <c r="OR288" s="32"/>
      <c r="OS288" s="32"/>
      <c r="OT288" s="32"/>
      <c r="OU288" s="32"/>
      <c r="OV288" s="32"/>
      <c r="OW288" s="32"/>
      <c r="OX288" s="32"/>
      <c r="OY288" s="32"/>
      <c r="OZ288" s="32"/>
      <c r="PA288" s="32"/>
      <c r="PB288" s="32"/>
      <c r="PC288" s="32"/>
      <c r="PD288" s="32"/>
      <c r="PE288" s="32"/>
      <c r="PF288" s="32"/>
      <c r="PG288" s="32"/>
      <c r="PH288" s="32"/>
      <c r="PI288" s="32"/>
      <c r="PJ288" s="32"/>
      <c r="PK288" s="32"/>
      <c r="PL288" s="32"/>
      <c r="PM288" s="32"/>
      <c r="PN288" s="32"/>
      <c r="PO288" s="32"/>
      <c r="PP288" s="32"/>
      <c r="PQ288" s="32"/>
      <c r="PR288" s="32"/>
      <c r="PS288" s="32"/>
      <c r="PT288" s="32"/>
      <c r="PU288" s="32"/>
      <c r="PV288" s="32"/>
      <c r="PW288" s="32"/>
      <c r="PX288" s="32"/>
      <c r="PY288" s="32"/>
      <c r="PZ288" s="32"/>
      <c r="QA288" s="32"/>
      <c r="QB288" s="32"/>
      <c r="QC288" s="32"/>
      <c r="QD288" s="32"/>
      <c r="QE288" s="32"/>
      <c r="QF288" s="32"/>
      <c r="QG288" s="32"/>
      <c r="QH288" s="32"/>
      <c r="QI288" s="32"/>
      <c r="QJ288" s="32"/>
      <c r="QK288" s="32"/>
      <c r="QL288" s="32"/>
      <c r="QM288" s="32"/>
      <c r="QN288" s="32"/>
      <c r="QO288" s="32"/>
      <c r="QP288" s="32"/>
      <c r="QQ288" s="32"/>
      <c r="QR288" s="32"/>
      <c r="QS288" s="32"/>
      <c r="QT288" s="32"/>
      <c r="QU288" s="32"/>
      <c r="QV288" s="32"/>
      <c r="QW288" s="32"/>
      <c r="QX288" s="32"/>
      <c r="QY288" s="32"/>
      <c r="QZ288" s="32"/>
      <c r="RA288" s="32"/>
      <c r="RB288" s="32"/>
      <c r="RC288" s="32"/>
      <c r="RD288" s="32"/>
      <c r="RE288" s="32"/>
      <c r="RF288" s="32"/>
      <c r="RG288" s="32"/>
      <c r="RH288" s="32"/>
      <c r="RI288" s="32"/>
      <c r="RJ288" s="32"/>
      <c r="RK288" s="32"/>
      <c r="RL288" s="32"/>
      <c r="RM288" s="32"/>
      <c r="RN288" s="32"/>
      <c r="RO288" s="32"/>
      <c r="RP288" s="32"/>
      <c r="RQ288" s="32"/>
      <c r="RR288" s="32"/>
      <c r="RS288" s="32"/>
      <c r="RT288" s="32"/>
      <c r="RU288" s="32"/>
      <c r="RV288" s="32"/>
      <c r="RW288" s="32"/>
      <c r="RX288" s="32"/>
      <c r="RY288" s="32"/>
      <c r="RZ288" s="32"/>
      <c r="SA288" s="32"/>
      <c r="SB288" s="32"/>
      <c r="SC288" s="32"/>
      <c r="SD288" s="32"/>
      <c r="SE288" s="32"/>
      <c r="SF288" s="32"/>
      <c r="SG288" s="32"/>
      <c r="SH288" s="32"/>
      <c r="SI288" s="32"/>
      <c r="SJ288" s="32"/>
      <c r="SK288" s="32"/>
      <c r="SL288" s="32"/>
      <c r="SM288" s="32"/>
      <c r="SN288" s="32"/>
      <c r="SO288" s="32"/>
      <c r="SP288" s="32"/>
      <c r="SQ288" s="32"/>
      <c r="SR288" s="32"/>
      <c r="SS288" s="32"/>
      <c r="ST288" s="32"/>
      <c r="SU288" s="32"/>
      <c r="SV288" s="32"/>
      <c r="SW288" s="32"/>
      <c r="SX288" s="32"/>
      <c r="SY288" s="32"/>
      <c r="SZ288" s="32"/>
      <c r="TA288" s="32"/>
      <c r="TB288" s="32"/>
      <c r="TC288" s="32"/>
      <c r="TD288" s="32"/>
      <c r="TE288" s="32"/>
      <c r="TF288" s="32"/>
      <c r="TG288" s="32"/>
    </row>
    <row r="289" spans="1:527" s="34" customFormat="1" ht="35.25" customHeight="1" x14ac:dyDescent="0.25">
      <c r="A289" s="96" t="s">
        <v>208</v>
      </c>
      <c r="B289" s="109"/>
      <c r="C289" s="109"/>
      <c r="D289" s="77" t="s">
        <v>40</v>
      </c>
      <c r="E289" s="98">
        <f>E290+E291+E292+E293+E294</f>
        <v>11950107</v>
      </c>
      <c r="F289" s="98">
        <f>F290+F291+F292+F293+F294</f>
        <v>11950107</v>
      </c>
      <c r="G289" s="98">
        <f t="shared" ref="G289:P289" si="149">G290+G291+G292+G293+G294</f>
        <v>7405200</v>
      </c>
      <c r="H289" s="98">
        <f t="shared" si="149"/>
        <v>132522</v>
      </c>
      <c r="I289" s="98">
        <f t="shared" si="149"/>
        <v>0</v>
      </c>
      <c r="J289" s="98">
        <f t="shared" si="149"/>
        <v>2596250.2999999998</v>
      </c>
      <c r="K289" s="98">
        <f t="shared" si="149"/>
        <v>0</v>
      </c>
      <c r="L289" s="98">
        <f t="shared" si="149"/>
        <v>2596250.2999999998</v>
      </c>
      <c r="M289" s="98">
        <f t="shared" si="149"/>
        <v>0</v>
      </c>
      <c r="N289" s="98">
        <f t="shared" si="149"/>
        <v>0</v>
      </c>
      <c r="O289" s="98">
        <f t="shared" si="149"/>
        <v>0</v>
      </c>
      <c r="P289" s="98">
        <f t="shared" si="149"/>
        <v>14546357.300000001</v>
      </c>
      <c r="Q289" s="33"/>
      <c r="R289" s="32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  <c r="IV289" s="33"/>
      <c r="IW289" s="33"/>
      <c r="IX289" s="33"/>
      <c r="IY289" s="33"/>
      <c r="IZ289" s="33"/>
      <c r="JA289" s="33"/>
      <c r="JB289" s="33"/>
      <c r="JC289" s="33"/>
      <c r="JD289" s="33"/>
      <c r="JE289" s="33"/>
      <c r="JF289" s="33"/>
      <c r="JG289" s="33"/>
      <c r="JH289" s="33"/>
      <c r="JI289" s="33"/>
      <c r="JJ289" s="33"/>
      <c r="JK289" s="33"/>
      <c r="JL289" s="33"/>
      <c r="JM289" s="33"/>
      <c r="JN289" s="33"/>
      <c r="JO289" s="33"/>
      <c r="JP289" s="33"/>
      <c r="JQ289" s="33"/>
      <c r="JR289" s="33"/>
      <c r="JS289" s="33"/>
      <c r="JT289" s="33"/>
      <c r="JU289" s="33"/>
      <c r="JV289" s="33"/>
      <c r="JW289" s="33"/>
      <c r="JX289" s="33"/>
      <c r="JY289" s="33"/>
      <c r="JZ289" s="33"/>
      <c r="KA289" s="33"/>
      <c r="KB289" s="33"/>
      <c r="KC289" s="33"/>
      <c r="KD289" s="33"/>
      <c r="KE289" s="33"/>
      <c r="KF289" s="33"/>
      <c r="KG289" s="33"/>
      <c r="KH289" s="33"/>
      <c r="KI289" s="33"/>
      <c r="KJ289" s="33"/>
      <c r="KK289" s="33"/>
      <c r="KL289" s="33"/>
      <c r="KM289" s="33"/>
      <c r="KN289" s="33"/>
      <c r="KO289" s="33"/>
      <c r="KP289" s="33"/>
      <c r="KQ289" s="33"/>
      <c r="KR289" s="33"/>
      <c r="KS289" s="33"/>
      <c r="KT289" s="33"/>
      <c r="KU289" s="33"/>
      <c r="KV289" s="33"/>
      <c r="KW289" s="33"/>
      <c r="KX289" s="33"/>
      <c r="KY289" s="33"/>
      <c r="KZ289" s="33"/>
      <c r="LA289" s="33"/>
      <c r="LB289" s="33"/>
      <c r="LC289" s="33"/>
      <c r="LD289" s="33"/>
      <c r="LE289" s="33"/>
      <c r="LF289" s="33"/>
      <c r="LG289" s="33"/>
      <c r="LH289" s="33"/>
      <c r="LI289" s="33"/>
      <c r="LJ289" s="33"/>
      <c r="LK289" s="33"/>
      <c r="LL289" s="33"/>
      <c r="LM289" s="33"/>
      <c r="LN289" s="33"/>
      <c r="LO289" s="33"/>
      <c r="LP289" s="33"/>
      <c r="LQ289" s="33"/>
      <c r="LR289" s="33"/>
      <c r="LS289" s="33"/>
      <c r="LT289" s="33"/>
      <c r="LU289" s="33"/>
      <c r="LV289" s="33"/>
      <c r="LW289" s="33"/>
      <c r="LX289" s="33"/>
      <c r="LY289" s="33"/>
      <c r="LZ289" s="33"/>
      <c r="MA289" s="33"/>
      <c r="MB289" s="33"/>
      <c r="MC289" s="33"/>
      <c r="MD289" s="33"/>
      <c r="ME289" s="33"/>
      <c r="MF289" s="33"/>
      <c r="MG289" s="33"/>
      <c r="MH289" s="33"/>
      <c r="MI289" s="33"/>
      <c r="MJ289" s="33"/>
      <c r="MK289" s="33"/>
      <c r="ML289" s="33"/>
      <c r="MM289" s="33"/>
      <c r="MN289" s="33"/>
      <c r="MO289" s="33"/>
      <c r="MP289" s="33"/>
      <c r="MQ289" s="33"/>
      <c r="MR289" s="33"/>
      <c r="MS289" s="33"/>
      <c r="MT289" s="33"/>
      <c r="MU289" s="33"/>
      <c r="MV289" s="33"/>
      <c r="MW289" s="33"/>
      <c r="MX289" s="33"/>
      <c r="MY289" s="33"/>
      <c r="MZ289" s="33"/>
      <c r="NA289" s="33"/>
      <c r="NB289" s="33"/>
      <c r="NC289" s="33"/>
      <c r="ND289" s="33"/>
      <c r="NE289" s="33"/>
      <c r="NF289" s="33"/>
      <c r="NG289" s="33"/>
      <c r="NH289" s="33"/>
      <c r="NI289" s="33"/>
      <c r="NJ289" s="33"/>
      <c r="NK289" s="33"/>
      <c r="NL289" s="33"/>
      <c r="NM289" s="33"/>
      <c r="NN289" s="33"/>
      <c r="NO289" s="33"/>
      <c r="NP289" s="33"/>
      <c r="NQ289" s="33"/>
      <c r="NR289" s="33"/>
      <c r="NS289" s="33"/>
      <c r="NT289" s="33"/>
      <c r="NU289" s="33"/>
      <c r="NV289" s="33"/>
      <c r="NW289" s="33"/>
      <c r="NX289" s="33"/>
      <c r="NY289" s="33"/>
      <c r="NZ289" s="33"/>
      <c r="OA289" s="33"/>
      <c r="OB289" s="33"/>
      <c r="OC289" s="33"/>
      <c r="OD289" s="33"/>
      <c r="OE289" s="33"/>
      <c r="OF289" s="33"/>
      <c r="OG289" s="33"/>
      <c r="OH289" s="33"/>
      <c r="OI289" s="33"/>
      <c r="OJ289" s="33"/>
      <c r="OK289" s="33"/>
      <c r="OL289" s="33"/>
      <c r="OM289" s="33"/>
      <c r="ON289" s="33"/>
      <c r="OO289" s="33"/>
      <c r="OP289" s="33"/>
      <c r="OQ289" s="33"/>
      <c r="OR289" s="33"/>
      <c r="OS289" s="33"/>
      <c r="OT289" s="33"/>
      <c r="OU289" s="33"/>
      <c r="OV289" s="33"/>
      <c r="OW289" s="33"/>
      <c r="OX289" s="33"/>
      <c r="OY289" s="33"/>
      <c r="OZ289" s="33"/>
      <c r="PA289" s="33"/>
      <c r="PB289" s="33"/>
      <c r="PC289" s="33"/>
      <c r="PD289" s="33"/>
      <c r="PE289" s="33"/>
      <c r="PF289" s="33"/>
      <c r="PG289" s="33"/>
      <c r="PH289" s="33"/>
      <c r="PI289" s="33"/>
      <c r="PJ289" s="33"/>
      <c r="PK289" s="33"/>
      <c r="PL289" s="33"/>
      <c r="PM289" s="33"/>
      <c r="PN289" s="33"/>
      <c r="PO289" s="33"/>
      <c r="PP289" s="33"/>
      <c r="PQ289" s="33"/>
      <c r="PR289" s="33"/>
      <c r="PS289" s="33"/>
      <c r="PT289" s="33"/>
      <c r="PU289" s="33"/>
      <c r="PV289" s="33"/>
      <c r="PW289" s="33"/>
      <c r="PX289" s="33"/>
      <c r="PY289" s="33"/>
      <c r="PZ289" s="33"/>
      <c r="QA289" s="33"/>
      <c r="QB289" s="33"/>
      <c r="QC289" s="33"/>
      <c r="QD289" s="33"/>
      <c r="QE289" s="33"/>
      <c r="QF289" s="33"/>
      <c r="QG289" s="33"/>
      <c r="QH289" s="33"/>
      <c r="QI289" s="33"/>
      <c r="QJ289" s="33"/>
      <c r="QK289" s="33"/>
      <c r="QL289" s="33"/>
      <c r="QM289" s="33"/>
      <c r="QN289" s="33"/>
      <c r="QO289" s="33"/>
      <c r="QP289" s="33"/>
      <c r="QQ289" s="33"/>
      <c r="QR289" s="33"/>
      <c r="QS289" s="33"/>
      <c r="QT289" s="33"/>
      <c r="QU289" s="33"/>
      <c r="QV289" s="33"/>
      <c r="QW289" s="33"/>
      <c r="QX289" s="33"/>
      <c r="QY289" s="33"/>
      <c r="QZ289" s="33"/>
      <c r="RA289" s="33"/>
      <c r="RB289" s="33"/>
      <c r="RC289" s="33"/>
      <c r="RD289" s="33"/>
      <c r="RE289" s="33"/>
      <c r="RF289" s="33"/>
      <c r="RG289" s="33"/>
      <c r="RH289" s="33"/>
      <c r="RI289" s="33"/>
      <c r="RJ289" s="33"/>
      <c r="RK289" s="33"/>
      <c r="RL289" s="33"/>
      <c r="RM289" s="33"/>
      <c r="RN289" s="33"/>
      <c r="RO289" s="33"/>
      <c r="RP289" s="33"/>
      <c r="RQ289" s="33"/>
      <c r="RR289" s="33"/>
      <c r="RS289" s="33"/>
      <c r="RT289" s="33"/>
      <c r="RU289" s="33"/>
      <c r="RV289" s="33"/>
      <c r="RW289" s="33"/>
      <c r="RX289" s="33"/>
      <c r="RY289" s="33"/>
      <c r="RZ289" s="33"/>
      <c r="SA289" s="33"/>
      <c r="SB289" s="33"/>
      <c r="SC289" s="33"/>
      <c r="SD289" s="33"/>
      <c r="SE289" s="33"/>
      <c r="SF289" s="33"/>
      <c r="SG289" s="33"/>
      <c r="SH289" s="33"/>
      <c r="SI289" s="33"/>
      <c r="SJ289" s="33"/>
      <c r="SK289" s="33"/>
      <c r="SL289" s="33"/>
      <c r="SM289" s="33"/>
      <c r="SN289" s="33"/>
      <c r="SO289" s="33"/>
      <c r="SP289" s="33"/>
      <c r="SQ289" s="33"/>
      <c r="SR289" s="33"/>
      <c r="SS289" s="33"/>
      <c r="ST289" s="33"/>
      <c r="SU289" s="33"/>
      <c r="SV289" s="33"/>
      <c r="SW289" s="33"/>
      <c r="SX289" s="33"/>
      <c r="SY289" s="33"/>
      <c r="SZ289" s="33"/>
      <c r="TA289" s="33"/>
      <c r="TB289" s="33"/>
      <c r="TC289" s="33"/>
      <c r="TD289" s="33"/>
      <c r="TE289" s="33"/>
      <c r="TF289" s="33"/>
      <c r="TG289" s="33"/>
    </row>
    <row r="290" spans="1:527" s="22" customFormat="1" ht="47.25" x14ac:dyDescent="0.25">
      <c r="A290" s="59" t="s">
        <v>209</v>
      </c>
      <c r="B290" s="93" t="str">
        <f>'дод 8'!A19</f>
        <v>0160</v>
      </c>
      <c r="C290" s="93" t="str">
        <f>'дод 8'!B19</f>
        <v>0111</v>
      </c>
      <c r="D290" s="36" t="s">
        <v>494</v>
      </c>
      <c r="E290" s="99">
        <f>F290+I290</f>
        <v>9514841</v>
      </c>
      <c r="F290" s="99">
        <f>9390500+40922+48490+29329+5600</f>
        <v>9514841</v>
      </c>
      <c r="G290" s="99">
        <v>7405200</v>
      </c>
      <c r="H290" s="99">
        <f>86000+40922+5600</f>
        <v>132522</v>
      </c>
      <c r="I290" s="99"/>
      <c r="J290" s="99">
        <f t="shared" si="137"/>
        <v>0</v>
      </c>
      <c r="K290" s="99"/>
      <c r="L290" s="99"/>
      <c r="M290" s="99"/>
      <c r="N290" s="99"/>
      <c r="O290" s="99"/>
      <c r="P290" s="99">
        <f>E290+J290</f>
        <v>9514841</v>
      </c>
      <c r="Q290" s="23"/>
      <c r="R290" s="32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</row>
    <row r="291" spans="1:527" s="22" customFormat="1" ht="31.5" x14ac:dyDescent="0.25">
      <c r="A291" s="59" t="s">
        <v>311</v>
      </c>
      <c r="B291" s="93" t="str">
        <f>'дод 8'!A166</f>
        <v>6090</v>
      </c>
      <c r="C291" s="93" t="str">
        <f>'дод 8'!B166</f>
        <v>0640</v>
      </c>
      <c r="D291" s="60" t="str">
        <f>'дод 8'!C166</f>
        <v>Інша діяльність у сфері житлово-комунального господарства</v>
      </c>
      <c r="E291" s="99">
        <f>F291+I291</f>
        <v>175000</v>
      </c>
      <c r="F291" s="99">
        <v>175000</v>
      </c>
      <c r="G291" s="99"/>
      <c r="H291" s="99"/>
      <c r="I291" s="99"/>
      <c r="J291" s="99">
        <f t="shared" si="137"/>
        <v>0</v>
      </c>
      <c r="K291" s="99"/>
      <c r="L291" s="99"/>
      <c r="M291" s="99"/>
      <c r="N291" s="99"/>
      <c r="O291" s="99"/>
      <c r="P291" s="99">
        <f>E291+J291</f>
        <v>175000</v>
      </c>
      <c r="Q291" s="23"/>
      <c r="R291" s="32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</row>
    <row r="292" spans="1:527" s="22" customFormat="1" ht="31.5" hidden="1" x14ac:dyDescent="0.25">
      <c r="A292" s="59" t="s">
        <v>458</v>
      </c>
      <c r="B292" s="59" t="s">
        <v>459</v>
      </c>
      <c r="C292" s="59" t="s">
        <v>111</v>
      </c>
      <c r="D292" s="60" t="s">
        <v>460</v>
      </c>
      <c r="E292" s="99">
        <f>F292+I292</f>
        <v>0</v>
      </c>
      <c r="F292" s="99"/>
      <c r="G292" s="99"/>
      <c r="H292" s="99"/>
      <c r="I292" s="99"/>
      <c r="J292" s="99">
        <f t="shared" si="137"/>
        <v>0</v>
      </c>
      <c r="K292" s="99">
        <f>900000-900000</f>
        <v>0</v>
      </c>
      <c r="L292" s="99"/>
      <c r="M292" s="99"/>
      <c r="N292" s="99"/>
      <c r="O292" s="99">
        <f>900000-900000</f>
        <v>0</v>
      </c>
      <c r="P292" s="99">
        <f>E292+J292</f>
        <v>0</v>
      </c>
      <c r="Q292" s="23"/>
      <c r="R292" s="32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  <c r="TF292" s="23"/>
      <c r="TG292" s="23"/>
    </row>
    <row r="293" spans="1:527" s="22" customFormat="1" ht="31.5" x14ac:dyDescent="0.25">
      <c r="A293" s="59" t="s">
        <v>555</v>
      </c>
      <c r="B293" s="59" t="s">
        <v>556</v>
      </c>
      <c r="C293" s="59" t="s">
        <v>82</v>
      </c>
      <c r="D293" s="60" t="s">
        <v>431</v>
      </c>
      <c r="E293" s="99">
        <f>F293+I293</f>
        <v>2260266</v>
      </c>
      <c r="F293" s="99">
        <f>1360266+900000</f>
        <v>2260266</v>
      </c>
      <c r="G293" s="99"/>
      <c r="H293" s="99"/>
      <c r="I293" s="99"/>
      <c r="J293" s="99">
        <f t="shared" ref="J293" si="150">L293+O293</f>
        <v>0</v>
      </c>
      <c r="K293" s="99"/>
      <c r="L293" s="99"/>
      <c r="M293" s="99"/>
      <c r="N293" s="99"/>
      <c r="O293" s="99"/>
      <c r="P293" s="99">
        <f>E293+J293</f>
        <v>2260266</v>
      </c>
      <c r="Q293" s="23"/>
      <c r="R293" s="32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  <c r="TF293" s="23"/>
      <c r="TG293" s="23"/>
    </row>
    <row r="294" spans="1:527" s="22" customFormat="1" ht="112.5" customHeight="1" x14ac:dyDescent="0.25">
      <c r="A294" s="103" t="s">
        <v>299</v>
      </c>
      <c r="B294" s="42" t="str">
        <f>'дод 8'!A222</f>
        <v>7691</v>
      </c>
      <c r="C294" s="42" t="str">
        <f>'дод 8'!B222</f>
        <v>0490</v>
      </c>
      <c r="D294" s="36" t="str">
        <f>'дод 8'!C222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94" s="99">
        <f>F294+I294</f>
        <v>0</v>
      </c>
      <c r="F294" s="99"/>
      <c r="G294" s="99"/>
      <c r="H294" s="99"/>
      <c r="I294" s="99"/>
      <c r="J294" s="99">
        <f t="shared" si="137"/>
        <v>2596250.2999999998</v>
      </c>
      <c r="K294" s="99"/>
      <c r="L294" s="99">
        <f>1060391+1535859.3</f>
        <v>2596250.2999999998</v>
      </c>
      <c r="M294" s="99"/>
      <c r="N294" s="99"/>
      <c r="O294" s="99"/>
      <c r="P294" s="99">
        <f>E294+J294</f>
        <v>2596250.2999999998</v>
      </c>
      <c r="Q294" s="23"/>
      <c r="R294" s="32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  <c r="TF294" s="23"/>
      <c r="TG294" s="23"/>
    </row>
    <row r="295" spans="1:527" s="27" customFormat="1" ht="34.5" customHeight="1" x14ac:dyDescent="0.25">
      <c r="A295" s="110" t="s">
        <v>212</v>
      </c>
      <c r="B295" s="112"/>
      <c r="C295" s="112"/>
      <c r="D295" s="107" t="s">
        <v>42</v>
      </c>
      <c r="E295" s="95">
        <f>E296</f>
        <v>4340725</v>
      </c>
      <c r="F295" s="95">
        <f t="shared" ref="F295:J296" si="151">F296</f>
        <v>4340725</v>
      </c>
      <c r="G295" s="95">
        <f t="shared" si="151"/>
        <v>3301600</v>
      </c>
      <c r="H295" s="95">
        <f t="shared" si="151"/>
        <v>65425</v>
      </c>
      <c r="I295" s="95">
        <f t="shared" si="151"/>
        <v>0</v>
      </c>
      <c r="J295" s="95">
        <f t="shared" si="151"/>
        <v>0</v>
      </c>
      <c r="K295" s="95">
        <f t="shared" ref="K295:K296" si="152">K296</f>
        <v>0</v>
      </c>
      <c r="L295" s="95">
        <f t="shared" ref="L295:L296" si="153">L296</f>
        <v>0</v>
      </c>
      <c r="M295" s="95">
        <f t="shared" ref="M295:M296" si="154">M296</f>
        <v>0</v>
      </c>
      <c r="N295" s="95">
        <f t="shared" ref="N295:N296" si="155">N296</f>
        <v>0</v>
      </c>
      <c r="O295" s="95">
        <f t="shared" ref="O295:P296" si="156">O296</f>
        <v>0</v>
      </c>
      <c r="P295" s="95">
        <f t="shared" si="156"/>
        <v>4340725</v>
      </c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  <c r="IT295" s="32"/>
      <c r="IU295" s="32"/>
      <c r="IV295" s="32"/>
      <c r="IW295" s="32"/>
      <c r="IX295" s="32"/>
      <c r="IY295" s="32"/>
      <c r="IZ295" s="32"/>
      <c r="JA295" s="32"/>
      <c r="JB295" s="32"/>
      <c r="JC295" s="32"/>
      <c r="JD295" s="32"/>
      <c r="JE295" s="32"/>
      <c r="JF295" s="32"/>
      <c r="JG295" s="32"/>
      <c r="JH295" s="32"/>
      <c r="JI295" s="32"/>
      <c r="JJ295" s="32"/>
      <c r="JK295" s="32"/>
      <c r="JL295" s="32"/>
      <c r="JM295" s="32"/>
      <c r="JN295" s="32"/>
      <c r="JO295" s="32"/>
      <c r="JP295" s="32"/>
      <c r="JQ295" s="32"/>
      <c r="JR295" s="32"/>
      <c r="JS295" s="32"/>
      <c r="JT295" s="32"/>
      <c r="JU295" s="32"/>
      <c r="JV295" s="32"/>
      <c r="JW295" s="32"/>
      <c r="JX295" s="32"/>
      <c r="JY295" s="32"/>
      <c r="JZ295" s="32"/>
      <c r="KA295" s="32"/>
      <c r="KB295" s="32"/>
      <c r="KC295" s="32"/>
      <c r="KD295" s="32"/>
      <c r="KE295" s="32"/>
      <c r="KF295" s="32"/>
      <c r="KG295" s="32"/>
      <c r="KH295" s="32"/>
      <c r="KI295" s="32"/>
      <c r="KJ295" s="32"/>
      <c r="KK295" s="32"/>
      <c r="KL295" s="32"/>
      <c r="KM295" s="32"/>
      <c r="KN295" s="32"/>
      <c r="KO295" s="32"/>
      <c r="KP295" s="32"/>
      <c r="KQ295" s="32"/>
      <c r="KR295" s="32"/>
      <c r="KS295" s="32"/>
      <c r="KT295" s="32"/>
      <c r="KU295" s="32"/>
      <c r="KV295" s="32"/>
      <c r="KW295" s="32"/>
      <c r="KX295" s="32"/>
      <c r="KY295" s="32"/>
      <c r="KZ295" s="32"/>
      <c r="LA295" s="32"/>
      <c r="LB295" s="32"/>
      <c r="LC295" s="32"/>
      <c r="LD295" s="32"/>
      <c r="LE295" s="32"/>
      <c r="LF295" s="32"/>
      <c r="LG295" s="32"/>
      <c r="LH295" s="32"/>
      <c r="LI295" s="32"/>
      <c r="LJ295" s="32"/>
      <c r="LK295" s="32"/>
      <c r="LL295" s="32"/>
      <c r="LM295" s="32"/>
      <c r="LN295" s="32"/>
      <c r="LO295" s="32"/>
      <c r="LP295" s="32"/>
      <c r="LQ295" s="32"/>
      <c r="LR295" s="32"/>
      <c r="LS295" s="32"/>
      <c r="LT295" s="32"/>
      <c r="LU295" s="32"/>
      <c r="LV295" s="32"/>
      <c r="LW295" s="32"/>
      <c r="LX295" s="32"/>
      <c r="LY295" s="32"/>
      <c r="LZ295" s="32"/>
      <c r="MA295" s="32"/>
      <c r="MB295" s="32"/>
      <c r="MC295" s="32"/>
      <c r="MD295" s="32"/>
      <c r="ME295" s="32"/>
      <c r="MF295" s="32"/>
      <c r="MG295" s="32"/>
      <c r="MH295" s="32"/>
      <c r="MI295" s="32"/>
      <c r="MJ295" s="32"/>
      <c r="MK295" s="32"/>
      <c r="ML295" s="32"/>
      <c r="MM295" s="32"/>
      <c r="MN295" s="32"/>
      <c r="MO295" s="32"/>
      <c r="MP295" s="32"/>
      <c r="MQ295" s="32"/>
      <c r="MR295" s="32"/>
      <c r="MS295" s="32"/>
      <c r="MT295" s="32"/>
      <c r="MU295" s="32"/>
      <c r="MV295" s="32"/>
      <c r="MW295" s="32"/>
      <c r="MX295" s="32"/>
      <c r="MY295" s="32"/>
      <c r="MZ295" s="32"/>
      <c r="NA295" s="32"/>
      <c r="NB295" s="32"/>
      <c r="NC295" s="32"/>
      <c r="ND295" s="32"/>
      <c r="NE295" s="32"/>
      <c r="NF295" s="32"/>
      <c r="NG295" s="32"/>
      <c r="NH295" s="32"/>
      <c r="NI295" s="32"/>
      <c r="NJ295" s="32"/>
      <c r="NK295" s="32"/>
      <c r="NL295" s="32"/>
      <c r="NM295" s="32"/>
      <c r="NN295" s="32"/>
      <c r="NO295" s="32"/>
      <c r="NP295" s="32"/>
      <c r="NQ295" s="32"/>
      <c r="NR295" s="32"/>
      <c r="NS295" s="32"/>
      <c r="NT295" s="32"/>
      <c r="NU295" s="32"/>
      <c r="NV295" s="32"/>
      <c r="NW295" s="32"/>
      <c r="NX295" s="32"/>
      <c r="NY295" s="32"/>
      <c r="NZ295" s="32"/>
      <c r="OA295" s="32"/>
      <c r="OB295" s="32"/>
      <c r="OC295" s="32"/>
      <c r="OD295" s="32"/>
      <c r="OE295" s="32"/>
      <c r="OF295" s="32"/>
      <c r="OG295" s="32"/>
      <c r="OH295" s="32"/>
      <c r="OI295" s="32"/>
      <c r="OJ295" s="32"/>
      <c r="OK295" s="32"/>
      <c r="OL295" s="32"/>
      <c r="OM295" s="32"/>
      <c r="ON295" s="32"/>
      <c r="OO295" s="32"/>
      <c r="OP295" s="32"/>
      <c r="OQ295" s="32"/>
      <c r="OR295" s="32"/>
      <c r="OS295" s="32"/>
      <c r="OT295" s="32"/>
      <c r="OU295" s="32"/>
      <c r="OV295" s="32"/>
      <c r="OW295" s="32"/>
      <c r="OX295" s="32"/>
      <c r="OY295" s="32"/>
      <c r="OZ295" s="32"/>
      <c r="PA295" s="32"/>
      <c r="PB295" s="32"/>
      <c r="PC295" s="32"/>
      <c r="PD295" s="32"/>
      <c r="PE295" s="32"/>
      <c r="PF295" s="32"/>
      <c r="PG295" s="32"/>
      <c r="PH295" s="32"/>
      <c r="PI295" s="32"/>
      <c r="PJ295" s="32"/>
      <c r="PK295" s="32"/>
      <c r="PL295" s="32"/>
      <c r="PM295" s="32"/>
      <c r="PN295" s="32"/>
      <c r="PO295" s="32"/>
      <c r="PP295" s="32"/>
      <c r="PQ295" s="32"/>
      <c r="PR295" s="32"/>
      <c r="PS295" s="32"/>
      <c r="PT295" s="32"/>
      <c r="PU295" s="32"/>
      <c r="PV295" s="32"/>
      <c r="PW295" s="32"/>
      <c r="PX295" s="32"/>
      <c r="PY295" s="32"/>
      <c r="PZ295" s="32"/>
      <c r="QA295" s="32"/>
      <c r="QB295" s="32"/>
      <c r="QC295" s="32"/>
      <c r="QD295" s="32"/>
      <c r="QE295" s="32"/>
      <c r="QF295" s="32"/>
      <c r="QG295" s="32"/>
      <c r="QH295" s="32"/>
      <c r="QI295" s="32"/>
      <c r="QJ295" s="32"/>
      <c r="QK295" s="32"/>
      <c r="QL295" s="32"/>
      <c r="QM295" s="32"/>
      <c r="QN295" s="32"/>
      <c r="QO295" s="32"/>
      <c r="QP295" s="32"/>
      <c r="QQ295" s="32"/>
      <c r="QR295" s="32"/>
      <c r="QS295" s="32"/>
      <c r="QT295" s="32"/>
      <c r="QU295" s="32"/>
      <c r="QV295" s="32"/>
      <c r="QW295" s="32"/>
      <c r="QX295" s="32"/>
      <c r="QY295" s="32"/>
      <c r="QZ295" s="32"/>
      <c r="RA295" s="32"/>
      <c r="RB295" s="32"/>
      <c r="RC295" s="32"/>
      <c r="RD295" s="32"/>
      <c r="RE295" s="32"/>
      <c r="RF295" s="32"/>
      <c r="RG295" s="32"/>
      <c r="RH295" s="32"/>
      <c r="RI295" s="32"/>
      <c r="RJ295" s="32"/>
      <c r="RK295" s="32"/>
      <c r="RL295" s="32"/>
      <c r="RM295" s="32"/>
      <c r="RN295" s="32"/>
      <c r="RO295" s="32"/>
      <c r="RP295" s="32"/>
      <c r="RQ295" s="32"/>
      <c r="RR295" s="32"/>
      <c r="RS295" s="32"/>
      <c r="RT295" s="32"/>
      <c r="RU295" s="32"/>
      <c r="RV295" s="32"/>
      <c r="RW295" s="32"/>
      <c r="RX295" s="32"/>
      <c r="RY295" s="32"/>
      <c r="RZ295" s="32"/>
      <c r="SA295" s="32"/>
      <c r="SB295" s="32"/>
      <c r="SC295" s="32"/>
      <c r="SD295" s="32"/>
      <c r="SE295" s="32"/>
      <c r="SF295" s="32"/>
      <c r="SG295" s="32"/>
      <c r="SH295" s="32"/>
      <c r="SI295" s="32"/>
      <c r="SJ295" s="32"/>
      <c r="SK295" s="32"/>
      <c r="SL295" s="32"/>
      <c r="SM295" s="32"/>
      <c r="SN295" s="32"/>
      <c r="SO295" s="32"/>
      <c r="SP295" s="32"/>
      <c r="SQ295" s="32"/>
      <c r="SR295" s="32"/>
      <c r="SS295" s="32"/>
      <c r="ST295" s="32"/>
      <c r="SU295" s="32"/>
      <c r="SV295" s="32"/>
      <c r="SW295" s="32"/>
      <c r="SX295" s="32"/>
      <c r="SY295" s="32"/>
      <c r="SZ295" s="32"/>
      <c r="TA295" s="32"/>
      <c r="TB295" s="32"/>
      <c r="TC295" s="32"/>
      <c r="TD295" s="32"/>
      <c r="TE295" s="32"/>
      <c r="TF295" s="32"/>
      <c r="TG295" s="32"/>
    </row>
    <row r="296" spans="1:527" s="34" customFormat="1" ht="35.25" customHeight="1" x14ac:dyDescent="0.25">
      <c r="A296" s="96" t="s">
        <v>210</v>
      </c>
      <c r="B296" s="109"/>
      <c r="C296" s="109"/>
      <c r="D296" s="77" t="s">
        <v>42</v>
      </c>
      <c r="E296" s="98">
        <f>E297</f>
        <v>4340725</v>
      </c>
      <c r="F296" s="98">
        <f t="shared" si="151"/>
        <v>4340725</v>
      </c>
      <c r="G296" s="98">
        <f t="shared" si="151"/>
        <v>3301600</v>
      </c>
      <c r="H296" s="98">
        <f t="shared" si="151"/>
        <v>65425</v>
      </c>
      <c r="I296" s="98">
        <f t="shared" si="151"/>
        <v>0</v>
      </c>
      <c r="J296" s="98">
        <f t="shared" si="151"/>
        <v>0</v>
      </c>
      <c r="K296" s="98">
        <f t="shared" si="152"/>
        <v>0</v>
      </c>
      <c r="L296" s="98">
        <f t="shared" si="153"/>
        <v>0</v>
      </c>
      <c r="M296" s="98">
        <f t="shared" si="154"/>
        <v>0</v>
      </c>
      <c r="N296" s="98">
        <f t="shared" si="155"/>
        <v>0</v>
      </c>
      <c r="O296" s="98">
        <f t="shared" si="156"/>
        <v>0</v>
      </c>
      <c r="P296" s="98">
        <f t="shared" si="156"/>
        <v>4340725</v>
      </c>
      <c r="Q296" s="33"/>
      <c r="R296" s="32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  <c r="HP296" s="33"/>
      <c r="HQ296" s="33"/>
      <c r="HR296" s="33"/>
      <c r="HS296" s="33"/>
      <c r="HT296" s="33"/>
      <c r="HU296" s="33"/>
      <c r="HV296" s="33"/>
      <c r="HW296" s="33"/>
      <c r="HX296" s="33"/>
      <c r="HY296" s="33"/>
      <c r="HZ296" s="33"/>
      <c r="IA296" s="33"/>
      <c r="IB296" s="33"/>
      <c r="IC296" s="33"/>
      <c r="ID296" s="33"/>
      <c r="IE296" s="33"/>
      <c r="IF296" s="33"/>
      <c r="IG296" s="33"/>
      <c r="IH296" s="33"/>
      <c r="II296" s="33"/>
      <c r="IJ296" s="33"/>
      <c r="IK296" s="33"/>
      <c r="IL296" s="33"/>
      <c r="IM296" s="33"/>
      <c r="IN296" s="33"/>
      <c r="IO296" s="33"/>
      <c r="IP296" s="33"/>
      <c r="IQ296" s="33"/>
      <c r="IR296" s="33"/>
      <c r="IS296" s="33"/>
      <c r="IT296" s="33"/>
      <c r="IU296" s="33"/>
      <c r="IV296" s="33"/>
      <c r="IW296" s="33"/>
      <c r="IX296" s="33"/>
      <c r="IY296" s="33"/>
      <c r="IZ296" s="33"/>
      <c r="JA296" s="33"/>
      <c r="JB296" s="33"/>
      <c r="JC296" s="33"/>
      <c r="JD296" s="33"/>
      <c r="JE296" s="33"/>
      <c r="JF296" s="33"/>
      <c r="JG296" s="33"/>
      <c r="JH296" s="33"/>
      <c r="JI296" s="33"/>
      <c r="JJ296" s="33"/>
      <c r="JK296" s="33"/>
      <c r="JL296" s="33"/>
      <c r="JM296" s="33"/>
      <c r="JN296" s="33"/>
      <c r="JO296" s="33"/>
      <c r="JP296" s="33"/>
      <c r="JQ296" s="33"/>
      <c r="JR296" s="33"/>
      <c r="JS296" s="33"/>
      <c r="JT296" s="33"/>
      <c r="JU296" s="33"/>
      <c r="JV296" s="33"/>
      <c r="JW296" s="33"/>
      <c r="JX296" s="33"/>
      <c r="JY296" s="33"/>
      <c r="JZ296" s="33"/>
      <c r="KA296" s="33"/>
      <c r="KB296" s="33"/>
      <c r="KC296" s="33"/>
      <c r="KD296" s="33"/>
      <c r="KE296" s="33"/>
      <c r="KF296" s="33"/>
      <c r="KG296" s="33"/>
      <c r="KH296" s="33"/>
      <c r="KI296" s="33"/>
      <c r="KJ296" s="33"/>
      <c r="KK296" s="33"/>
      <c r="KL296" s="33"/>
      <c r="KM296" s="33"/>
      <c r="KN296" s="33"/>
      <c r="KO296" s="33"/>
      <c r="KP296" s="33"/>
      <c r="KQ296" s="33"/>
      <c r="KR296" s="33"/>
      <c r="KS296" s="33"/>
      <c r="KT296" s="33"/>
      <c r="KU296" s="33"/>
      <c r="KV296" s="33"/>
      <c r="KW296" s="33"/>
      <c r="KX296" s="33"/>
      <c r="KY296" s="33"/>
      <c r="KZ296" s="33"/>
      <c r="LA296" s="33"/>
      <c r="LB296" s="33"/>
      <c r="LC296" s="33"/>
      <c r="LD296" s="33"/>
      <c r="LE296" s="33"/>
      <c r="LF296" s="33"/>
      <c r="LG296" s="33"/>
      <c r="LH296" s="33"/>
      <c r="LI296" s="33"/>
      <c r="LJ296" s="33"/>
      <c r="LK296" s="33"/>
      <c r="LL296" s="33"/>
      <c r="LM296" s="33"/>
      <c r="LN296" s="33"/>
      <c r="LO296" s="33"/>
      <c r="LP296" s="33"/>
      <c r="LQ296" s="33"/>
      <c r="LR296" s="33"/>
      <c r="LS296" s="33"/>
      <c r="LT296" s="33"/>
      <c r="LU296" s="33"/>
      <c r="LV296" s="33"/>
      <c r="LW296" s="33"/>
      <c r="LX296" s="33"/>
      <c r="LY296" s="33"/>
      <c r="LZ296" s="33"/>
      <c r="MA296" s="33"/>
      <c r="MB296" s="33"/>
      <c r="MC296" s="33"/>
      <c r="MD296" s="33"/>
      <c r="ME296" s="33"/>
      <c r="MF296" s="33"/>
      <c r="MG296" s="33"/>
      <c r="MH296" s="33"/>
      <c r="MI296" s="33"/>
      <c r="MJ296" s="33"/>
      <c r="MK296" s="33"/>
      <c r="ML296" s="33"/>
      <c r="MM296" s="33"/>
      <c r="MN296" s="33"/>
      <c r="MO296" s="33"/>
      <c r="MP296" s="33"/>
      <c r="MQ296" s="33"/>
      <c r="MR296" s="33"/>
      <c r="MS296" s="33"/>
      <c r="MT296" s="33"/>
      <c r="MU296" s="33"/>
      <c r="MV296" s="33"/>
      <c r="MW296" s="33"/>
      <c r="MX296" s="33"/>
      <c r="MY296" s="33"/>
      <c r="MZ296" s="33"/>
      <c r="NA296" s="33"/>
      <c r="NB296" s="33"/>
      <c r="NC296" s="33"/>
      <c r="ND296" s="33"/>
      <c r="NE296" s="33"/>
      <c r="NF296" s="33"/>
      <c r="NG296" s="33"/>
      <c r="NH296" s="33"/>
      <c r="NI296" s="33"/>
      <c r="NJ296" s="33"/>
      <c r="NK296" s="33"/>
      <c r="NL296" s="33"/>
      <c r="NM296" s="33"/>
      <c r="NN296" s="33"/>
      <c r="NO296" s="33"/>
      <c r="NP296" s="33"/>
      <c r="NQ296" s="33"/>
      <c r="NR296" s="33"/>
      <c r="NS296" s="33"/>
      <c r="NT296" s="33"/>
      <c r="NU296" s="33"/>
      <c r="NV296" s="33"/>
      <c r="NW296" s="33"/>
      <c r="NX296" s="33"/>
      <c r="NY296" s="33"/>
      <c r="NZ296" s="33"/>
      <c r="OA296" s="33"/>
      <c r="OB296" s="33"/>
      <c r="OC296" s="33"/>
      <c r="OD296" s="33"/>
      <c r="OE296" s="33"/>
      <c r="OF296" s="33"/>
      <c r="OG296" s="33"/>
      <c r="OH296" s="33"/>
      <c r="OI296" s="33"/>
      <c r="OJ296" s="33"/>
      <c r="OK296" s="33"/>
      <c r="OL296" s="33"/>
      <c r="OM296" s="33"/>
      <c r="ON296" s="33"/>
      <c r="OO296" s="33"/>
      <c r="OP296" s="33"/>
      <c r="OQ296" s="33"/>
      <c r="OR296" s="33"/>
      <c r="OS296" s="33"/>
      <c r="OT296" s="33"/>
      <c r="OU296" s="33"/>
      <c r="OV296" s="33"/>
      <c r="OW296" s="33"/>
      <c r="OX296" s="33"/>
      <c r="OY296" s="33"/>
      <c r="OZ296" s="33"/>
      <c r="PA296" s="33"/>
      <c r="PB296" s="33"/>
      <c r="PC296" s="33"/>
      <c r="PD296" s="33"/>
      <c r="PE296" s="33"/>
      <c r="PF296" s="33"/>
      <c r="PG296" s="33"/>
      <c r="PH296" s="33"/>
      <c r="PI296" s="33"/>
      <c r="PJ296" s="33"/>
      <c r="PK296" s="33"/>
      <c r="PL296" s="33"/>
      <c r="PM296" s="33"/>
      <c r="PN296" s="33"/>
      <c r="PO296" s="33"/>
      <c r="PP296" s="33"/>
      <c r="PQ296" s="33"/>
      <c r="PR296" s="33"/>
      <c r="PS296" s="33"/>
      <c r="PT296" s="33"/>
      <c r="PU296" s="33"/>
      <c r="PV296" s="33"/>
      <c r="PW296" s="33"/>
      <c r="PX296" s="33"/>
      <c r="PY296" s="33"/>
      <c r="PZ296" s="33"/>
      <c r="QA296" s="33"/>
      <c r="QB296" s="33"/>
      <c r="QC296" s="33"/>
      <c r="QD296" s="33"/>
      <c r="QE296" s="33"/>
      <c r="QF296" s="33"/>
      <c r="QG296" s="33"/>
      <c r="QH296" s="33"/>
      <c r="QI296" s="33"/>
      <c r="QJ296" s="33"/>
      <c r="QK296" s="33"/>
      <c r="QL296" s="33"/>
      <c r="QM296" s="33"/>
      <c r="QN296" s="33"/>
      <c r="QO296" s="33"/>
      <c r="QP296" s="33"/>
      <c r="QQ296" s="33"/>
      <c r="QR296" s="33"/>
      <c r="QS296" s="33"/>
      <c r="QT296" s="33"/>
      <c r="QU296" s="33"/>
      <c r="QV296" s="33"/>
      <c r="QW296" s="33"/>
      <c r="QX296" s="33"/>
      <c r="QY296" s="33"/>
      <c r="QZ296" s="33"/>
      <c r="RA296" s="33"/>
      <c r="RB296" s="33"/>
      <c r="RC296" s="33"/>
      <c r="RD296" s="33"/>
      <c r="RE296" s="33"/>
      <c r="RF296" s="33"/>
      <c r="RG296" s="33"/>
      <c r="RH296" s="33"/>
      <c r="RI296" s="33"/>
      <c r="RJ296" s="33"/>
      <c r="RK296" s="33"/>
      <c r="RL296" s="33"/>
      <c r="RM296" s="33"/>
      <c r="RN296" s="33"/>
      <c r="RO296" s="33"/>
      <c r="RP296" s="33"/>
      <c r="RQ296" s="33"/>
      <c r="RR296" s="33"/>
      <c r="RS296" s="33"/>
      <c r="RT296" s="33"/>
      <c r="RU296" s="33"/>
      <c r="RV296" s="33"/>
      <c r="RW296" s="33"/>
      <c r="RX296" s="33"/>
      <c r="RY296" s="33"/>
      <c r="RZ296" s="33"/>
      <c r="SA296" s="33"/>
      <c r="SB296" s="33"/>
      <c r="SC296" s="33"/>
      <c r="SD296" s="33"/>
      <c r="SE296" s="33"/>
      <c r="SF296" s="33"/>
      <c r="SG296" s="33"/>
      <c r="SH296" s="33"/>
      <c r="SI296" s="33"/>
      <c r="SJ296" s="33"/>
      <c r="SK296" s="33"/>
      <c r="SL296" s="33"/>
      <c r="SM296" s="33"/>
      <c r="SN296" s="33"/>
      <c r="SO296" s="33"/>
      <c r="SP296" s="33"/>
      <c r="SQ296" s="33"/>
      <c r="SR296" s="33"/>
      <c r="SS296" s="33"/>
      <c r="ST296" s="33"/>
      <c r="SU296" s="33"/>
      <c r="SV296" s="33"/>
      <c r="SW296" s="33"/>
      <c r="SX296" s="33"/>
      <c r="SY296" s="33"/>
      <c r="SZ296" s="33"/>
      <c r="TA296" s="33"/>
      <c r="TB296" s="33"/>
      <c r="TC296" s="33"/>
      <c r="TD296" s="33"/>
      <c r="TE296" s="33"/>
      <c r="TF296" s="33"/>
      <c r="TG296" s="33"/>
    </row>
    <row r="297" spans="1:527" s="22" customFormat="1" ht="49.5" customHeight="1" x14ac:dyDescent="0.25">
      <c r="A297" s="59" t="s">
        <v>211</v>
      </c>
      <c r="B297" s="93" t="str">
        <f>'дод 8'!A19</f>
        <v>0160</v>
      </c>
      <c r="C297" s="93" t="str">
        <f>'дод 8'!B19</f>
        <v>0111</v>
      </c>
      <c r="D297" s="36" t="s">
        <v>494</v>
      </c>
      <c r="E297" s="99">
        <f>F297+I297</f>
        <v>4340725</v>
      </c>
      <c r="F297" s="99">
        <f>4301300+20000+19425</f>
        <v>4340725</v>
      </c>
      <c r="G297" s="99">
        <v>3301600</v>
      </c>
      <c r="H297" s="99">
        <f>46000+19425</f>
        <v>65425</v>
      </c>
      <c r="I297" s="99"/>
      <c r="J297" s="99">
        <f>L297+O297</f>
        <v>0</v>
      </c>
      <c r="K297" s="99"/>
      <c r="L297" s="99"/>
      <c r="M297" s="99"/>
      <c r="N297" s="99"/>
      <c r="O297" s="99"/>
      <c r="P297" s="99">
        <f>E297+J297</f>
        <v>4340725</v>
      </c>
      <c r="Q297" s="23"/>
      <c r="R297" s="32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  <c r="IW297" s="23"/>
      <c r="IX297" s="23"/>
      <c r="IY297" s="23"/>
      <c r="IZ297" s="23"/>
      <c r="JA297" s="23"/>
      <c r="JB297" s="23"/>
      <c r="JC297" s="23"/>
      <c r="JD297" s="23"/>
      <c r="JE297" s="23"/>
      <c r="JF297" s="23"/>
      <c r="JG297" s="23"/>
      <c r="JH297" s="23"/>
      <c r="JI297" s="23"/>
      <c r="JJ297" s="23"/>
      <c r="JK297" s="23"/>
      <c r="JL297" s="23"/>
      <c r="JM297" s="23"/>
      <c r="JN297" s="23"/>
      <c r="JO297" s="23"/>
      <c r="JP297" s="23"/>
      <c r="JQ297" s="23"/>
      <c r="JR297" s="23"/>
      <c r="JS297" s="23"/>
      <c r="JT297" s="23"/>
      <c r="JU297" s="23"/>
      <c r="JV297" s="23"/>
      <c r="JW297" s="23"/>
      <c r="JX297" s="23"/>
      <c r="JY297" s="23"/>
      <c r="JZ297" s="23"/>
      <c r="KA297" s="23"/>
      <c r="KB297" s="23"/>
      <c r="KC297" s="23"/>
      <c r="KD297" s="23"/>
      <c r="KE297" s="23"/>
      <c r="KF297" s="23"/>
      <c r="KG297" s="23"/>
      <c r="KH297" s="23"/>
      <c r="KI297" s="23"/>
      <c r="KJ297" s="23"/>
      <c r="KK297" s="23"/>
      <c r="KL297" s="23"/>
      <c r="KM297" s="23"/>
      <c r="KN297" s="23"/>
      <c r="KO297" s="23"/>
      <c r="KP297" s="23"/>
      <c r="KQ297" s="23"/>
      <c r="KR297" s="23"/>
      <c r="KS297" s="23"/>
      <c r="KT297" s="23"/>
      <c r="KU297" s="23"/>
      <c r="KV297" s="23"/>
      <c r="KW297" s="23"/>
      <c r="KX297" s="23"/>
      <c r="KY297" s="23"/>
      <c r="KZ297" s="23"/>
      <c r="LA297" s="23"/>
      <c r="LB297" s="23"/>
      <c r="LC297" s="23"/>
      <c r="LD297" s="23"/>
      <c r="LE297" s="23"/>
      <c r="LF297" s="23"/>
      <c r="LG297" s="23"/>
      <c r="LH297" s="23"/>
      <c r="LI297" s="23"/>
      <c r="LJ297" s="23"/>
      <c r="LK297" s="23"/>
      <c r="LL297" s="23"/>
      <c r="LM297" s="23"/>
      <c r="LN297" s="23"/>
      <c r="LO297" s="23"/>
      <c r="LP297" s="23"/>
      <c r="LQ297" s="23"/>
      <c r="LR297" s="23"/>
      <c r="LS297" s="23"/>
      <c r="LT297" s="23"/>
      <c r="LU297" s="23"/>
      <c r="LV297" s="23"/>
      <c r="LW297" s="23"/>
      <c r="LX297" s="23"/>
      <c r="LY297" s="23"/>
      <c r="LZ297" s="23"/>
      <c r="MA297" s="23"/>
      <c r="MB297" s="23"/>
      <c r="MC297" s="23"/>
      <c r="MD297" s="23"/>
      <c r="ME297" s="23"/>
      <c r="MF297" s="23"/>
      <c r="MG297" s="23"/>
      <c r="MH297" s="23"/>
      <c r="MI297" s="23"/>
      <c r="MJ297" s="23"/>
      <c r="MK297" s="23"/>
      <c r="ML297" s="23"/>
      <c r="MM297" s="23"/>
      <c r="MN297" s="23"/>
      <c r="MO297" s="23"/>
      <c r="MP297" s="23"/>
      <c r="MQ297" s="23"/>
      <c r="MR297" s="23"/>
      <c r="MS297" s="23"/>
      <c r="MT297" s="23"/>
      <c r="MU297" s="23"/>
      <c r="MV297" s="23"/>
      <c r="MW297" s="23"/>
      <c r="MX297" s="23"/>
      <c r="MY297" s="23"/>
      <c r="MZ297" s="23"/>
      <c r="NA297" s="23"/>
      <c r="NB297" s="23"/>
      <c r="NC297" s="23"/>
      <c r="ND297" s="23"/>
      <c r="NE297" s="23"/>
      <c r="NF297" s="23"/>
      <c r="NG297" s="23"/>
      <c r="NH297" s="23"/>
      <c r="NI297" s="23"/>
      <c r="NJ297" s="23"/>
      <c r="NK297" s="23"/>
      <c r="NL297" s="23"/>
      <c r="NM297" s="23"/>
      <c r="NN297" s="23"/>
      <c r="NO297" s="23"/>
      <c r="NP297" s="23"/>
      <c r="NQ297" s="23"/>
      <c r="NR297" s="23"/>
      <c r="NS297" s="23"/>
      <c r="NT297" s="23"/>
      <c r="NU297" s="23"/>
      <c r="NV297" s="23"/>
      <c r="NW297" s="23"/>
      <c r="NX297" s="23"/>
      <c r="NY297" s="23"/>
      <c r="NZ297" s="23"/>
      <c r="OA297" s="23"/>
      <c r="OB297" s="23"/>
      <c r="OC297" s="23"/>
      <c r="OD297" s="23"/>
      <c r="OE297" s="23"/>
      <c r="OF297" s="23"/>
      <c r="OG297" s="23"/>
      <c r="OH297" s="23"/>
      <c r="OI297" s="23"/>
      <c r="OJ297" s="23"/>
      <c r="OK297" s="23"/>
      <c r="OL297" s="23"/>
      <c r="OM297" s="23"/>
      <c r="ON297" s="23"/>
      <c r="OO297" s="23"/>
      <c r="OP297" s="23"/>
      <c r="OQ297" s="23"/>
      <c r="OR297" s="23"/>
      <c r="OS297" s="23"/>
      <c r="OT297" s="23"/>
      <c r="OU297" s="23"/>
      <c r="OV297" s="23"/>
      <c r="OW297" s="23"/>
      <c r="OX297" s="23"/>
      <c r="OY297" s="23"/>
      <c r="OZ297" s="23"/>
      <c r="PA297" s="23"/>
      <c r="PB297" s="23"/>
      <c r="PC297" s="23"/>
      <c r="PD297" s="23"/>
      <c r="PE297" s="23"/>
      <c r="PF297" s="23"/>
      <c r="PG297" s="23"/>
      <c r="PH297" s="23"/>
      <c r="PI297" s="23"/>
      <c r="PJ297" s="23"/>
      <c r="PK297" s="23"/>
      <c r="PL297" s="23"/>
      <c r="PM297" s="23"/>
      <c r="PN297" s="23"/>
      <c r="PO297" s="23"/>
      <c r="PP297" s="23"/>
      <c r="PQ297" s="23"/>
      <c r="PR297" s="23"/>
      <c r="PS297" s="23"/>
      <c r="PT297" s="23"/>
      <c r="PU297" s="23"/>
      <c r="PV297" s="23"/>
      <c r="PW297" s="23"/>
      <c r="PX297" s="23"/>
      <c r="PY297" s="23"/>
      <c r="PZ297" s="23"/>
      <c r="QA297" s="23"/>
      <c r="QB297" s="23"/>
      <c r="QC297" s="23"/>
      <c r="QD297" s="23"/>
      <c r="QE297" s="23"/>
      <c r="QF297" s="23"/>
      <c r="QG297" s="23"/>
      <c r="QH297" s="23"/>
      <c r="QI297" s="23"/>
      <c r="QJ297" s="23"/>
      <c r="QK297" s="23"/>
      <c r="QL297" s="23"/>
      <c r="QM297" s="23"/>
      <c r="QN297" s="23"/>
      <c r="QO297" s="23"/>
      <c r="QP297" s="23"/>
      <c r="QQ297" s="23"/>
      <c r="QR297" s="23"/>
      <c r="QS297" s="23"/>
      <c r="QT297" s="23"/>
      <c r="QU297" s="23"/>
      <c r="QV297" s="23"/>
      <c r="QW297" s="23"/>
      <c r="QX297" s="23"/>
      <c r="QY297" s="23"/>
      <c r="QZ297" s="23"/>
      <c r="RA297" s="23"/>
      <c r="RB297" s="23"/>
      <c r="RC297" s="23"/>
      <c r="RD297" s="23"/>
      <c r="RE297" s="23"/>
      <c r="RF297" s="23"/>
      <c r="RG297" s="23"/>
      <c r="RH297" s="23"/>
      <c r="RI297" s="23"/>
      <c r="RJ297" s="23"/>
      <c r="RK297" s="23"/>
      <c r="RL297" s="23"/>
      <c r="RM297" s="23"/>
      <c r="RN297" s="23"/>
      <c r="RO297" s="23"/>
      <c r="RP297" s="23"/>
      <c r="RQ297" s="23"/>
      <c r="RR297" s="23"/>
      <c r="RS297" s="23"/>
      <c r="RT297" s="23"/>
      <c r="RU297" s="23"/>
      <c r="RV297" s="23"/>
      <c r="RW297" s="23"/>
      <c r="RX297" s="23"/>
      <c r="RY297" s="23"/>
      <c r="RZ297" s="23"/>
      <c r="SA297" s="23"/>
      <c r="SB297" s="23"/>
      <c r="SC297" s="23"/>
      <c r="SD297" s="23"/>
      <c r="SE297" s="23"/>
      <c r="SF297" s="23"/>
      <c r="SG297" s="23"/>
      <c r="SH297" s="23"/>
      <c r="SI297" s="23"/>
      <c r="SJ297" s="23"/>
      <c r="SK297" s="23"/>
      <c r="SL297" s="23"/>
      <c r="SM297" s="23"/>
      <c r="SN297" s="23"/>
      <c r="SO297" s="23"/>
      <c r="SP297" s="23"/>
      <c r="SQ297" s="23"/>
      <c r="SR297" s="23"/>
      <c r="SS297" s="23"/>
      <c r="ST297" s="23"/>
      <c r="SU297" s="23"/>
      <c r="SV297" s="23"/>
      <c r="SW297" s="23"/>
      <c r="SX297" s="23"/>
      <c r="SY297" s="23"/>
      <c r="SZ297" s="23"/>
      <c r="TA297" s="23"/>
      <c r="TB297" s="23"/>
      <c r="TC297" s="23"/>
      <c r="TD297" s="23"/>
      <c r="TE297" s="23"/>
      <c r="TF297" s="23"/>
      <c r="TG297" s="23"/>
    </row>
    <row r="298" spans="1:527" s="27" customFormat="1" ht="37.5" customHeight="1" x14ac:dyDescent="0.25">
      <c r="A298" s="110" t="s">
        <v>213</v>
      </c>
      <c r="B298" s="112"/>
      <c r="C298" s="112"/>
      <c r="D298" s="107" t="s">
        <v>39</v>
      </c>
      <c r="E298" s="95">
        <f>E299</f>
        <v>21083978</v>
      </c>
      <c r="F298" s="95">
        <f t="shared" ref="F298:J298" si="157">F299</f>
        <v>21083978</v>
      </c>
      <c r="G298" s="95">
        <f t="shared" si="157"/>
        <v>14932200</v>
      </c>
      <c r="H298" s="95">
        <f t="shared" si="157"/>
        <v>409278</v>
      </c>
      <c r="I298" s="95">
        <f t="shared" si="157"/>
        <v>0</v>
      </c>
      <c r="J298" s="95">
        <f t="shared" si="157"/>
        <v>65000</v>
      </c>
      <c r="K298" s="95">
        <f t="shared" ref="K298" si="158">K299</f>
        <v>65000</v>
      </c>
      <c r="L298" s="95">
        <f t="shared" ref="L298" si="159">L299</f>
        <v>0</v>
      </c>
      <c r="M298" s="95">
        <f t="shared" ref="M298" si="160">M299</f>
        <v>0</v>
      </c>
      <c r="N298" s="95">
        <f t="shared" ref="N298" si="161">N299</f>
        <v>0</v>
      </c>
      <c r="O298" s="95">
        <f t="shared" ref="O298" si="162">O299</f>
        <v>65000</v>
      </c>
      <c r="P298" s="95">
        <f>P299</f>
        <v>21148978</v>
      </c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  <c r="TF298" s="32"/>
      <c r="TG298" s="32"/>
    </row>
    <row r="299" spans="1:527" s="34" customFormat="1" ht="33.75" customHeight="1" x14ac:dyDescent="0.25">
      <c r="A299" s="96" t="s">
        <v>214</v>
      </c>
      <c r="B299" s="109"/>
      <c r="C299" s="109"/>
      <c r="D299" s="77" t="s">
        <v>39</v>
      </c>
      <c r="E299" s="98">
        <f>E300+E301++E302+E303+E304+E305</f>
        <v>21083978</v>
      </c>
      <c r="F299" s="98">
        <f t="shared" ref="F299:P299" si="163">F300+F301++F302+F303+F304+F305</f>
        <v>21083978</v>
      </c>
      <c r="G299" s="98">
        <f t="shared" si="163"/>
        <v>14932200</v>
      </c>
      <c r="H299" s="98">
        <f t="shared" si="163"/>
        <v>409278</v>
      </c>
      <c r="I299" s="98">
        <f t="shared" si="163"/>
        <v>0</v>
      </c>
      <c r="J299" s="98">
        <f t="shared" si="163"/>
        <v>65000</v>
      </c>
      <c r="K299" s="98">
        <f>K300+K301++K302+K303+K304+K305</f>
        <v>65000</v>
      </c>
      <c r="L299" s="98">
        <f t="shared" si="163"/>
        <v>0</v>
      </c>
      <c r="M299" s="98">
        <f t="shared" si="163"/>
        <v>0</v>
      </c>
      <c r="N299" s="98">
        <f t="shared" si="163"/>
        <v>0</v>
      </c>
      <c r="O299" s="98">
        <f t="shared" si="163"/>
        <v>65000</v>
      </c>
      <c r="P299" s="98">
        <f t="shared" si="163"/>
        <v>21148978</v>
      </c>
      <c r="Q299" s="33"/>
      <c r="R299" s="32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  <c r="IW299" s="33"/>
      <c r="IX299" s="33"/>
      <c r="IY299" s="33"/>
      <c r="IZ299" s="33"/>
      <c r="JA299" s="33"/>
      <c r="JB299" s="33"/>
      <c r="JC299" s="33"/>
      <c r="JD299" s="33"/>
      <c r="JE299" s="33"/>
      <c r="JF299" s="33"/>
      <c r="JG299" s="33"/>
      <c r="JH299" s="33"/>
      <c r="JI299" s="33"/>
      <c r="JJ299" s="33"/>
      <c r="JK299" s="33"/>
      <c r="JL299" s="33"/>
      <c r="JM299" s="33"/>
      <c r="JN299" s="33"/>
      <c r="JO299" s="33"/>
      <c r="JP299" s="33"/>
      <c r="JQ299" s="33"/>
      <c r="JR299" s="33"/>
      <c r="JS299" s="33"/>
      <c r="JT299" s="33"/>
      <c r="JU299" s="33"/>
      <c r="JV299" s="33"/>
      <c r="JW299" s="33"/>
      <c r="JX299" s="33"/>
      <c r="JY299" s="33"/>
      <c r="JZ299" s="33"/>
      <c r="KA299" s="33"/>
      <c r="KB299" s="33"/>
      <c r="KC299" s="33"/>
      <c r="KD299" s="33"/>
      <c r="KE299" s="33"/>
      <c r="KF299" s="33"/>
      <c r="KG299" s="33"/>
      <c r="KH299" s="33"/>
      <c r="KI299" s="33"/>
      <c r="KJ299" s="33"/>
      <c r="KK299" s="33"/>
      <c r="KL299" s="33"/>
      <c r="KM299" s="33"/>
      <c r="KN299" s="33"/>
      <c r="KO299" s="33"/>
      <c r="KP299" s="33"/>
      <c r="KQ299" s="33"/>
      <c r="KR299" s="33"/>
      <c r="KS299" s="33"/>
      <c r="KT299" s="33"/>
      <c r="KU299" s="33"/>
      <c r="KV299" s="33"/>
      <c r="KW299" s="33"/>
      <c r="KX299" s="33"/>
      <c r="KY299" s="33"/>
      <c r="KZ299" s="33"/>
      <c r="LA299" s="33"/>
      <c r="LB299" s="33"/>
      <c r="LC299" s="33"/>
      <c r="LD299" s="33"/>
      <c r="LE299" s="33"/>
      <c r="LF299" s="33"/>
      <c r="LG299" s="33"/>
      <c r="LH299" s="33"/>
      <c r="LI299" s="33"/>
      <c r="LJ299" s="33"/>
      <c r="LK299" s="33"/>
      <c r="LL299" s="33"/>
      <c r="LM299" s="33"/>
      <c r="LN299" s="33"/>
      <c r="LO299" s="33"/>
      <c r="LP299" s="33"/>
      <c r="LQ299" s="33"/>
      <c r="LR299" s="33"/>
      <c r="LS299" s="33"/>
      <c r="LT299" s="33"/>
      <c r="LU299" s="33"/>
      <c r="LV299" s="33"/>
      <c r="LW299" s="33"/>
      <c r="LX299" s="33"/>
      <c r="LY299" s="33"/>
      <c r="LZ299" s="33"/>
      <c r="MA299" s="33"/>
      <c r="MB299" s="33"/>
      <c r="MC299" s="33"/>
      <c r="MD299" s="33"/>
      <c r="ME299" s="33"/>
      <c r="MF299" s="33"/>
      <c r="MG299" s="33"/>
      <c r="MH299" s="33"/>
      <c r="MI299" s="33"/>
      <c r="MJ299" s="33"/>
      <c r="MK299" s="33"/>
      <c r="ML299" s="33"/>
      <c r="MM299" s="33"/>
      <c r="MN299" s="33"/>
      <c r="MO299" s="33"/>
      <c r="MP299" s="33"/>
      <c r="MQ299" s="33"/>
      <c r="MR299" s="33"/>
      <c r="MS299" s="33"/>
      <c r="MT299" s="33"/>
      <c r="MU299" s="33"/>
      <c r="MV299" s="33"/>
      <c r="MW299" s="33"/>
      <c r="MX299" s="33"/>
      <c r="MY299" s="33"/>
      <c r="MZ299" s="33"/>
      <c r="NA299" s="33"/>
      <c r="NB299" s="33"/>
      <c r="NC299" s="33"/>
      <c r="ND299" s="33"/>
      <c r="NE299" s="33"/>
      <c r="NF299" s="33"/>
      <c r="NG299" s="33"/>
      <c r="NH299" s="33"/>
      <c r="NI299" s="33"/>
      <c r="NJ299" s="33"/>
      <c r="NK299" s="33"/>
      <c r="NL299" s="33"/>
      <c r="NM299" s="33"/>
      <c r="NN299" s="33"/>
      <c r="NO299" s="33"/>
      <c r="NP299" s="33"/>
      <c r="NQ299" s="33"/>
      <c r="NR299" s="33"/>
      <c r="NS299" s="33"/>
      <c r="NT299" s="33"/>
      <c r="NU299" s="33"/>
      <c r="NV299" s="33"/>
      <c r="NW299" s="33"/>
      <c r="NX299" s="33"/>
      <c r="NY299" s="33"/>
      <c r="NZ299" s="33"/>
      <c r="OA299" s="33"/>
      <c r="OB299" s="33"/>
      <c r="OC299" s="33"/>
      <c r="OD299" s="33"/>
      <c r="OE299" s="33"/>
      <c r="OF299" s="33"/>
      <c r="OG299" s="33"/>
      <c r="OH299" s="33"/>
      <c r="OI299" s="33"/>
      <c r="OJ299" s="33"/>
      <c r="OK299" s="33"/>
      <c r="OL299" s="33"/>
      <c r="OM299" s="33"/>
      <c r="ON299" s="33"/>
      <c r="OO299" s="33"/>
      <c r="OP299" s="33"/>
      <c r="OQ299" s="33"/>
      <c r="OR299" s="33"/>
      <c r="OS299" s="33"/>
      <c r="OT299" s="33"/>
      <c r="OU299" s="33"/>
      <c r="OV299" s="33"/>
      <c r="OW299" s="33"/>
      <c r="OX299" s="33"/>
      <c r="OY299" s="33"/>
      <c r="OZ299" s="33"/>
      <c r="PA299" s="33"/>
      <c r="PB299" s="33"/>
      <c r="PC299" s="33"/>
      <c r="PD299" s="33"/>
      <c r="PE299" s="33"/>
      <c r="PF299" s="33"/>
      <c r="PG299" s="33"/>
      <c r="PH299" s="33"/>
      <c r="PI299" s="33"/>
      <c r="PJ299" s="33"/>
      <c r="PK299" s="33"/>
      <c r="PL299" s="33"/>
      <c r="PM299" s="33"/>
      <c r="PN299" s="33"/>
      <c r="PO299" s="33"/>
      <c r="PP299" s="33"/>
      <c r="PQ299" s="33"/>
      <c r="PR299" s="33"/>
      <c r="PS299" s="33"/>
      <c r="PT299" s="33"/>
      <c r="PU299" s="33"/>
      <c r="PV299" s="33"/>
      <c r="PW299" s="33"/>
      <c r="PX299" s="33"/>
      <c r="PY299" s="33"/>
      <c r="PZ299" s="33"/>
      <c r="QA299" s="33"/>
      <c r="QB299" s="33"/>
      <c r="QC299" s="33"/>
      <c r="QD299" s="33"/>
      <c r="QE299" s="33"/>
      <c r="QF299" s="33"/>
      <c r="QG299" s="33"/>
      <c r="QH299" s="33"/>
      <c r="QI299" s="33"/>
      <c r="QJ299" s="33"/>
      <c r="QK299" s="33"/>
      <c r="QL299" s="33"/>
      <c r="QM299" s="33"/>
      <c r="QN299" s="33"/>
      <c r="QO299" s="33"/>
      <c r="QP299" s="33"/>
      <c r="QQ299" s="33"/>
      <c r="QR299" s="33"/>
      <c r="QS299" s="33"/>
      <c r="QT299" s="33"/>
      <c r="QU299" s="33"/>
      <c r="QV299" s="33"/>
      <c r="QW299" s="33"/>
      <c r="QX299" s="33"/>
      <c r="QY299" s="33"/>
      <c r="QZ299" s="33"/>
      <c r="RA299" s="33"/>
      <c r="RB299" s="33"/>
      <c r="RC299" s="33"/>
      <c r="RD299" s="33"/>
      <c r="RE299" s="33"/>
      <c r="RF299" s="33"/>
      <c r="RG299" s="33"/>
      <c r="RH299" s="33"/>
      <c r="RI299" s="33"/>
      <c r="RJ299" s="33"/>
      <c r="RK299" s="33"/>
      <c r="RL299" s="33"/>
      <c r="RM299" s="33"/>
      <c r="RN299" s="33"/>
      <c r="RO299" s="33"/>
      <c r="RP299" s="33"/>
      <c r="RQ299" s="33"/>
      <c r="RR299" s="33"/>
      <c r="RS299" s="33"/>
      <c r="RT299" s="33"/>
      <c r="RU299" s="33"/>
      <c r="RV299" s="33"/>
      <c r="RW299" s="33"/>
      <c r="RX299" s="33"/>
      <c r="RY299" s="33"/>
      <c r="RZ299" s="33"/>
      <c r="SA299" s="33"/>
      <c r="SB299" s="33"/>
      <c r="SC299" s="33"/>
      <c r="SD299" s="33"/>
      <c r="SE299" s="33"/>
      <c r="SF299" s="33"/>
      <c r="SG299" s="33"/>
      <c r="SH299" s="33"/>
      <c r="SI299" s="33"/>
      <c r="SJ299" s="33"/>
      <c r="SK299" s="33"/>
      <c r="SL299" s="33"/>
      <c r="SM299" s="33"/>
      <c r="SN299" s="33"/>
      <c r="SO299" s="33"/>
      <c r="SP299" s="33"/>
      <c r="SQ299" s="33"/>
      <c r="SR299" s="33"/>
      <c r="SS299" s="33"/>
      <c r="ST299" s="33"/>
      <c r="SU299" s="33"/>
      <c r="SV299" s="33"/>
      <c r="SW299" s="33"/>
      <c r="SX299" s="33"/>
      <c r="SY299" s="33"/>
      <c r="SZ299" s="33"/>
      <c r="TA299" s="33"/>
      <c r="TB299" s="33"/>
      <c r="TC299" s="33"/>
      <c r="TD299" s="33"/>
      <c r="TE299" s="33"/>
      <c r="TF299" s="33"/>
      <c r="TG299" s="33"/>
    </row>
    <row r="300" spans="1:527" s="22" customFormat="1" ht="47.25" x14ac:dyDescent="0.25">
      <c r="A300" s="59" t="s">
        <v>215</v>
      </c>
      <c r="B300" s="93" t="str">
        <f>'дод 8'!A19</f>
        <v>0160</v>
      </c>
      <c r="C300" s="93" t="str">
        <f>'дод 8'!B19</f>
        <v>0111</v>
      </c>
      <c r="D300" s="36" t="s">
        <v>494</v>
      </c>
      <c r="E300" s="99">
        <f t="shared" ref="E300:E305" si="164">F300+I300</f>
        <v>19430978</v>
      </c>
      <c r="F300" s="99">
        <f>19290300+18000+22178+100500</f>
        <v>19430978</v>
      </c>
      <c r="G300" s="99">
        <f>14962200-30000</f>
        <v>14932200</v>
      </c>
      <c r="H300" s="99">
        <f>286600+22178+100500</f>
        <v>409278</v>
      </c>
      <c r="I300" s="99"/>
      <c r="J300" s="99">
        <f>L300+O300</f>
        <v>0</v>
      </c>
      <c r="K300" s="99">
        <f>18000-18000</f>
        <v>0</v>
      </c>
      <c r="L300" s="99"/>
      <c r="M300" s="99"/>
      <c r="N300" s="99"/>
      <c r="O300" s="99">
        <f>18000-18000</f>
        <v>0</v>
      </c>
      <c r="P300" s="99">
        <f t="shared" ref="P300:P305" si="165">E300+J300</f>
        <v>19430978</v>
      </c>
      <c r="Q300" s="23"/>
      <c r="R300" s="32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  <c r="TF300" s="23"/>
      <c r="TG300" s="23"/>
    </row>
    <row r="301" spans="1:527" s="25" customFormat="1" ht="25.5" customHeight="1" x14ac:dyDescent="0.25">
      <c r="A301" s="59" t="s">
        <v>216</v>
      </c>
      <c r="B301" s="93" t="str">
        <f>'дод 8'!A173</f>
        <v>7130</v>
      </c>
      <c r="C301" s="93" t="str">
        <f>'дод 8'!B173</f>
        <v>0421</v>
      </c>
      <c r="D301" s="60" t="str">
        <f>'дод 8'!C173</f>
        <v>Здійснення заходів із землеустрою</v>
      </c>
      <c r="E301" s="99">
        <f t="shared" si="164"/>
        <v>450000</v>
      </c>
      <c r="F301" s="99">
        <f>150000+300000</f>
        <v>450000</v>
      </c>
      <c r="G301" s="99"/>
      <c r="H301" s="99"/>
      <c r="I301" s="99"/>
      <c r="J301" s="99">
        <f t="shared" ref="J301:J305" si="166">L301+O301</f>
        <v>0</v>
      </c>
      <c r="K301" s="99"/>
      <c r="L301" s="99"/>
      <c r="M301" s="99"/>
      <c r="N301" s="99"/>
      <c r="O301" s="99"/>
      <c r="P301" s="99">
        <f t="shared" si="165"/>
        <v>450000</v>
      </c>
      <c r="Q301" s="31"/>
      <c r="R301" s="32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  <c r="IW301" s="31"/>
      <c r="IX301" s="31"/>
      <c r="IY301" s="31"/>
      <c r="IZ301" s="31"/>
      <c r="JA301" s="31"/>
      <c r="JB301" s="31"/>
      <c r="JC301" s="31"/>
      <c r="JD301" s="31"/>
      <c r="JE301" s="31"/>
      <c r="JF301" s="31"/>
      <c r="JG301" s="31"/>
      <c r="JH301" s="31"/>
      <c r="JI301" s="31"/>
      <c r="JJ301" s="31"/>
      <c r="JK301" s="31"/>
      <c r="JL301" s="31"/>
      <c r="JM301" s="31"/>
      <c r="JN301" s="31"/>
      <c r="JO301" s="31"/>
      <c r="JP301" s="31"/>
      <c r="JQ301" s="31"/>
      <c r="JR301" s="31"/>
      <c r="JS301" s="31"/>
      <c r="JT301" s="31"/>
      <c r="JU301" s="31"/>
      <c r="JV301" s="31"/>
      <c r="JW301" s="31"/>
      <c r="JX301" s="31"/>
      <c r="JY301" s="31"/>
      <c r="JZ301" s="31"/>
      <c r="KA301" s="31"/>
      <c r="KB301" s="31"/>
      <c r="KC301" s="31"/>
      <c r="KD301" s="31"/>
      <c r="KE301" s="31"/>
      <c r="KF301" s="31"/>
      <c r="KG301" s="31"/>
      <c r="KH301" s="31"/>
      <c r="KI301" s="31"/>
      <c r="KJ301" s="31"/>
      <c r="KK301" s="31"/>
      <c r="KL301" s="31"/>
      <c r="KM301" s="31"/>
      <c r="KN301" s="31"/>
      <c r="KO301" s="31"/>
      <c r="KP301" s="31"/>
      <c r="KQ301" s="31"/>
      <c r="KR301" s="31"/>
      <c r="KS301" s="31"/>
      <c r="KT301" s="31"/>
      <c r="KU301" s="31"/>
      <c r="KV301" s="31"/>
      <c r="KW301" s="31"/>
      <c r="KX301" s="31"/>
      <c r="KY301" s="31"/>
      <c r="KZ301" s="31"/>
      <c r="LA301" s="31"/>
      <c r="LB301" s="31"/>
      <c r="LC301" s="31"/>
      <c r="LD301" s="31"/>
      <c r="LE301" s="31"/>
      <c r="LF301" s="31"/>
      <c r="LG301" s="31"/>
      <c r="LH301" s="31"/>
      <c r="LI301" s="31"/>
      <c r="LJ301" s="31"/>
      <c r="LK301" s="31"/>
      <c r="LL301" s="31"/>
      <c r="LM301" s="31"/>
      <c r="LN301" s="31"/>
      <c r="LO301" s="31"/>
      <c r="LP301" s="31"/>
      <c r="LQ301" s="31"/>
      <c r="LR301" s="31"/>
      <c r="LS301" s="31"/>
      <c r="LT301" s="31"/>
      <c r="LU301" s="31"/>
      <c r="LV301" s="31"/>
      <c r="LW301" s="31"/>
      <c r="LX301" s="31"/>
      <c r="LY301" s="31"/>
      <c r="LZ301" s="31"/>
      <c r="MA301" s="31"/>
      <c r="MB301" s="31"/>
      <c r="MC301" s="31"/>
      <c r="MD301" s="31"/>
      <c r="ME301" s="31"/>
      <c r="MF301" s="31"/>
      <c r="MG301" s="31"/>
      <c r="MH301" s="31"/>
      <c r="MI301" s="31"/>
      <c r="MJ301" s="31"/>
      <c r="MK301" s="31"/>
      <c r="ML301" s="31"/>
      <c r="MM301" s="31"/>
      <c r="MN301" s="31"/>
      <c r="MO301" s="31"/>
      <c r="MP301" s="31"/>
      <c r="MQ301" s="31"/>
      <c r="MR301" s="31"/>
      <c r="MS301" s="31"/>
      <c r="MT301" s="31"/>
      <c r="MU301" s="31"/>
      <c r="MV301" s="31"/>
      <c r="MW301" s="31"/>
      <c r="MX301" s="31"/>
      <c r="MY301" s="31"/>
      <c r="MZ301" s="31"/>
      <c r="NA301" s="31"/>
      <c r="NB301" s="31"/>
      <c r="NC301" s="31"/>
      <c r="ND301" s="31"/>
      <c r="NE301" s="31"/>
      <c r="NF301" s="31"/>
      <c r="NG301" s="31"/>
      <c r="NH301" s="31"/>
      <c r="NI301" s="31"/>
      <c r="NJ301" s="31"/>
      <c r="NK301" s="31"/>
      <c r="NL301" s="31"/>
      <c r="NM301" s="31"/>
      <c r="NN301" s="31"/>
      <c r="NO301" s="31"/>
      <c r="NP301" s="31"/>
      <c r="NQ301" s="31"/>
      <c r="NR301" s="31"/>
      <c r="NS301" s="31"/>
      <c r="NT301" s="31"/>
      <c r="NU301" s="31"/>
      <c r="NV301" s="31"/>
      <c r="NW301" s="31"/>
      <c r="NX301" s="31"/>
      <c r="NY301" s="31"/>
      <c r="NZ301" s="31"/>
      <c r="OA301" s="31"/>
      <c r="OB301" s="31"/>
      <c r="OC301" s="31"/>
      <c r="OD301" s="31"/>
      <c r="OE301" s="31"/>
      <c r="OF301" s="31"/>
      <c r="OG301" s="31"/>
      <c r="OH301" s="31"/>
      <c r="OI301" s="31"/>
      <c r="OJ301" s="31"/>
      <c r="OK301" s="31"/>
      <c r="OL301" s="31"/>
      <c r="OM301" s="31"/>
      <c r="ON301" s="31"/>
      <c r="OO301" s="31"/>
      <c r="OP301" s="31"/>
      <c r="OQ301" s="31"/>
      <c r="OR301" s="31"/>
      <c r="OS301" s="31"/>
      <c r="OT301" s="31"/>
      <c r="OU301" s="31"/>
      <c r="OV301" s="31"/>
      <c r="OW301" s="31"/>
      <c r="OX301" s="31"/>
      <c r="OY301" s="31"/>
      <c r="OZ301" s="31"/>
      <c r="PA301" s="31"/>
      <c r="PB301" s="31"/>
      <c r="PC301" s="31"/>
      <c r="PD301" s="31"/>
      <c r="PE301" s="31"/>
      <c r="PF301" s="31"/>
      <c r="PG301" s="31"/>
      <c r="PH301" s="31"/>
      <c r="PI301" s="31"/>
      <c r="PJ301" s="31"/>
      <c r="PK301" s="31"/>
      <c r="PL301" s="31"/>
      <c r="PM301" s="31"/>
      <c r="PN301" s="31"/>
      <c r="PO301" s="31"/>
      <c r="PP301" s="31"/>
      <c r="PQ301" s="31"/>
      <c r="PR301" s="31"/>
      <c r="PS301" s="31"/>
      <c r="PT301" s="31"/>
      <c r="PU301" s="31"/>
      <c r="PV301" s="31"/>
      <c r="PW301" s="31"/>
      <c r="PX301" s="31"/>
      <c r="PY301" s="31"/>
      <c r="PZ301" s="31"/>
      <c r="QA301" s="31"/>
      <c r="QB301" s="31"/>
      <c r="QC301" s="31"/>
      <c r="QD301" s="31"/>
      <c r="QE301" s="31"/>
      <c r="QF301" s="31"/>
      <c r="QG301" s="31"/>
      <c r="QH301" s="31"/>
      <c r="QI301" s="31"/>
      <c r="QJ301" s="31"/>
      <c r="QK301" s="31"/>
      <c r="QL301" s="31"/>
      <c r="QM301" s="31"/>
      <c r="QN301" s="31"/>
      <c r="QO301" s="31"/>
      <c r="QP301" s="31"/>
      <c r="QQ301" s="31"/>
      <c r="QR301" s="31"/>
      <c r="QS301" s="31"/>
      <c r="QT301" s="31"/>
      <c r="QU301" s="31"/>
      <c r="QV301" s="31"/>
      <c r="QW301" s="31"/>
      <c r="QX301" s="31"/>
      <c r="QY301" s="31"/>
      <c r="QZ301" s="31"/>
      <c r="RA301" s="31"/>
      <c r="RB301" s="31"/>
      <c r="RC301" s="31"/>
      <c r="RD301" s="31"/>
      <c r="RE301" s="31"/>
      <c r="RF301" s="31"/>
      <c r="RG301" s="31"/>
      <c r="RH301" s="31"/>
      <c r="RI301" s="31"/>
      <c r="RJ301" s="31"/>
      <c r="RK301" s="31"/>
      <c r="RL301" s="31"/>
      <c r="RM301" s="31"/>
      <c r="RN301" s="31"/>
      <c r="RO301" s="31"/>
      <c r="RP301" s="31"/>
      <c r="RQ301" s="31"/>
      <c r="RR301" s="31"/>
      <c r="RS301" s="31"/>
      <c r="RT301" s="31"/>
      <c r="RU301" s="31"/>
      <c r="RV301" s="31"/>
      <c r="RW301" s="31"/>
      <c r="RX301" s="31"/>
      <c r="RY301" s="31"/>
      <c r="RZ301" s="31"/>
      <c r="SA301" s="31"/>
      <c r="SB301" s="31"/>
      <c r="SC301" s="31"/>
      <c r="SD301" s="31"/>
      <c r="SE301" s="31"/>
      <c r="SF301" s="31"/>
      <c r="SG301" s="31"/>
      <c r="SH301" s="31"/>
      <c r="SI301" s="31"/>
      <c r="SJ301" s="31"/>
      <c r="SK301" s="31"/>
      <c r="SL301" s="31"/>
      <c r="SM301" s="31"/>
      <c r="SN301" s="31"/>
      <c r="SO301" s="31"/>
      <c r="SP301" s="31"/>
      <c r="SQ301" s="31"/>
      <c r="SR301" s="31"/>
      <c r="SS301" s="31"/>
      <c r="ST301" s="31"/>
      <c r="SU301" s="31"/>
      <c r="SV301" s="31"/>
      <c r="SW301" s="31"/>
      <c r="SX301" s="31"/>
      <c r="SY301" s="31"/>
      <c r="SZ301" s="31"/>
      <c r="TA301" s="31"/>
      <c r="TB301" s="31"/>
      <c r="TC301" s="31"/>
      <c r="TD301" s="31"/>
      <c r="TE301" s="31"/>
      <c r="TF301" s="31"/>
      <c r="TG301" s="31"/>
    </row>
    <row r="302" spans="1:527" s="22" customFormat="1" ht="29.25" customHeight="1" x14ac:dyDescent="0.25">
      <c r="A302" s="103" t="s">
        <v>217</v>
      </c>
      <c r="B302" s="42" t="str">
        <f>'дод 8'!A214</f>
        <v>7610</v>
      </c>
      <c r="C302" s="42" t="str">
        <f>'дод 8'!B214</f>
        <v>0411</v>
      </c>
      <c r="D302" s="36" t="str">
        <f>'дод 8'!C214</f>
        <v>Сприяння розвитку малого та середнього підприємництва</v>
      </c>
      <c r="E302" s="99">
        <f t="shared" si="164"/>
        <v>312000</v>
      </c>
      <c r="F302" s="99">
        <f>415000-103000</f>
        <v>312000</v>
      </c>
      <c r="G302" s="99"/>
      <c r="H302" s="99"/>
      <c r="I302" s="99">
        <f>500000-500000</f>
        <v>0</v>
      </c>
      <c r="J302" s="99">
        <f t="shared" si="166"/>
        <v>0</v>
      </c>
      <c r="K302" s="99"/>
      <c r="L302" s="99"/>
      <c r="M302" s="99"/>
      <c r="N302" s="99"/>
      <c r="O302" s="99"/>
      <c r="P302" s="99">
        <f t="shared" si="165"/>
        <v>312000</v>
      </c>
      <c r="Q302" s="23"/>
      <c r="R302" s="32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  <c r="SQ302" s="23"/>
      <c r="SR302" s="23"/>
      <c r="SS302" s="23"/>
      <c r="ST302" s="23"/>
      <c r="SU302" s="23"/>
      <c r="SV302" s="23"/>
      <c r="SW302" s="23"/>
      <c r="SX302" s="23"/>
      <c r="SY302" s="23"/>
      <c r="SZ302" s="23"/>
      <c r="TA302" s="23"/>
      <c r="TB302" s="23"/>
      <c r="TC302" s="23"/>
      <c r="TD302" s="23"/>
      <c r="TE302" s="23"/>
      <c r="TF302" s="23"/>
      <c r="TG302" s="23"/>
    </row>
    <row r="303" spans="1:527" s="22" customFormat="1" ht="32.25" customHeight="1" x14ac:dyDescent="0.25">
      <c r="A303" s="103" t="s">
        <v>266</v>
      </c>
      <c r="B303" s="42" t="str">
        <f>'дод 8'!A217</f>
        <v>7650</v>
      </c>
      <c r="C303" s="42" t="str">
        <f>'дод 8'!B217</f>
        <v>0490</v>
      </c>
      <c r="D303" s="36" t="str">
        <f>'дод 8'!C217</f>
        <v>Проведення експертної грошової оцінки земельної ділянки чи права на неї</v>
      </c>
      <c r="E303" s="99">
        <f t="shared" si="164"/>
        <v>0</v>
      </c>
      <c r="F303" s="99"/>
      <c r="G303" s="99"/>
      <c r="H303" s="99"/>
      <c r="I303" s="99"/>
      <c r="J303" s="99">
        <f t="shared" si="166"/>
        <v>20000</v>
      </c>
      <c r="K303" s="99">
        <v>20000</v>
      </c>
      <c r="L303" s="99"/>
      <c r="M303" s="99"/>
      <c r="N303" s="99"/>
      <c r="O303" s="99">
        <v>20000</v>
      </c>
      <c r="P303" s="99">
        <f t="shared" si="165"/>
        <v>20000</v>
      </c>
      <c r="Q303" s="23"/>
      <c r="R303" s="32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  <c r="SQ303" s="23"/>
      <c r="SR303" s="23"/>
      <c r="SS303" s="23"/>
      <c r="ST303" s="23"/>
      <c r="SU303" s="23"/>
      <c r="SV303" s="23"/>
      <c r="SW303" s="23"/>
      <c r="SX303" s="23"/>
      <c r="SY303" s="23"/>
      <c r="SZ303" s="23"/>
      <c r="TA303" s="23"/>
      <c r="TB303" s="23"/>
      <c r="TC303" s="23"/>
      <c r="TD303" s="23"/>
      <c r="TE303" s="23"/>
      <c r="TF303" s="23"/>
      <c r="TG303" s="23"/>
    </row>
    <row r="304" spans="1:527" s="22" customFormat="1" ht="67.5" customHeight="1" x14ac:dyDescent="0.25">
      <c r="A304" s="103" t="s">
        <v>268</v>
      </c>
      <c r="B304" s="42" t="str">
        <f>'дод 8'!A218</f>
        <v>7660</v>
      </c>
      <c r="C304" s="42" t="str">
        <f>'дод 8'!B218</f>
        <v>0490</v>
      </c>
      <c r="D304" s="36" t="str">
        <f>'дод 8'!C218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04" s="99">
        <f t="shared" si="164"/>
        <v>0</v>
      </c>
      <c r="F304" s="99"/>
      <c r="G304" s="99"/>
      <c r="H304" s="99"/>
      <c r="I304" s="99"/>
      <c r="J304" s="99">
        <f t="shared" si="166"/>
        <v>45000</v>
      </c>
      <c r="K304" s="99">
        <v>45000</v>
      </c>
      <c r="L304" s="99"/>
      <c r="M304" s="99"/>
      <c r="N304" s="99"/>
      <c r="O304" s="99">
        <v>45000</v>
      </c>
      <c r="P304" s="99">
        <f t="shared" si="165"/>
        <v>45000</v>
      </c>
      <c r="Q304" s="23"/>
      <c r="R304" s="32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  <c r="TF304" s="23"/>
      <c r="TG304" s="23"/>
    </row>
    <row r="305" spans="1:527" s="22" customFormat="1" ht="23.25" customHeight="1" x14ac:dyDescent="0.25">
      <c r="A305" s="103" t="s">
        <v>264</v>
      </c>
      <c r="B305" s="42" t="str">
        <f>'дод 8'!A223</f>
        <v>7693</v>
      </c>
      <c r="C305" s="42" t="str">
        <f>'дод 8'!B223</f>
        <v>0490</v>
      </c>
      <c r="D305" s="36" t="str">
        <f>'дод 8'!C223</f>
        <v>Інші заходи, пов'язані з економічною діяльністю</v>
      </c>
      <c r="E305" s="99">
        <f t="shared" si="164"/>
        <v>891000</v>
      </c>
      <c r="F305" s="99">
        <f>788000+103000</f>
        <v>891000</v>
      </c>
      <c r="G305" s="99"/>
      <c r="H305" s="99"/>
      <c r="I305" s="99"/>
      <c r="J305" s="99">
        <f t="shared" si="166"/>
        <v>0</v>
      </c>
      <c r="K305" s="99"/>
      <c r="L305" s="99"/>
      <c r="M305" s="99"/>
      <c r="N305" s="99"/>
      <c r="O305" s="99"/>
      <c r="P305" s="99">
        <f t="shared" si="165"/>
        <v>891000</v>
      </c>
      <c r="Q305" s="23"/>
      <c r="R305" s="32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  <c r="TF305" s="23"/>
      <c r="TG305" s="23"/>
    </row>
    <row r="306" spans="1:527" s="22" customFormat="1" ht="35.25" customHeight="1" x14ac:dyDescent="0.25">
      <c r="A306" s="106" t="s">
        <v>426</v>
      </c>
      <c r="B306" s="39"/>
      <c r="C306" s="39"/>
      <c r="D306" s="107" t="s">
        <v>427</v>
      </c>
      <c r="E306" s="95">
        <f>E307</f>
        <v>20000</v>
      </c>
      <c r="F306" s="95">
        <f t="shared" ref="F306:P306" si="167">F307</f>
        <v>20000</v>
      </c>
      <c r="G306" s="95">
        <f t="shared" si="167"/>
        <v>0</v>
      </c>
      <c r="H306" s="95">
        <f t="shared" si="167"/>
        <v>0</v>
      </c>
      <c r="I306" s="95">
        <f t="shared" si="167"/>
        <v>0</v>
      </c>
      <c r="J306" s="95">
        <f t="shared" si="167"/>
        <v>0</v>
      </c>
      <c r="K306" s="95">
        <f t="shared" si="167"/>
        <v>0</v>
      </c>
      <c r="L306" s="95">
        <f t="shared" si="167"/>
        <v>0</v>
      </c>
      <c r="M306" s="95">
        <f t="shared" si="167"/>
        <v>0</v>
      </c>
      <c r="N306" s="95">
        <f t="shared" si="167"/>
        <v>0</v>
      </c>
      <c r="O306" s="95">
        <f t="shared" si="167"/>
        <v>0</v>
      </c>
      <c r="P306" s="95">
        <f t="shared" si="167"/>
        <v>20000</v>
      </c>
      <c r="Q306" s="23"/>
      <c r="R306" s="32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  <c r="TF306" s="23"/>
      <c r="TG306" s="23"/>
    </row>
    <row r="307" spans="1:527" s="34" customFormat="1" ht="34.5" customHeight="1" x14ac:dyDescent="0.25">
      <c r="A307" s="108" t="s">
        <v>425</v>
      </c>
      <c r="B307" s="74"/>
      <c r="C307" s="74"/>
      <c r="D307" s="77" t="s">
        <v>427</v>
      </c>
      <c r="E307" s="98">
        <f>E308</f>
        <v>20000</v>
      </c>
      <c r="F307" s="98">
        <f t="shared" ref="F307:P307" si="168">F308</f>
        <v>20000</v>
      </c>
      <c r="G307" s="98">
        <f t="shared" si="168"/>
        <v>0</v>
      </c>
      <c r="H307" s="98">
        <f t="shared" si="168"/>
        <v>0</v>
      </c>
      <c r="I307" s="98">
        <f t="shared" si="168"/>
        <v>0</v>
      </c>
      <c r="J307" s="98">
        <f t="shared" si="168"/>
        <v>0</v>
      </c>
      <c r="K307" s="98">
        <f t="shared" si="168"/>
        <v>0</v>
      </c>
      <c r="L307" s="98">
        <f t="shared" si="168"/>
        <v>0</v>
      </c>
      <c r="M307" s="98">
        <f t="shared" si="168"/>
        <v>0</v>
      </c>
      <c r="N307" s="98">
        <f t="shared" si="168"/>
        <v>0</v>
      </c>
      <c r="O307" s="98">
        <f t="shared" si="168"/>
        <v>0</v>
      </c>
      <c r="P307" s="98">
        <f t="shared" si="168"/>
        <v>20000</v>
      </c>
      <c r="Q307" s="33"/>
      <c r="R307" s="32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  <c r="IW307" s="33"/>
      <c r="IX307" s="33"/>
      <c r="IY307" s="33"/>
      <c r="IZ307" s="33"/>
      <c r="JA307" s="33"/>
      <c r="JB307" s="33"/>
      <c r="JC307" s="33"/>
      <c r="JD307" s="33"/>
      <c r="JE307" s="33"/>
      <c r="JF307" s="33"/>
      <c r="JG307" s="33"/>
      <c r="JH307" s="33"/>
      <c r="JI307" s="33"/>
      <c r="JJ307" s="33"/>
      <c r="JK307" s="33"/>
      <c r="JL307" s="33"/>
      <c r="JM307" s="33"/>
      <c r="JN307" s="33"/>
      <c r="JO307" s="33"/>
      <c r="JP307" s="33"/>
      <c r="JQ307" s="33"/>
      <c r="JR307" s="33"/>
      <c r="JS307" s="33"/>
      <c r="JT307" s="33"/>
      <c r="JU307" s="33"/>
      <c r="JV307" s="33"/>
      <c r="JW307" s="33"/>
      <c r="JX307" s="33"/>
      <c r="JY307" s="33"/>
      <c r="JZ307" s="33"/>
      <c r="KA307" s="33"/>
      <c r="KB307" s="33"/>
      <c r="KC307" s="33"/>
      <c r="KD307" s="33"/>
      <c r="KE307" s="33"/>
      <c r="KF307" s="33"/>
      <c r="KG307" s="33"/>
      <c r="KH307" s="33"/>
      <c r="KI307" s="33"/>
      <c r="KJ307" s="33"/>
      <c r="KK307" s="33"/>
      <c r="KL307" s="33"/>
      <c r="KM307" s="33"/>
      <c r="KN307" s="33"/>
      <c r="KO307" s="33"/>
      <c r="KP307" s="33"/>
      <c r="KQ307" s="33"/>
      <c r="KR307" s="33"/>
      <c r="KS307" s="33"/>
      <c r="KT307" s="33"/>
      <c r="KU307" s="33"/>
      <c r="KV307" s="33"/>
      <c r="KW307" s="33"/>
      <c r="KX307" s="33"/>
      <c r="KY307" s="33"/>
      <c r="KZ307" s="33"/>
      <c r="LA307" s="33"/>
      <c r="LB307" s="33"/>
      <c r="LC307" s="33"/>
      <c r="LD307" s="33"/>
      <c r="LE307" s="33"/>
      <c r="LF307" s="33"/>
      <c r="LG307" s="33"/>
      <c r="LH307" s="33"/>
      <c r="LI307" s="33"/>
      <c r="LJ307" s="33"/>
      <c r="LK307" s="33"/>
      <c r="LL307" s="33"/>
      <c r="LM307" s="33"/>
      <c r="LN307" s="33"/>
      <c r="LO307" s="33"/>
      <c r="LP307" s="33"/>
      <c r="LQ307" s="33"/>
      <c r="LR307" s="33"/>
      <c r="LS307" s="33"/>
      <c r="LT307" s="33"/>
      <c r="LU307" s="33"/>
      <c r="LV307" s="33"/>
      <c r="LW307" s="33"/>
      <c r="LX307" s="33"/>
      <c r="LY307" s="33"/>
      <c r="LZ307" s="33"/>
      <c r="MA307" s="33"/>
      <c r="MB307" s="33"/>
      <c r="MC307" s="33"/>
      <c r="MD307" s="33"/>
      <c r="ME307" s="33"/>
      <c r="MF307" s="33"/>
      <c r="MG307" s="33"/>
      <c r="MH307" s="33"/>
      <c r="MI307" s="33"/>
      <c r="MJ307" s="33"/>
      <c r="MK307" s="33"/>
      <c r="ML307" s="33"/>
      <c r="MM307" s="33"/>
      <c r="MN307" s="33"/>
      <c r="MO307" s="33"/>
      <c r="MP307" s="33"/>
      <c r="MQ307" s="33"/>
      <c r="MR307" s="33"/>
      <c r="MS307" s="33"/>
      <c r="MT307" s="33"/>
      <c r="MU307" s="33"/>
      <c r="MV307" s="33"/>
      <c r="MW307" s="33"/>
      <c r="MX307" s="33"/>
      <c r="MY307" s="33"/>
      <c r="MZ307" s="33"/>
      <c r="NA307" s="33"/>
      <c r="NB307" s="33"/>
      <c r="NC307" s="33"/>
      <c r="ND307" s="33"/>
      <c r="NE307" s="33"/>
      <c r="NF307" s="33"/>
      <c r="NG307" s="33"/>
      <c r="NH307" s="33"/>
      <c r="NI307" s="33"/>
      <c r="NJ307" s="33"/>
      <c r="NK307" s="33"/>
      <c r="NL307" s="33"/>
      <c r="NM307" s="33"/>
      <c r="NN307" s="33"/>
      <c r="NO307" s="33"/>
      <c r="NP307" s="33"/>
      <c r="NQ307" s="33"/>
      <c r="NR307" s="33"/>
      <c r="NS307" s="33"/>
      <c r="NT307" s="33"/>
      <c r="NU307" s="33"/>
      <c r="NV307" s="33"/>
      <c r="NW307" s="33"/>
      <c r="NX307" s="33"/>
      <c r="NY307" s="33"/>
      <c r="NZ307" s="33"/>
      <c r="OA307" s="33"/>
      <c r="OB307" s="33"/>
      <c r="OC307" s="33"/>
      <c r="OD307" s="33"/>
      <c r="OE307" s="33"/>
      <c r="OF307" s="33"/>
      <c r="OG307" s="33"/>
      <c r="OH307" s="33"/>
      <c r="OI307" s="33"/>
      <c r="OJ307" s="33"/>
      <c r="OK307" s="33"/>
      <c r="OL307" s="33"/>
      <c r="OM307" s="33"/>
      <c r="ON307" s="33"/>
      <c r="OO307" s="33"/>
      <c r="OP307" s="33"/>
      <c r="OQ307" s="33"/>
      <c r="OR307" s="33"/>
      <c r="OS307" s="33"/>
      <c r="OT307" s="33"/>
      <c r="OU307" s="33"/>
      <c r="OV307" s="33"/>
      <c r="OW307" s="33"/>
      <c r="OX307" s="33"/>
      <c r="OY307" s="33"/>
      <c r="OZ307" s="33"/>
      <c r="PA307" s="33"/>
      <c r="PB307" s="33"/>
      <c r="PC307" s="33"/>
      <c r="PD307" s="33"/>
      <c r="PE307" s="33"/>
      <c r="PF307" s="33"/>
      <c r="PG307" s="33"/>
      <c r="PH307" s="33"/>
      <c r="PI307" s="33"/>
      <c r="PJ307" s="33"/>
      <c r="PK307" s="33"/>
      <c r="PL307" s="33"/>
      <c r="PM307" s="33"/>
      <c r="PN307" s="33"/>
      <c r="PO307" s="33"/>
      <c r="PP307" s="33"/>
      <c r="PQ307" s="33"/>
      <c r="PR307" s="33"/>
      <c r="PS307" s="33"/>
      <c r="PT307" s="33"/>
      <c r="PU307" s="33"/>
      <c r="PV307" s="33"/>
      <c r="PW307" s="33"/>
      <c r="PX307" s="33"/>
      <c r="PY307" s="33"/>
      <c r="PZ307" s="33"/>
      <c r="QA307" s="33"/>
      <c r="QB307" s="33"/>
      <c r="QC307" s="33"/>
      <c r="QD307" s="33"/>
      <c r="QE307" s="33"/>
      <c r="QF307" s="33"/>
      <c r="QG307" s="33"/>
      <c r="QH307" s="33"/>
      <c r="QI307" s="33"/>
      <c r="QJ307" s="33"/>
      <c r="QK307" s="33"/>
      <c r="QL307" s="33"/>
      <c r="QM307" s="33"/>
      <c r="QN307" s="33"/>
      <c r="QO307" s="33"/>
      <c r="QP307" s="33"/>
      <c r="QQ307" s="33"/>
      <c r="QR307" s="33"/>
      <c r="QS307" s="33"/>
      <c r="QT307" s="33"/>
      <c r="QU307" s="33"/>
      <c r="QV307" s="33"/>
      <c r="QW307" s="33"/>
      <c r="QX307" s="33"/>
      <c r="QY307" s="33"/>
      <c r="QZ307" s="33"/>
      <c r="RA307" s="33"/>
      <c r="RB307" s="33"/>
      <c r="RC307" s="33"/>
      <c r="RD307" s="33"/>
      <c r="RE307" s="33"/>
      <c r="RF307" s="33"/>
      <c r="RG307" s="33"/>
      <c r="RH307" s="33"/>
      <c r="RI307" s="33"/>
      <c r="RJ307" s="33"/>
      <c r="RK307" s="33"/>
      <c r="RL307" s="33"/>
      <c r="RM307" s="33"/>
      <c r="RN307" s="33"/>
      <c r="RO307" s="33"/>
      <c r="RP307" s="33"/>
      <c r="RQ307" s="33"/>
      <c r="RR307" s="33"/>
      <c r="RS307" s="33"/>
      <c r="RT307" s="33"/>
      <c r="RU307" s="33"/>
      <c r="RV307" s="33"/>
      <c r="RW307" s="33"/>
      <c r="RX307" s="33"/>
      <c r="RY307" s="33"/>
      <c r="RZ307" s="33"/>
      <c r="SA307" s="33"/>
      <c r="SB307" s="33"/>
      <c r="SC307" s="33"/>
      <c r="SD307" s="33"/>
      <c r="SE307" s="33"/>
      <c r="SF307" s="33"/>
      <c r="SG307" s="33"/>
      <c r="SH307" s="33"/>
      <c r="SI307" s="33"/>
      <c r="SJ307" s="33"/>
      <c r="SK307" s="33"/>
      <c r="SL307" s="33"/>
      <c r="SM307" s="33"/>
      <c r="SN307" s="33"/>
      <c r="SO307" s="33"/>
      <c r="SP307" s="33"/>
      <c r="SQ307" s="33"/>
      <c r="SR307" s="33"/>
      <c r="SS307" s="33"/>
      <c r="ST307" s="33"/>
      <c r="SU307" s="33"/>
      <c r="SV307" s="33"/>
      <c r="SW307" s="33"/>
      <c r="SX307" s="33"/>
      <c r="SY307" s="33"/>
      <c r="SZ307" s="33"/>
      <c r="TA307" s="33"/>
      <c r="TB307" s="33"/>
      <c r="TC307" s="33"/>
      <c r="TD307" s="33"/>
      <c r="TE307" s="33"/>
      <c r="TF307" s="33"/>
      <c r="TG307" s="33"/>
    </row>
    <row r="308" spans="1:527" s="22" customFormat="1" ht="45.75" customHeight="1" x14ac:dyDescent="0.25">
      <c r="A308" s="103" t="s">
        <v>424</v>
      </c>
      <c r="B308" s="103" t="s">
        <v>119</v>
      </c>
      <c r="C308" s="103" t="s">
        <v>46</v>
      </c>
      <c r="D308" s="36" t="s">
        <v>494</v>
      </c>
      <c r="E308" s="99">
        <f t="shared" ref="E308" si="169">F308+I308</f>
        <v>20000</v>
      </c>
      <c r="F308" s="99">
        <v>20000</v>
      </c>
      <c r="G308" s="99"/>
      <c r="H308" s="99"/>
      <c r="I308" s="99"/>
      <c r="J308" s="99">
        <f>L308+O308</f>
        <v>0</v>
      </c>
      <c r="K308" s="99"/>
      <c r="L308" s="99"/>
      <c r="M308" s="99"/>
      <c r="N308" s="99"/>
      <c r="O308" s="99"/>
      <c r="P308" s="99">
        <f t="shared" ref="P308" si="170">E308+J308</f>
        <v>20000</v>
      </c>
      <c r="Q308" s="23"/>
      <c r="R308" s="32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  <c r="TF308" s="23"/>
      <c r="TG308" s="23"/>
    </row>
    <row r="309" spans="1:527" s="27" customFormat="1" ht="38.25" customHeight="1" x14ac:dyDescent="0.25">
      <c r="A309" s="110" t="s">
        <v>218</v>
      </c>
      <c r="B309" s="112"/>
      <c r="C309" s="112"/>
      <c r="D309" s="107" t="s">
        <v>41</v>
      </c>
      <c r="E309" s="95">
        <f>E310</f>
        <v>141448711.44</v>
      </c>
      <c r="F309" s="95">
        <f t="shared" ref="F309:J309" si="171">F310</f>
        <v>122820052</v>
      </c>
      <c r="G309" s="95">
        <f t="shared" si="171"/>
        <v>15760200</v>
      </c>
      <c r="H309" s="95">
        <f t="shared" si="171"/>
        <v>376173</v>
      </c>
      <c r="I309" s="95">
        <f t="shared" si="171"/>
        <v>0</v>
      </c>
      <c r="J309" s="95">
        <f t="shared" si="171"/>
        <v>502000</v>
      </c>
      <c r="K309" s="95">
        <f t="shared" ref="K309" si="172">K310</f>
        <v>0</v>
      </c>
      <c r="L309" s="95">
        <f t="shared" ref="L309" si="173">L310</f>
        <v>502000</v>
      </c>
      <c r="M309" s="95">
        <f t="shared" ref="M309" si="174">M310</f>
        <v>0</v>
      </c>
      <c r="N309" s="95">
        <f t="shared" ref="N309" si="175">N310</f>
        <v>0</v>
      </c>
      <c r="O309" s="95">
        <f t="shared" ref="O309:P309" si="176">O310</f>
        <v>0</v>
      </c>
      <c r="P309" s="95">
        <f t="shared" si="176"/>
        <v>141950711.44</v>
      </c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  <c r="IU309" s="32"/>
      <c r="IV309" s="32"/>
      <c r="IW309" s="32"/>
      <c r="IX309" s="32"/>
      <c r="IY309" s="32"/>
      <c r="IZ309" s="32"/>
      <c r="JA309" s="32"/>
      <c r="JB309" s="32"/>
      <c r="JC309" s="32"/>
      <c r="JD309" s="32"/>
      <c r="JE309" s="32"/>
      <c r="JF309" s="32"/>
      <c r="JG309" s="32"/>
      <c r="JH309" s="32"/>
      <c r="JI309" s="32"/>
      <c r="JJ309" s="32"/>
      <c r="JK309" s="32"/>
      <c r="JL309" s="32"/>
      <c r="JM309" s="32"/>
      <c r="JN309" s="32"/>
      <c r="JO309" s="32"/>
      <c r="JP309" s="32"/>
      <c r="JQ309" s="32"/>
      <c r="JR309" s="32"/>
      <c r="JS309" s="32"/>
      <c r="JT309" s="32"/>
      <c r="JU309" s="32"/>
      <c r="JV309" s="32"/>
      <c r="JW309" s="32"/>
      <c r="JX309" s="32"/>
      <c r="JY309" s="32"/>
      <c r="JZ309" s="32"/>
      <c r="KA309" s="32"/>
      <c r="KB309" s="32"/>
      <c r="KC309" s="32"/>
      <c r="KD309" s="32"/>
      <c r="KE309" s="32"/>
      <c r="KF309" s="32"/>
      <c r="KG309" s="32"/>
      <c r="KH309" s="32"/>
      <c r="KI309" s="32"/>
      <c r="KJ309" s="32"/>
      <c r="KK309" s="32"/>
      <c r="KL309" s="32"/>
      <c r="KM309" s="32"/>
      <c r="KN309" s="32"/>
      <c r="KO309" s="32"/>
      <c r="KP309" s="32"/>
      <c r="KQ309" s="32"/>
      <c r="KR309" s="32"/>
      <c r="KS309" s="32"/>
      <c r="KT309" s="32"/>
      <c r="KU309" s="32"/>
      <c r="KV309" s="32"/>
      <c r="KW309" s="32"/>
      <c r="KX309" s="32"/>
      <c r="KY309" s="32"/>
      <c r="KZ309" s="32"/>
      <c r="LA309" s="32"/>
      <c r="LB309" s="32"/>
      <c r="LC309" s="32"/>
      <c r="LD309" s="32"/>
      <c r="LE309" s="32"/>
      <c r="LF309" s="32"/>
      <c r="LG309" s="32"/>
      <c r="LH309" s="32"/>
      <c r="LI309" s="32"/>
      <c r="LJ309" s="32"/>
      <c r="LK309" s="32"/>
      <c r="LL309" s="32"/>
      <c r="LM309" s="32"/>
      <c r="LN309" s="32"/>
      <c r="LO309" s="32"/>
      <c r="LP309" s="32"/>
      <c r="LQ309" s="32"/>
      <c r="LR309" s="32"/>
      <c r="LS309" s="32"/>
      <c r="LT309" s="32"/>
      <c r="LU309" s="32"/>
      <c r="LV309" s="32"/>
      <c r="LW309" s="32"/>
      <c r="LX309" s="32"/>
      <c r="LY309" s="32"/>
      <c r="LZ309" s="32"/>
      <c r="MA309" s="32"/>
      <c r="MB309" s="32"/>
      <c r="MC309" s="32"/>
      <c r="MD309" s="32"/>
      <c r="ME309" s="32"/>
      <c r="MF309" s="32"/>
      <c r="MG309" s="32"/>
      <c r="MH309" s="32"/>
      <c r="MI309" s="32"/>
      <c r="MJ309" s="32"/>
      <c r="MK309" s="32"/>
      <c r="ML309" s="32"/>
      <c r="MM309" s="32"/>
      <c r="MN309" s="32"/>
      <c r="MO309" s="32"/>
      <c r="MP309" s="32"/>
      <c r="MQ309" s="32"/>
      <c r="MR309" s="32"/>
      <c r="MS309" s="32"/>
      <c r="MT309" s="32"/>
      <c r="MU309" s="32"/>
      <c r="MV309" s="32"/>
      <c r="MW309" s="32"/>
      <c r="MX309" s="32"/>
      <c r="MY309" s="32"/>
      <c r="MZ309" s="32"/>
      <c r="NA309" s="32"/>
      <c r="NB309" s="32"/>
      <c r="NC309" s="32"/>
      <c r="ND309" s="32"/>
      <c r="NE309" s="32"/>
      <c r="NF309" s="32"/>
      <c r="NG309" s="32"/>
      <c r="NH309" s="32"/>
      <c r="NI309" s="32"/>
      <c r="NJ309" s="32"/>
      <c r="NK309" s="32"/>
      <c r="NL309" s="32"/>
      <c r="NM309" s="32"/>
      <c r="NN309" s="32"/>
      <c r="NO309" s="32"/>
      <c r="NP309" s="32"/>
      <c r="NQ309" s="32"/>
      <c r="NR309" s="32"/>
      <c r="NS309" s="32"/>
      <c r="NT309" s="32"/>
      <c r="NU309" s="32"/>
      <c r="NV309" s="32"/>
      <c r="NW309" s="32"/>
      <c r="NX309" s="32"/>
      <c r="NY309" s="32"/>
      <c r="NZ309" s="32"/>
      <c r="OA309" s="32"/>
      <c r="OB309" s="32"/>
      <c r="OC309" s="32"/>
      <c r="OD309" s="32"/>
      <c r="OE309" s="32"/>
      <c r="OF309" s="32"/>
      <c r="OG309" s="32"/>
      <c r="OH309" s="32"/>
      <c r="OI309" s="32"/>
      <c r="OJ309" s="32"/>
      <c r="OK309" s="32"/>
      <c r="OL309" s="32"/>
      <c r="OM309" s="32"/>
      <c r="ON309" s="32"/>
      <c r="OO309" s="32"/>
      <c r="OP309" s="32"/>
      <c r="OQ309" s="32"/>
      <c r="OR309" s="32"/>
      <c r="OS309" s="32"/>
      <c r="OT309" s="32"/>
      <c r="OU309" s="32"/>
      <c r="OV309" s="32"/>
      <c r="OW309" s="32"/>
      <c r="OX309" s="32"/>
      <c r="OY309" s="32"/>
      <c r="OZ309" s="32"/>
      <c r="PA309" s="32"/>
      <c r="PB309" s="32"/>
      <c r="PC309" s="32"/>
      <c r="PD309" s="32"/>
      <c r="PE309" s="32"/>
      <c r="PF309" s="32"/>
      <c r="PG309" s="32"/>
      <c r="PH309" s="32"/>
      <c r="PI309" s="32"/>
      <c r="PJ309" s="32"/>
      <c r="PK309" s="32"/>
      <c r="PL309" s="32"/>
      <c r="PM309" s="32"/>
      <c r="PN309" s="32"/>
      <c r="PO309" s="32"/>
      <c r="PP309" s="32"/>
      <c r="PQ309" s="32"/>
      <c r="PR309" s="32"/>
      <c r="PS309" s="32"/>
      <c r="PT309" s="32"/>
      <c r="PU309" s="32"/>
      <c r="PV309" s="32"/>
      <c r="PW309" s="32"/>
      <c r="PX309" s="32"/>
      <c r="PY309" s="32"/>
      <c r="PZ309" s="32"/>
      <c r="QA309" s="32"/>
      <c r="QB309" s="32"/>
      <c r="QC309" s="32"/>
      <c r="QD309" s="32"/>
      <c r="QE309" s="32"/>
      <c r="QF309" s="32"/>
      <c r="QG309" s="32"/>
      <c r="QH309" s="32"/>
      <c r="QI309" s="32"/>
      <c r="QJ309" s="32"/>
      <c r="QK309" s="32"/>
      <c r="QL309" s="32"/>
      <c r="QM309" s="32"/>
      <c r="QN309" s="32"/>
      <c r="QO309" s="32"/>
      <c r="QP309" s="32"/>
      <c r="QQ309" s="32"/>
      <c r="QR309" s="32"/>
      <c r="QS309" s="32"/>
      <c r="QT309" s="32"/>
      <c r="QU309" s="32"/>
      <c r="QV309" s="32"/>
      <c r="QW309" s="32"/>
      <c r="QX309" s="32"/>
      <c r="QY309" s="32"/>
      <c r="QZ309" s="32"/>
      <c r="RA309" s="32"/>
      <c r="RB309" s="32"/>
      <c r="RC309" s="32"/>
      <c r="RD309" s="32"/>
      <c r="RE309" s="32"/>
      <c r="RF309" s="32"/>
      <c r="RG309" s="32"/>
      <c r="RH309" s="32"/>
      <c r="RI309" s="32"/>
      <c r="RJ309" s="32"/>
      <c r="RK309" s="32"/>
      <c r="RL309" s="32"/>
      <c r="RM309" s="32"/>
      <c r="RN309" s="32"/>
      <c r="RO309" s="32"/>
      <c r="RP309" s="32"/>
      <c r="RQ309" s="32"/>
      <c r="RR309" s="32"/>
      <c r="RS309" s="32"/>
      <c r="RT309" s="32"/>
      <c r="RU309" s="32"/>
      <c r="RV309" s="32"/>
      <c r="RW309" s="32"/>
      <c r="RX309" s="32"/>
      <c r="RY309" s="32"/>
      <c r="RZ309" s="32"/>
      <c r="SA309" s="32"/>
      <c r="SB309" s="32"/>
      <c r="SC309" s="32"/>
      <c r="SD309" s="32"/>
      <c r="SE309" s="32"/>
      <c r="SF309" s="32"/>
      <c r="SG309" s="32"/>
      <c r="SH309" s="32"/>
      <c r="SI309" s="32"/>
      <c r="SJ309" s="32"/>
      <c r="SK309" s="32"/>
      <c r="SL309" s="32"/>
      <c r="SM309" s="32"/>
      <c r="SN309" s="32"/>
      <c r="SO309" s="32"/>
      <c r="SP309" s="32"/>
      <c r="SQ309" s="32"/>
      <c r="SR309" s="32"/>
      <c r="SS309" s="32"/>
      <c r="ST309" s="32"/>
      <c r="SU309" s="32"/>
      <c r="SV309" s="32"/>
      <c r="SW309" s="32"/>
      <c r="SX309" s="32"/>
      <c r="SY309" s="32"/>
      <c r="SZ309" s="32"/>
      <c r="TA309" s="32"/>
      <c r="TB309" s="32"/>
      <c r="TC309" s="32"/>
      <c r="TD309" s="32"/>
      <c r="TE309" s="32"/>
      <c r="TF309" s="32"/>
      <c r="TG309" s="32"/>
    </row>
    <row r="310" spans="1:527" s="34" customFormat="1" ht="34.5" customHeight="1" x14ac:dyDescent="0.25">
      <c r="A310" s="96" t="s">
        <v>219</v>
      </c>
      <c r="B310" s="109"/>
      <c r="C310" s="109"/>
      <c r="D310" s="77" t="s">
        <v>41</v>
      </c>
      <c r="E310" s="98">
        <f>SUM(E311+E312+E313+E315+E316+E317+E318+E314)</f>
        <v>141448711.44</v>
      </c>
      <c r="F310" s="98">
        <f t="shared" ref="F310:P310" si="177">SUM(F311+F312+F313+F315+F316+F317+F318+F314)</f>
        <v>122820052</v>
      </c>
      <c r="G310" s="98">
        <f t="shared" si="177"/>
        <v>15760200</v>
      </c>
      <c r="H310" s="98">
        <f t="shared" si="177"/>
        <v>376173</v>
      </c>
      <c r="I310" s="98">
        <f t="shared" si="177"/>
        <v>0</v>
      </c>
      <c r="J310" s="98">
        <f t="shared" si="177"/>
        <v>502000</v>
      </c>
      <c r="K310" s="98">
        <f t="shared" si="177"/>
        <v>0</v>
      </c>
      <c r="L310" s="98">
        <f t="shared" si="177"/>
        <v>502000</v>
      </c>
      <c r="M310" s="98">
        <f t="shared" si="177"/>
        <v>0</v>
      </c>
      <c r="N310" s="98">
        <f t="shared" si="177"/>
        <v>0</v>
      </c>
      <c r="O310" s="98">
        <f t="shared" si="177"/>
        <v>0</v>
      </c>
      <c r="P310" s="98">
        <f t="shared" si="177"/>
        <v>141950711.44</v>
      </c>
      <c r="Q310" s="33"/>
      <c r="R310" s="32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  <c r="IV310" s="33"/>
      <c r="IW310" s="33"/>
      <c r="IX310" s="33"/>
      <c r="IY310" s="33"/>
      <c r="IZ310" s="33"/>
      <c r="JA310" s="33"/>
      <c r="JB310" s="33"/>
      <c r="JC310" s="33"/>
      <c r="JD310" s="33"/>
      <c r="JE310" s="33"/>
      <c r="JF310" s="33"/>
      <c r="JG310" s="33"/>
      <c r="JH310" s="33"/>
      <c r="JI310" s="33"/>
      <c r="JJ310" s="33"/>
      <c r="JK310" s="33"/>
      <c r="JL310" s="33"/>
      <c r="JM310" s="33"/>
      <c r="JN310" s="33"/>
      <c r="JO310" s="33"/>
      <c r="JP310" s="33"/>
      <c r="JQ310" s="33"/>
      <c r="JR310" s="33"/>
      <c r="JS310" s="33"/>
      <c r="JT310" s="33"/>
      <c r="JU310" s="33"/>
      <c r="JV310" s="33"/>
      <c r="JW310" s="33"/>
      <c r="JX310" s="33"/>
      <c r="JY310" s="33"/>
      <c r="JZ310" s="33"/>
      <c r="KA310" s="33"/>
      <c r="KB310" s="33"/>
      <c r="KC310" s="33"/>
      <c r="KD310" s="33"/>
      <c r="KE310" s="33"/>
      <c r="KF310" s="33"/>
      <c r="KG310" s="33"/>
      <c r="KH310" s="33"/>
      <c r="KI310" s="33"/>
      <c r="KJ310" s="33"/>
      <c r="KK310" s="33"/>
      <c r="KL310" s="33"/>
      <c r="KM310" s="33"/>
      <c r="KN310" s="33"/>
      <c r="KO310" s="33"/>
      <c r="KP310" s="33"/>
      <c r="KQ310" s="33"/>
      <c r="KR310" s="33"/>
      <c r="KS310" s="33"/>
      <c r="KT310" s="33"/>
      <c r="KU310" s="33"/>
      <c r="KV310" s="33"/>
      <c r="KW310" s="33"/>
      <c r="KX310" s="33"/>
      <c r="KY310" s="33"/>
      <c r="KZ310" s="33"/>
      <c r="LA310" s="33"/>
      <c r="LB310" s="33"/>
      <c r="LC310" s="33"/>
      <c r="LD310" s="33"/>
      <c r="LE310" s="33"/>
      <c r="LF310" s="33"/>
      <c r="LG310" s="33"/>
      <c r="LH310" s="33"/>
      <c r="LI310" s="33"/>
      <c r="LJ310" s="33"/>
      <c r="LK310" s="33"/>
      <c r="LL310" s="33"/>
      <c r="LM310" s="33"/>
      <c r="LN310" s="33"/>
      <c r="LO310" s="33"/>
      <c r="LP310" s="33"/>
      <c r="LQ310" s="33"/>
      <c r="LR310" s="33"/>
      <c r="LS310" s="33"/>
      <c r="LT310" s="33"/>
      <c r="LU310" s="33"/>
      <c r="LV310" s="33"/>
      <c r="LW310" s="33"/>
      <c r="LX310" s="33"/>
      <c r="LY310" s="33"/>
      <c r="LZ310" s="33"/>
      <c r="MA310" s="33"/>
      <c r="MB310" s="33"/>
      <c r="MC310" s="33"/>
      <c r="MD310" s="33"/>
      <c r="ME310" s="33"/>
      <c r="MF310" s="33"/>
      <c r="MG310" s="33"/>
      <c r="MH310" s="33"/>
      <c r="MI310" s="33"/>
      <c r="MJ310" s="33"/>
      <c r="MK310" s="33"/>
      <c r="ML310" s="33"/>
      <c r="MM310" s="33"/>
      <c r="MN310" s="33"/>
      <c r="MO310" s="33"/>
      <c r="MP310" s="33"/>
      <c r="MQ310" s="33"/>
      <c r="MR310" s="33"/>
      <c r="MS310" s="33"/>
      <c r="MT310" s="33"/>
      <c r="MU310" s="33"/>
      <c r="MV310" s="33"/>
      <c r="MW310" s="33"/>
      <c r="MX310" s="33"/>
      <c r="MY310" s="33"/>
      <c r="MZ310" s="33"/>
      <c r="NA310" s="33"/>
      <c r="NB310" s="33"/>
      <c r="NC310" s="33"/>
      <c r="ND310" s="33"/>
      <c r="NE310" s="33"/>
      <c r="NF310" s="33"/>
      <c r="NG310" s="33"/>
      <c r="NH310" s="33"/>
      <c r="NI310" s="33"/>
      <c r="NJ310" s="33"/>
      <c r="NK310" s="33"/>
      <c r="NL310" s="33"/>
      <c r="NM310" s="33"/>
      <c r="NN310" s="33"/>
      <c r="NO310" s="33"/>
      <c r="NP310" s="33"/>
      <c r="NQ310" s="33"/>
      <c r="NR310" s="33"/>
      <c r="NS310" s="33"/>
      <c r="NT310" s="33"/>
      <c r="NU310" s="33"/>
      <c r="NV310" s="33"/>
      <c r="NW310" s="33"/>
      <c r="NX310" s="33"/>
      <c r="NY310" s="33"/>
      <c r="NZ310" s="33"/>
      <c r="OA310" s="33"/>
      <c r="OB310" s="33"/>
      <c r="OC310" s="33"/>
      <c r="OD310" s="33"/>
      <c r="OE310" s="33"/>
      <c r="OF310" s="33"/>
      <c r="OG310" s="33"/>
      <c r="OH310" s="33"/>
      <c r="OI310" s="33"/>
      <c r="OJ310" s="33"/>
      <c r="OK310" s="33"/>
      <c r="OL310" s="33"/>
      <c r="OM310" s="33"/>
      <c r="ON310" s="33"/>
      <c r="OO310" s="33"/>
      <c r="OP310" s="33"/>
      <c r="OQ310" s="33"/>
      <c r="OR310" s="33"/>
      <c r="OS310" s="33"/>
      <c r="OT310" s="33"/>
      <c r="OU310" s="33"/>
      <c r="OV310" s="33"/>
      <c r="OW310" s="33"/>
      <c r="OX310" s="33"/>
      <c r="OY310" s="33"/>
      <c r="OZ310" s="33"/>
      <c r="PA310" s="33"/>
      <c r="PB310" s="33"/>
      <c r="PC310" s="33"/>
      <c r="PD310" s="33"/>
      <c r="PE310" s="33"/>
      <c r="PF310" s="33"/>
      <c r="PG310" s="33"/>
      <c r="PH310" s="33"/>
      <c r="PI310" s="33"/>
      <c r="PJ310" s="33"/>
      <c r="PK310" s="33"/>
      <c r="PL310" s="33"/>
      <c r="PM310" s="33"/>
      <c r="PN310" s="33"/>
      <c r="PO310" s="33"/>
      <c r="PP310" s="33"/>
      <c r="PQ310" s="33"/>
      <c r="PR310" s="33"/>
      <c r="PS310" s="33"/>
      <c r="PT310" s="33"/>
      <c r="PU310" s="33"/>
      <c r="PV310" s="33"/>
      <c r="PW310" s="33"/>
      <c r="PX310" s="33"/>
      <c r="PY310" s="33"/>
      <c r="PZ310" s="33"/>
      <c r="QA310" s="33"/>
      <c r="QB310" s="33"/>
      <c r="QC310" s="33"/>
      <c r="QD310" s="33"/>
      <c r="QE310" s="33"/>
      <c r="QF310" s="33"/>
      <c r="QG310" s="33"/>
      <c r="QH310" s="33"/>
      <c r="QI310" s="33"/>
      <c r="QJ310" s="33"/>
      <c r="QK310" s="33"/>
      <c r="QL310" s="33"/>
      <c r="QM310" s="33"/>
      <c r="QN310" s="33"/>
      <c r="QO310" s="33"/>
      <c r="QP310" s="33"/>
      <c r="QQ310" s="33"/>
      <c r="QR310" s="33"/>
      <c r="QS310" s="33"/>
      <c r="QT310" s="33"/>
      <c r="QU310" s="33"/>
      <c r="QV310" s="33"/>
      <c r="QW310" s="33"/>
      <c r="QX310" s="33"/>
      <c r="QY310" s="33"/>
      <c r="QZ310" s="33"/>
      <c r="RA310" s="33"/>
      <c r="RB310" s="33"/>
      <c r="RC310" s="33"/>
      <c r="RD310" s="33"/>
      <c r="RE310" s="33"/>
      <c r="RF310" s="33"/>
      <c r="RG310" s="33"/>
      <c r="RH310" s="33"/>
      <c r="RI310" s="33"/>
      <c r="RJ310" s="33"/>
      <c r="RK310" s="33"/>
      <c r="RL310" s="33"/>
      <c r="RM310" s="33"/>
      <c r="RN310" s="33"/>
      <c r="RO310" s="33"/>
      <c r="RP310" s="33"/>
      <c r="RQ310" s="33"/>
      <c r="RR310" s="33"/>
      <c r="RS310" s="33"/>
      <c r="RT310" s="33"/>
      <c r="RU310" s="33"/>
      <c r="RV310" s="33"/>
      <c r="RW310" s="33"/>
      <c r="RX310" s="33"/>
      <c r="RY310" s="33"/>
      <c r="RZ310" s="33"/>
      <c r="SA310" s="33"/>
      <c r="SB310" s="33"/>
      <c r="SC310" s="33"/>
      <c r="SD310" s="33"/>
      <c r="SE310" s="33"/>
      <c r="SF310" s="33"/>
      <c r="SG310" s="33"/>
      <c r="SH310" s="33"/>
      <c r="SI310" s="33"/>
      <c r="SJ310" s="33"/>
      <c r="SK310" s="33"/>
      <c r="SL310" s="33"/>
      <c r="SM310" s="33"/>
      <c r="SN310" s="33"/>
      <c r="SO310" s="33"/>
      <c r="SP310" s="33"/>
      <c r="SQ310" s="33"/>
      <c r="SR310" s="33"/>
      <c r="SS310" s="33"/>
      <c r="ST310" s="33"/>
      <c r="SU310" s="33"/>
      <c r="SV310" s="33"/>
      <c r="SW310" s="33"/>
      <c r="SX310" s="33"/>
      <c r="SY310" s="33"/>
      <c r="SZ310" s="33"/>
      <c r="TA310" s="33"/>
      <c r="TB310" s="33"/>
      <c r="TC310" s="33"/>
      <c r="TD310" s="33"/>
      <c r="TE310" s="33"/>
      <c r="TF310" s="33"/>
      <c r="TG310" s="33"/>
    </row>
    <row r="311" spans="1:527" s="22" customFormat="1" ht="46.5" customHeight="1" x14ac:dyDescent="0.25">
      <c r="A311" s="59" t="s">
        <v>220</v>
      </c>
      <c r="B311" s="93" t="str">
        <f>'дод 8'!A19</f>
        <v>0160</v>
      </c>
      <c r="C311" s="93" t="str">
        <f>'дод 8'!B19</f>
        <v>0111</v>
      </c>
      <c r="D311" s="36" t="s">
        <v>494</v>
      </c>
      <c r="E311" s="99">
        <f t="shared" ref="E311:E316" si="178">F311+I311</f>
        <v>20250573</v>
      </c>
      <c r="F311" s="99">
        <f>20122100+1000000-1000000+10000+14573+103900</f>
        <v>20250573</v>
      </c>
      <c r="G311" s="99">
        <f>15760200</f>
        <v>15760200</v>
      </c>
      <c r="H311" s="99">
        <f>257700+14573+103900</f>
        <v>376173</v>
      </c>
      <c r="I311" s="99"/>
      <c r="J311" s="99">
        <f>L311+O311</f>
        <v>0</v>
      </c>
      <c r="K311" s="99"/>
      <c r="L311" s="99"/>
      <c r="M311" s="99"/>
      <c r="N311" s="99"/>
      <c r="O311" s="99"/>
      <c r="P311" s="99">
        <f t="shared" ref="P311:P318" si="179">E311+J311</f>
        <v>20250573</v>
      </c>
      <c r="Q311" s="23"/>
      <c r="R311" s="32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  <c r="TF311" s="23"/>
      <c r="TG311" s="23"/>
    </row>
    <row r="312" spans="1:527" s="22" customFormat="1" ht="21" customHeight="1" x14ac:dyDescent="0.25">
      <c r="A312" s="59" t="s">
        <v>258</v>
      </c>
      <c r="B312" s="93" t="str">
        <f>'дод 8'!A215</f>
        <v>7640</v>
      </c>
      <c r="C312" s="93" t="str">
        <f>'дод 8'!B215</f>
        <v>0470</v>
      </c>
      <c r="D312" s="60" t="s">
        <v>422</v>
      </c>
      <c r="E312" s="99">
        <f t="shared" si="178"/>
        <v>330040</v>
      </c>
      <c r="F312" s="99">
        <f>426000-9800-70000-16160</f>
        <v>330040</v>
      </c>
      <c r="G312" s="99"/>
      <c r="H312" s="99"/>
      <c r="I312" s="99"/>
      <c r="J312" s="99">
        <f t="shared" ref="J312:J318" si="180">L312+O312</f>
        <v>0</v>
      </c>
      <c r="K312" s="99"/>
      <c r="L312" s="99"/>
      <c r="M312" s="99"/>
      <c r="N312" s="99"/>
      <c r="O312" s="99"/>
      <c r="P312" s="99">
        <f t="shared" si="179"/>
        <v>330040</v>
      </c>
      <c r="Q312" s="23"/>
      <c r="R312" s="32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  <c r="TF312" s="23"/>
      <c r="TG312" s="23"/>
    </row>
    <row r="313" spans="1:527" s="22" customFormat="1" ht="29.25" customHeight="1" x14ac:dyDescent="0.25">
      <c r="A313" s="59" t="s">
        <v>330</v>
      </c>
      <c r="B313" s="93" t="str">
        <f>'дод 8'!A223</f>
        <v>7693</v>
      </c>
      <c r="C313" s="93" t="str">
        <f>'дод 8'!B223</f>
        <v>0490</v>
      </c>
      <c r="D313" s="60" t="str">
        <f>'дод 8'!C223</f>
        <v>Інші заходи, пов'язані з економічною діяльністю</v>
      </c>
      <c r="E313" s="99">
        <f t="shared" si="178"/>
        <v>207500</v>
      </c>
      <c r="F313" s="99">
        <f>483750-130750-10000-50000-85500</f>
        <v>207500</v>
      </c>
      <c r="G313" s="99"/>
      <c r="H313" s="99"/>
      <c r="I313" s="99"/>
      <c r="J313" s="99">
        <f t="shared" si="180"/>
        <v>0</v>
      </c>
      <c r="K313" s="99"/>
      <c r="L313" s="99"/>
      <c r="M313" s="99"/>
      <c r="N313" s="99"/>
      <c r="O313" s="99"/>
      <c r="P313" s="99">
        <f t="shared" si="179"/>
        <v>207500</v>
      </c>
      <c r="Q313" s="23"/>
      <c r="R313" s="32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  <c r="TF313" s="23"/>
      <c r="TG313" s="23"/>
    </row>
    <row r="314" spans="1:527" s="22" customFormat="1" ht="42.75" customHeight="1" x14ac:dyDescent="0.25">
      <c r="A314" s="59">
        <v>3718330</v>
      </c>
      <c r="B314" s="93">
        <f>'дод 8'!A236</f>
        <v>8330</v>
      </c>
      <c r="C314" s="59" t="s">
        <v>92</v>
      </c>
      <c r="D314" s="60" t="str">
        <f>'дод 8'!C236</f>
        <v xml:space="preserve">Інша діяльність у сфері екології та охорони природних ресурсів </v>
      </c>
      <c r="E314" s="99">
        <f t="shared" si="178"/>
        <v>75000</v>
      </c>
      <c r="F314" s="99">
        <v>75000</v>
      </c>
      <c r="G314" s="99"/>
      <c r="H314" s="99"/>
      <c r="I314" s="99"/>
      <c r="J314" s="99">
        <f t="shared" si="180"/>
        <v>0</v>
      </c>
      <c r="K314" s="99"/>
      <c r="L314" s="99"/>
      <c r="M314" s="99"/>
      <c r="N314" s="99"/>
      <c r="O314" s="99"/>
      <c r="P314" s="99">
        <f t="shared" si="179"/>
        <v>75000</v>
      </c>
      <c r="Q314" s="23"/>
      <c r="R314" s="32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  <c r="TF314" s="23"/>
      <c r="TG314" s="23"/>
    </row>
    <row r="315" spans="1:527" s="22" customFormat="1" ht="30.75" customHeight="1" x14ac:dyDescent="0.25">
      <c r="A315" s="59" t="s">
        <v>221</v>
      </c>
      <c r="B315" s="93" t="str">
        <f>'дод 8'!A237</f>
        <v>8340</v>
      </c>
      <c r="C315" s="59" t="str">
        <f>'дод 8'!B237</f>
        <v>0540</v>
      </c>
      <c r="D315" s="60" t="str">
        <f>'дод 8'!C237</f>
        <v>Природоохоронні заходи за рахунок цільових фондів</v>
      </c>
      <c r="E315" s="99">
        <f t="shared" si="178"/>
        <v>0</v>
      </c>
      <c r="F315" s="99"/>
      <c r="G315" s="99"/>
      <c r="H315" s="99"/>
      <c r="I315" s="99"/>
      <c r="J315" s="99">
        <f t="shared" si="180"/>
        <v>502000</v>
      </c>
      <c r="K315" s="99"/>
      <c r="L315" s="99">
        <f>103000+399000</f>
        <v>502000</v>
      </c>
      <c r="M315" s="99"/>
      <c r="N315" s="99"/>
      <c r="O315" s="99"/>
      <c r="P315" s="99">
        <f t="shared" si="179"/>
        <v>502000</v>
      </c>
      <c r="Q315" s="23"/>
      <c r="R315" s="32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  <c r="TF315" s="23"/>
      <c r="TG315" s="23"/>
    </row>
    <row r="316" spans="1:527" s="22" customFormat="1" ht="21.75" customHeight="1" x14ac:dyDescent="0.25">
      <c r="A316" s="59" t="s">
        <v>222</v>
      </c>
      <c r="B316" s="93" t="str">
        <f>'дод 8'!A240</f>
        <v>8600</v>
      </c>
      <c r="C316" s="93" t="str">
        <f>'дод 8'!B240</f>
        <v>0170</v>
      </c>
      <c r="D316" s="60" t="str">
        <f>'дод 8'!C240</f>
        <v>Обслуговування місцевого боргу</v>
      </c>
      <c r="E316" s="99">
        <f t="shared" si="178"/>
        <v>1086239</v>
      </c>
      <c r="F316" s="99">
        <f>1833489+130750-878000</f>
        <v>1086239</v>
      </c>
      <c r="G316" s="99"/>
      <c r="H316" s="99"/>
      <c r="I316" s="99"/>
      <c r="J316" s="99">
        <f t="shared" si="180"/>
        <v>0</v>
      </c>
      <c r="K316" s="99"/>
      <c r="L316" s="99"/>
      <c r="M316" s="99"/>
      <c r="N316" s="99"/>
      <c r="O316" s="99"/>
      <c r="P316" s="99">
        <f t="shared" si="179"/>
        <v>1086239</v>
      </c>
      <c r="Q316" s="23"/>
      <c r="R316" s="32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  <c r="TF316" s="23"/>
      <c r="TG316" s="23"/>
    </row>
    <row r="317" spans="1:527" s="22" customFormat="1" ht="22.5" customHeight="1" x14ac:dyDescent="0.25">
      <c r="A317" s="59" t="s">
        <v>517</v>
      </c>
      <c r="B317" s="93">
        <v>8710</v>
      </c>
      <c r="C317" s="93" t="str">
        <f>'дод 8'!B241</f>
        <v>0133</v>
      </c>
      <c r="D317" s="60" t="str">
        <f>'дод 8'!C241</f>
        <v>Резервний фонд місцевого бюджету</v>
      </c>
      <c r="E317" s="99">
        <f>16076686.44+30260-2902100-6378100+81980-1553963+117260-370000-4100550-30000-1773800-1500000-1764511-50000+18143581-134000-2214239-49500-6050358-1200000+14335013-35000-50000</f>
        <v>18628659.439999998</v>
      </c>
      <c r="F317" s="99"/>
      <c r="G317" s="99"/>
      <c r="H317" s="99"/>
      <c r="I317" s="99"/>
      <c r="J317" s="99">
        <f t="shared" si="180"/>
        <v>0</v>
      </c>
      <c r="K317" s="99"/>
      <c r="L317" s="99"/>
      <c r="M317" s="99"/>
      <c r="N317" s="99"/>
      <c r="O317" s="99"/>
      <c r="P317" s="99">
        <f t="shared" si="179"/>
        <v>18628659.439999998</v>
      </c>
      <c r="Q317" s="23"/>
      <c r="R317" s="32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  <c r="SQ317" s="23"/>
      <c r="SR317" s="23"/>
      <c r="SS317" s="23"/>
      <c r="ST317" s="23"/>
      <c r="SU317" s="23"/>
      <c r="SV317" s="23"/>
      <c r="SW317" s="23"/>
      <c r="SX317" s="23"/>
      <c r="SY317" s="23"/>
      <c r="SZ317" s="23"/>
      <c r="TA317" s="23"/>
      <c r="TB317" s="23"/>
      <c r="TC317" s="23"/>
      <c r="TD317" s="23"/>
      <c r="TE317" s="23"/>
      <c r="TF317" s="23"/>
      <c r="TG317" s="23"/>
    </row>
    <row r="318" spans="1:527" s="22" customFormat="1" ht="24.75" customHeight="1" x14ac:dyDescent="0.25">
      <c r="A318" s="59" t="s">
        <v>232</v>
      </c>
      <c r="B318" s="93" t="str">
        <f>'дод 8'!A245</f>
        <v>9110</v>
      </c>
      <c r="C318" s="93" t="str">
        <f>'дод 8'!B245</f>
        <v>0180</v>
      </c>
      <c r="D318" s="60" t="str">
        <f>'дод 8'!C245</f>
        <v>Реверсна дотація</v>
      </c>
      <c r="E318" s="99">
        <f>F318+I318</f>
        <v>100870700</v>
      </c>
      <c r="F318" s="99">
        <v>100870700</v>
      </c>
      <c r="G318" s="99"/>
      <c r="H318" s="99"/>
      <c r="I318" s="99"/>
      <c r="J318" s="99">
        <f t="shared" si="180"/>
        <v>0</v>
      </c>
      <c r="K318" s="99"/>
      <c r="L318" s="99"/>
      <c r="M318" s="99"/>
      <c r="N318" s="99"/>
      <c r="O318" s="99"/>
      <c r="P318" s="99">
        <f t="shared" si="179"/>
        <v>100870700</v>
      </c>
      <c r="Q318" s="23"/>
      <c r="R318" s="32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  <c r="IW318" s="23"/>
      <c r="IX318" s="23"/>
      <c r="IY318" s="23"/>
      <c r="IZ318" s="23"/>
      <c r="JA318" s="23"/>
      <c r="JB318" s="23"/>
      <c r="JC318" s="23"/>
      <c r="JD318" s="23"/>
      <c r="JE318" s="23"/>
      <c r="JF318" s="23"/>
      <c r="JG318" s="23"/>
      <c r="JH318" s="23"/>
      <c r="JI318" s="23"/>
      <c r="JJ318" s="23"/>
      <c r="JK318" s="23"/>
      <c r="JL318" s="23"/>
      <c r="JM318" s="23"/>
      <c r="JN318" s="23"/>
      <c r="JO318" s="23"/>
      <c r="JP318" s="23"/>
      <c r="JQ318" s="23"/>
      <c r="JR318" s="23"/>
      <c r="JS318" s="23"/>
      <c r="JT318" s="23"/>
      <c r="JU318" s="23"/>
      <c r="JV318" s="23"/>
      <c r="JW318" s="23"/>
      <c r="JX318" s="23"/>
      <c r="JY318" s="23"/>
      <c r="JZ318" s="23"/>
      <c r="KA318" s="23"/>
      <c r="KB318" s="23"/>
      <c r="KC318" s="23"/>
      <c r="KD318" s="23"/>
      <c r="KE318" s="23"/>
      <c r="KF318" s="23"/>
      <c r="KG318" s="23"/>
      <c r="KH318" s="23"/>
      <c r="KI318" s="23"/>
      <c r="KJ318" s="23"/>
      <c r="KK318" s="23"/>
      <c r="KL318" s="23"/>
      <c r="KM318" s="23"/>
      <c r="KN318" s="23"/>
      <c r="KO318" s="23"/>
      <c r="KP318" s="23"/>
      <c r="KQ318" s="23"/>
      <c r="KR318" s="23"/>
      <c r="KS318" s="23"/>
      <c r="KT318" s="23"/>
      <c r="KU318" s="23"/>
      <c r="KV318" s="23"/>
      <c r="KW318" s="23"/>
      <c r="KX318" s="23"/>
      <c r="KY318" s="23"/>
      <c r="KZ318" s="23"/>
      <c r="LA318" s="23"/>
      <c r="LB318" s="23"/>
      <c r="LC318" s="23"/>
      <c r="LD318" s="23"/>
      <c r="LE318" s="23"/>
      <c r="LF318" s="23"/>
      <c r="LG318" s="23"/>
      <c r="LH318" s="23"/>
      <c r="LI318" s="23"/>
      <c r="LJ318" s="23"/>
      <c r="LK318" s="23"/>
      <c r="LL318" s="23"/>
      <c r="LM318" s="23"/>
      <c r="LN318" s="23"/>
      <c r="LO318" s="23"/>
      <c r="LP318" s="23"/>
      <c r="LQ318" s="23"/>
      <c r="LR318" s="23"/>
      <c r="LS318" s="23"/>
      <c r="LT318" s="23"/>
      <c r="LU318" s="23"/>
      <c r="LV318" s="23"/>
      <c r="LW318" s="23"/>
      <c r="LX318" s="23"/>
      <c r="LY318" s="23"/>
      <c r="LZ318" s="23"/>
      <c r="MA318" s="23"/>
      <c r="MB318" s="23"/>
      <c r="MC318" s="23"/>
      <c r="MD318" s="23"/>
      <c r="ME318" s="23"/>
      <c r="MF318" s="23"/>
      <c r="MG318" s="23"/>
      <c r="MH318" s="23"/>
      <c r="MI318" s="23"/>
      <c r="MJ318" s="23"/>
      <c r="MK318" s="23"/>
      <c r="ML318" s="23"/>
      <c r="MM318" s="23"/>
      <c r="MN318" s="23"/>
      <c r="MO318" s="23"/>
      <c r="MP318" s="23"/>
      <c r="MQ318" s="23"/>
      <c r="MR318" s="23"/>
      <c r="MS318" s="23"/>
      <c r="MT318" s="23"/>
      <c r="MU318" s="23"/>
      <c r="MV318" s="23"/>
      <c r="MW318" s="23"/>
      <c r="MX318" s="23"/>
      <c r="MY318" s="23"/>
      <c r="MZ318" s="23"/>
      <c r="NA318" s="23"/>
      <c r="NB318" s="23"/>
      <c r="NC318" s="23"/>
      <c r="ND318" s="23"/>
      <c r="NE318" s="23"/>
      <c r="NF318" s="23"/>
      <c r="NG318" s="23"/>
      <c r="NH318" s="23"/>
      <c r="NI318" s="23"/>
      <c r="NJ318" s="23"/>
      <c r="NK318" s="23"/>
      <c r="NL318" s="23"/>
      <c r="NM318" s="23"/>
      <c r="NN318" s="23"/>
      <c r="NO318" s="23"/>
      <c r="NP318" s="23"/>
      <c r="NQ318" s="23"/>
      <c r="NR318" s="23"/>
      <c r="NS318" s="23"/>
      <c r="NT318" s="23"/>
      <c r="NU318" s="23"/>
      <c r="NV318" s="23"/>
      <c r="NW318" s="23"/>
      <c r="NX318" s="23"/>
      <c r="NY318" s="23"/>
      <c r="NZ318" s="23"/>
      <c r="OA318" s="23"/>
      <c r="OB318" s="23"/>
      <c r="OC318" s="23"/>
      <c r="OD318" s="23"/>
      <c r="OE318" s="23"/>
      <c r="OF318" s="23"/>
      <c r="OG318" s="23"/>
      <c r="OH318" s="23"/>
      <c r="OI318" s="23"/>
      <c r="OJ318" s="23"/>
      <c r="OK318" s="23"/>
      <c r="OL318" s="23"/>
      <c r="OM318" s="23"/>
      <c r="ON318" s="23"/>
      <c r="OO318" s="23"/>
      <c r="OP318" s="23"/>
      <c r="OQ318" s="23"/>
      <c r="OR318" s="23"/>
      <c r="OS318" s="23"/>
      <c r="OT318" s="23"/>
      <c r="OU318" s="23"/>
      <c r="OV318" s="23"/>
      <c r="OW318" s="23"/>
      <c r="OX318" s="23"/>
      <c r="OY318" s="23"/>
      <c r="OZ318" s="23"/>
      <c r="PA318" s="23"/>
      <c r="PB318" s="23"/>
      <c r="PC318" s="23"/>
      <c r="PD318" s="23"/>
      <c r="PE318" s="23"/>
      <c r="PF318" s="23"/>
      <c r="PG318" s="23"/>
      <c r="PH318" s="23"/>
      <c r="PI318" s="23"/>
      <c r="PJ318" s="23"/>
      <c r="PK318" s="23"/>
      <c r="PL318" s="23"/>
      <c r="PM318" s="23"/>
      <c r="PN318" s="23"/>
      <c r="PO318" s="23"/>
      <c r="PP318" s="23"/>
      <c r="PQ318" s="23"/>
      <c r="PR318" s="23"/>
      <c r="PS318" s="23"/>
      <c r="PT318" s="23"/>
      <c r="PU318" s="23"/>
      <c r="PV318" s="23"/>
      <c r="PW318" s="23"/>
      <c r="PX318" s="23"/>
      <c r="PY318" s="23"/>
      <c r="PZ318" s="23"/>
      <c r="QA318" s="23"/>
      <c r="QB318" s="23"/>
      <c r="QC318" s="23"/>
      <c r="QD318" s="23"/>
      <c r="QE318" s="23"/>
      <c r="QF318" s="23"/>
      <c r="QG318" s="23"/>
      <c r="QH318" s="23"/>
      <c r="QI318" s="23"/>
      <c r="QJ318" s="23"/>
      <c r="QK318" s="23"/>
      <c r="QL318" s="23"/>
      <c r="QM318" s="23"/>
      <c r="QN318" s="23"/>
      <c r="QO318" s="23"/>
      <c r="QP318" s="23"/>
      <c r="QQ318" s="23"/>
      <c r="QR318" s="23"/>
      <c r="QS318" s="23"/>
      <c r="QT318" s="23"/>
      <c r="QU318" s="23"/>
      <c r="QV318" s="23"/>
      <c r="QW318" s="23"/>
      <c r="QX318" s="23"/>
      <c r="QY318" s="23"/>
      <c r="QZ318" s="23"/>
      <c r="RA318" s="23"/>
      <c r="RB318" s="23"/>
      <c r="RC318" s="23"/>
      <c r="RD318" s="23"/>
      <c r="RE318" s="23"/>
      <c r="RF318" s="23"/>
      <c r="RG318" s="23"/>
      <c r="RH318" s="23"/>
      <c r="RI318" s="23"/>
      <c r="RJ318" s="23"/>
      <c r="RK318" s="23"/>
      <c r="RL318" s="23"/>
      <c r="RM318" s="23"/>
      <c r="RN318" s="23"/>
      <c r="RO318" s="23"/>
      <c r="RP318" s="23"/>
      <c r="RQ318" s="23"/>
      <c r="RR318" s="23"/>
      <c r="RS318" s="23"/>
      <c r="RT318" s="23"/>
      <c r="RU318" s="23"/>
      <c r="RV318" s="23"/>
      <c r="RW318" s="23"/>
      <c r="RX318" s="23"/>
      <c r="RY318" s="23"/>
      <c r="RZ318" s="23"/>
      <c r="SA318" s="23"/>
      <c r="SB318" s="23"/>
      <c r="SC318" s="23"/>
      <c r="SD318" s="23"/>
      <c r="SE318" s="23"/>
      <c r="SF318" s="23"/>
      <c r="SG318" s="23"/>
      <c r="SH318" s="23"/>
      <c r="SI318" s="23"/>
      <c r="SJ318" s="23"/>
      <c r="SK318" s="23"/>
      <c r="SL318" s="23"/>
      <c r="SM318" s="23"/>
      <c r="SN318" s="23"/>
      <c r="SO318" s="23"/>
      <c r="SP318" s="23"/>
      <c r="SQ318" s="23"/>
      <c r="SR318" s="23"/>
      <c r="SS318" s="23"/>
      <c r="ST318" s="23"/>
      <c r="SU318" s="23"/>
      <c r="SV318" s="23"/>
      <c r="SW318" s="23"/>
      <c r="SX318" s="23"/>
      <c r="SY318" s="23"/>
      <c r="SZ318" s="23"/>
      <c r="TA318" s="23"/>
      <c r="TB318" s="23"/>
      <c r="TC318" s="23"/>
      <c r="TD318" s="23"/>
      <c r="TE318" s="23"/>
      <c r="TF318" s="23"/>
      <c r="TG318" s="23"/>
    </row>
    <row r="319" spans="1:527" s="27" customFormat="1" ht="22.5" customHeight="1" x14ac:dyDescent="0.25">
      <c r="A319" s="118"/>
      <c r="B319" s="112"/>
      <c r="C319" s="150"/>
      <c r="D319" s="107" t="s">
        <v>408</v>
      </c>
      <c r="E319" s="95">
        <f t="shared" ref="E319:P319" si="181">E17+E63+E127+E161+E202+E210+E221+E265+E268+E288+E295+E298+E306+E309</f>
        <v>2340241122.8400002</v>
      </c>
      <c r="F319" s="95">
        <f t="shared" si="181"/>
        <v>2226849598.9200001</v>
      </c>
      <c r="G319" s="95">
        <f t="shared" si="181"/>
        <v>1078738960</v>
      </c>
      <c r="H319" s="95">
        <f t="shared" si="181"/>
        <v>133676941</v>
      </c>
      <c r="I319" s="95">
        <f t="shared" si="181"/>
        <v>94762864.480000004</v>
      </c>
      <c r="J319" s="95">
        <f t="shared" si="181"/>
        <v>791556557.02999997</v>
      </c>
      <c r="K319" s="95">
        <f t="shared" si="181"/>
        <v>722968712.50999999</v>
      </c>
      <c r="L319" s="95">
        <f t="shared" si="181"/>
        <v>49572501.869999997</v>
      </c>
      <c r="M319" s="95">
        <f t="shared" si="181"/>
        <v>6033355</v>
      </c>
      <c r="N319" s="95">
        <f t="shared" si="181"/>
        <v>266522</v>
      </c>
      <c r="O319" s="95">
        <f t="shared" si="181"/>
        <v>741984055.15999997</v>
      </c>
      <c r="P319" s="95">
        <f t="shared" si="181"/>
        <v>3131797679.8700004</v>
      </c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  <c r="IU319" s="32"/>
      <c r="IV319" s="32"/>
      <c r="IW319" s="32"/>
      <c r="IX319" s="32"/>
      <c r="IY319" s="32"/>
      <c r="IZ319" s="32"/>
      <c r="JA319" s="32"/>
      <c r="JB319" s="32"/>
      <c r="JC319" s="32"/>
      <c r="JD319" s="32"/>
      <c r="JE319" s="32"/>
      <c r="JF319" s="32"/>
      <c r="JG319" s="32"/>
      <c r="JH319" s="32"/>
      <c r="JI319" s="32"/>
      <c r="JJ319" s="32"/>
      <c r="JK319" s="32"/>
      <c r="JL319" s="32"/>
      <c r="JM319" s="32"/>
      <c r="JN319" s="32"/>
      <c r="JO319" s="32"/>
      <c r="JP319" s="32"/>
      <c r="JQ319" s="32"/>
      <c r="JR319" s="32"/>
      <c r="JS319" s="32"/>
      <c r="JT319" s="32"/>
      <c r="JU319" s="32"/>
      <c r="JV319" s="32"/>
      <c r="JW319" s="32"/>
      <c r="JX319" s="32"/>
      <c r="JY319" s="32"/>
      <c r="JZ319" s="32"/>
      <c r="KA319" s="32"/>
      <c r="KB319" s="32"/>
      <c r="KC319" s="32"/>
      <c r="KD319" s="32"/>
      <c r="KE319" s="32"/>
      <c r="KF319" s="32"/>
      <c r="KG319" s="32"/>
      <c r="KH319" s="32"/>
      <c r="KI319" s="32"/>
      <c r="KJ319" s="32"/>
      <c r="KK319" s="32"/>
      <c r="KL319" s="32"/>
      <c r="KM319" s="32"/>
      <c r="KN319" s="32"/>
      <c r="KO319" s="32"/>
      <c r="KP319" s="32"/>
      <c r="KQ319" s="32"/>
      <c r="KR319" s="32"/>
      <c r="KS319" s="32"/>
      <c r="KT319" s="32"/>
      <c r="KU319" s="32"/>
      <c r="KV319" s="32"/>
      <c r="KW319" s="32"/>
      <c r="KX319" s="32"/>
      <c r="KY319" s="32"/>
      <c r="KZ319" s="32"/>
      <c r="LA319" s="32"/>
      <c r="LB319" s="32"/>
      <c r="LC319" s="32"/>
      <c r="LD319" s="32"/>
      <c r="LE319" s="32"/>
      <c r="LF319" s="32"/>
      <c r="LG319" s="32"/>
      <c r="LH319" s="32"/>
      <c r="LI319" s="32"/>
      <c r="LJ319" s="32"/>
      <c r="LK319" s="32"/>
      <c r="LL319" s="32"/>
      <c r="LM319" s="32"/>
      <c r="LN319" s="32"/>
      <c r="LO319" s="32"/>
      <c r="LP319" s="32"/>
      <c r="LQ319" s="32"/>
      <c r="LR319" s="32"/>
      <c r="LS319" s="32"/>
      <c r="LT319" s="32"/>
      <c r="LU319" s="32"/>
      <c r="LV319" s="32"/>
      <c r="LW319" s="32"/>
      <c r="LX319" s="32"/>
      <c r="LY319" s="32"/>
      <c r="LZ319" s="32"/>
      <c r="MA319" s="32"/>
      <c r="MB319" s="32"/>
      <c r="MC319" s="32"/>
      <c r="MD319" s="32"/>
      <c r="ME319" s="32"/>
      <c r="MF319" s="32"/>
      <c r="MG319" s="32"/>
      <c r="MH319" s="32"/>
      <c r="MI319" s="32"/>
      <c r="MJ319" s="32"/>
      <c r="MK319" s="32"/>
      <c r="ML319" s="32"/>
      <c r="MM319" s="32"/>
      <c r="MN319" s="32"/>
      <c r="MO319" s="32"/>
      <c r="MP319" s="32"/>
      <c r="MQ319" s="32"/>
      <c r="MR319" s="32"/>
      <c r="MS319" s="32"/>
      <c r="MT319" s="32"/>
      <c r="MU319" s="32"/>
      <c r="MV319" s="32"/>
      <c r="MW319" s="32"/>
      <c r="MX319" s="32"/>
      <c r="MY319" s="32"/>
      <c r="MZ319" s="32"/>
      <c r="NA319" s="32"/>
      <c r="NB319" s="32"/>
      <c r="NC319" s="32"/>
      <c r="ND319" s="32"/>
      <c r="NE319" s="32"/>
      <c r="NF319" s="32"/>
      <c r="NG319" s="32"/>
      <c r="NH319" s="32"/>
      <c r="NI319" s="32"/>
      <c r="NJ319" s="32"/>
      <c r="NK319" s="32"/>
      <c r="NL319" s="32"/>
      <c r="NM319" s="32"/>
      <c r="NN319" s="32"/>
      <c r="NO319" s="32"/>
      <c r="NP319" s="32"/>
      <c r="NQ319" s="32"/>
      <c r="NR319" s="32"/>
      <c r="NS319" s="32"/>
      <c r="NT319" s="32"/>
      <c r="NU319" s="32"/>
      <c r="NV319" s="32"/>
      <c r="NW319" s="32"/>
      <c r="NX319" s="32"/>
      <c r="NY319" s="32"/>
      <c r="NZ319" s="32"/>
      <c r="OA319" s="32"/>
      <c r="OB319" s="32"/>
      <c r="OC319" s="32"/>
      <c r="OD319" s="32"/>
      <c r="OE319" s="32"/>
      <c r="OF319" s="32"/>
      <c r="OG319" s="32"/>
      <c r="OH319" s="32"/>
      <c r="OI319" s="32"/>
      <c r="OJ319" s="32"/>
      <c r="OK319" s="32"/>
      <c r="OL319" s="32"/>
      <c r="OM319" s="32"/>
      <c r="ON319" s="32"/>
      <c r="OO319" s="32"/>
      <c r="OP319" s="32"/>
      <c r="OQ319" s="32"/>
      <c r="OR319" s="32"/>
      <c r="OS319" s="32"/>
      <c r="OT319" s="32"/>
      <c r="OU319" s="32"/>
      <c r="OV319" s="32"/>
      <c r="OW319" s="32"/>
      <c r="OX319" s="32"/>
      <c r="OY319" s="32"/>
      <c r="OZ319" s="32"/>
      <c r="PA319" s="32"/>
      <c r="PB319" s="32"/>
      <c r="PC319" s="32"/>
      <c r="PD319" s="32"/>
      <c r="PE319" s="32"/>
      <c r="PF319" s="32"/>
      <c r="PG319" s="32"/>
      <c r="PH319" s="32"/>
      <c r="PI319" s="32"/>
      <c r="PJ319" s="32"/>
      <c r="PK319" s="32"/>
      <c r="PL319" s="32"/>
      <c r="PM319" s="32"/>
      <c r="PN319" s="32"/>
      <c r="PO319" s="32"/>
      <c r="PP319" s="32"/>
      <c r="PQ319" s="32"/>
      <c r="PR319" s="32"/>
      <c r="PS319" s="32"/>
      <c r="PT319" s="32"/>
      <c r="PU319" s="32"/>
      <c r="PV319" s="32"/>
      <c r="PW319" s="32"/>
      <c r="PX319" s="32"/>
      <c r="PY319" s="32"/>
      <c r="PZ319" s="32"/>
      <c r="QA319" s="32"/>
      <c r="QB319" s="32"/>
      <c r="QC319" s="32"/>
      <c r="QD319" s="32"/>
      <c r="QE319" s="32"/>
      <c r="QF319" s="32"/>
      <c r="QG319" s="32"/>
      <c r="QH319" s="32"/>
      <c r="QI319" s="32"/>
      <c r="QJ319" s="32"/>
      <c r="QK319" s="32"/>
      <c r="QL319" s="32"/>
      <c r="QM319" s="32"/>
      <c r="QN319" s="32"/>
      <c r="QO319" s="32"/>
      <c r="QP319" s="32"/>
      <c r="QQ319" s="32"/>
      <c r="QR319" s="32"/>
      <c r="QS319" s="32"/>
      <c r="QT319" s="32"/>
      <c r="QU319" s="32"/>
      <c r="QV319" s="32"/>
      <c r="QW319" s="32"/>
      <c r="QX319" s="32"/>
      <c r="QY319" s="32"/>
      <c r="QZ319" s="32"/>
      <c r="RA319" s="32"/>
      <c r="RB319" s="32"/>
      <c r="RC319" s="32"/>
      <c r="RD319" s="32"/>
      <c r="RE319" s="32"/>
      <c r="RF319" s="32"/>
      <c r="RG319" s="32"/>
      <c r="RH319" s="32"/>
      <c r="RI319" s="32"/>
      <c r="RJ319" s="32"/>
      <c r="RK319" s="32"/>
      <c r="RL319" s="32"/>
      <c r="RM319" s="32"/>
      <c r="RN319" s="32"/>
      <c r="RO319" s="32"/>
      <c r="RP319" s="32"/>
      <c r="RQ319" s="32"/>
      <c r="RR319" s="32"/>
      <c r="RS319" s="32"/>
      <c r="RT319" s="32"/>
      <c r="RU319" s="32"/>
      <c r="RV319" s="32"/>
      <c r="RW319" s="32"/>
      <c r="RX319" s="32"/>
      <c r="RY319" s="32"/>
      <c r="RZ319" s="32"/>
      <c r="SA319" s="32"/>
      <c r="SB319" s="32"/>
      <c r="SC319" s="32"/>
      <c r="SD319" s="32"/>
      <c r="SE319" s="32"/>
      <c r="SF319" s="32"/>
      <c r="SG319" s="32"/>
      <c r="SH319" s="32"/>
      <c r="SI319" s="32"/>
      <c r="SJ319" s="32"/>
      <c r="SK319" s="32"/>
      <c r="SL319" s="32"/>
      <c r="SM319" s="32"/>
      <c r="SN319" s="32"/>
      <c r="SO319" s="32"/>
      <c r="SP319" s="32"/>
      <c r="SQ319" s="32"/>
      <c r="SR319" s="32"/>
      <c r="SS319" s="32"/>
      <c r="ST319" s="32"/>
      <c r="SU319" s="32"/>
      <c r="SV319" s="32"/>
      <c r="SW319" s="32"/>
      <c r="SX319" s="32"/>
      <c r="SY319" s="32"/>
      <c r="SZ319" s="32"/>
      <c r="TA319" s="32"/>
      <c r="TB319" s="32"/>
      <c r="TC319" s="32"/>
      <c r="TD319" s="32"/>
      <c r="TE319" s="32"/>
      <c r="TF319" s="32"/>
      <c r="TG319" s="32"/>
    </row>
    <row r="320" spans="1:527" s="34" customFormat="1" ht="39.75" customHeight="1" x14ac:dyDescent="0.25">
      <c r="A320" s="119"/>
      <c r="B320" s="109"/>
      <c r="C320" s="97"/>
      <c r="D320" s="77" t="s">
        <v>401</v>
      </c>
      <c r="E320" s="98">
        <f t="shared" ref="E320:P320" si="182">E65+E72+E224+E225+E75+E133+E74</f>
        <v>485697135.60000002</v>
      </c>
      <c r="F320" s="98">
        <f t="shared" si="182"/>
        <v>485697135.60000002</v>
      </c>
      <c r="G320" s="98">
        <f t="shared" si="182"/>
        <v>395816000</v>
      </c>
      <c r="H320" s="98">
        <f t="shared" si="182"/>
        <v>0</v>
      </c>
      <c r="I320" s="98">
        <f t="shared" si="182"/>
        <v>0</v>
      </c>
      <c r="J320" s="98">
        <f t="shared" si="182"/>
        <v>30538873.18</v>
      </c>
      <c r="K320" s="98">
        <f t="shared" si="182"/>
        <v>27045923.18</v>
      </c>
      <c r="L320" s="98">
        <f t="shared" si="182"/>
        <v>0</v>
      </c>
      <c r="M320" s="98">
        <f t="shared" si="182"/>
        <v>0</v>
      </c>
      <c r="N320" s="98">
        <f t="shared" si="182"/>
        <v>0</v>
      </c>
      <c r="O320" s="98">
        <f t="shared" si="182"/>
        <v>30538873.18</v>
      </c>
      <c r="P320" s="98">
        <f t="shared" si="182"/>
        <v>516236008.77999997</v>
      </c>
      <c r="Q320" s="33"/>
      <c r="R320" s="32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  <c r="IW320" s="33"/>
      <c r="IX320" s="33"/>
      <c r="IY320" s="33"/>
      <c r="IZ320" s="33"/>
      <c r="JA320" s="33"/>
      <c r="JB320" s="33"/>
      <c r="JC320" s="33"/>
      <c r="JD320" s="33"/>
      <c r="JE320" s="33"/>
      <c r="JF320" s="33"/>
      <c r="JG320" s="33"/>
      <c r="JH320" s="33"/>
      <c r="JI320" s="33"/>
      <c r="JJ320" s="33"/>
      <c r="JK320" s="33"/>
      <c r="JL320" s="33"/>
      <c r="JM320" s="33"/>
      <c r="JN320" s="33"/>
      <c r="JO320" s="33"/>
      <c r="JP320" s="33"/>
      <c r="JQ320" s="33"/>
      <c r="JR320" s="33"/>
      <c r="JS320" s="33"/>
      <c r="JT320" s="33"/>
      <c r="JU320" s="33"/>
      <c r="JV320" s="33"/>
      <c r="JW320" s="33"/>
      <c r="JX320" s="33"/>
      <c r="JY320" s="33"/>
      <c r="JZ320" s="33"/>
      <c r="KA320" s="33"/>
      <c r="KB320" s="33"/>
      <c r="KC320" s="33"/>
      <c r="KD320" s="33"/>
      <c r="KE320" s="33"/>
      <c r="KF320" s="33"/>
      <c r="KG320" s="33"/>
      <c r="KH320" s="33"/>
      <c r="KI320" s="33"/>
      <c r="KJ320" s="33"/>
      <c r="KK320" s="33"/>
      <c r="KL320" s="33"/>
      <c r="KM320" s="33"/>
      <c r="KN320" s="33"/>
      <c r="KO320" s="33"/>
      <c r="KP320" s="33"/>
      <c r="KQ320" s="33"/>
      <c r="KR320" s="33"/>
      <c r="KS320" s="33"/>
      <c r="KT320" s="33"/>
      <c r="KU320" s="33"/>
      <c r="KV320" s="33"/>
      <c r="KW320" s="33"/>
      <c r="KX320" s="33"/>
      <c r="KY320" s="33"/>
      <c r="KZ320" s="33"/>
      <c r="LA320" s="33"/>
      <c r="LB320" s="33"/>
      <c r="LC320" s="33"/>
      <c r="LD320" s="33"/>
      <c r="LE320" s="33"/>
      <c r="LF320" s="33"/>
      <c r="LG320" s="33"/>
      <c r="LH320" s="33"/>
      <c r="LI320" s="33"/>
      <c r="LJ320" s="33"/>
      <c r="LK320" s="33"/>
      <c r="LL320" s="33"/>
      <c r="LM320" s="33"/>
      <c r="LN320" s="33"/>
      <c r="LO320" s="33"/>
      <c r="LP320" s="33"/>
      <c r="LQ320" s="33"/>
      <c r="LR320" s="33"/>
      <c r="LS320" s="33"/>
      <c r="LT320" s="33"/>
      <c r="LU320" s="33"/>
      <c r="LV320" s="33"/>
      <c r="LW320" s="33"/>
      <c r="LX320" s="33"/>
      <c r="LY320" s="33"/>
      <c r="LZ320" s="33"/>
      <c r="MA320" s="33"/>
      <c r="MB320" s="33"/>
      <c r="MC320" s="33"/>
      <c r="MD320" s="33"/>
      <c r="ME320" s="33"/>
      <c r="MF320" s="33"/>
      <c r="MG320" s="33"/>
      <c r="MH320" s="33"/>
      <c r="MI320" s="33"/>
      <c r="MJ320" s="33"/>
      <c r="MK320" s="33"/>
      <c r="ML320" s="33"/>
      <c r="MM320" s="33"/>
      <c r="MN320" s="33"/>
      <c r="MO320" s="33"/>
      <c r="MP320" s="33"/>
      <c r="MQ320" s="33"/>
      <c r="MR320" s="33"/>
      <c r="MS320" s="33"/>
      <c r="MT320" s="33"/>
      <c r="MU320" s="33"/>
      <c r="MV320" s="33"/>
      <c r="MW320" s="33"/>
      <c r="MX320" s="33"/>
      <c r="MY320" s="33"/>
      <c r="MZ320" s="33"/>
      <c r="NA320" s="33"/>
      <c r="NB320" s="33"/>
      <c r="NC320" s="33"/>
      <c r="ND320" s="33"/>
      <c r="NE320" s="33"/>
      <c r="NF320" s="33"/>
      <c r="NG320" s="33"/>
      <c r="NH320" s="33"/>
      <c r="NI320" s="33"/>
      <c r="NJ320" s="33"/>
      <c r="NK320" s="33"/>
      <c r="NL320" s="33"/>
      <c r="NM320" s="33"/>
      <c r="NN320" s="33"/>
      <c r="NO320" s="33"/>
      <c r="NP320" s="33"/>
      <c r="NQ320" s="33"/>
      <c r="NR320" s="33"/>
      <c r="NS320" s="33"/>
      <c r="NT320" s="33"/>
      <c r="NU320" s="33"/>
      <c r="NV320" s="33"/>
      <c r="NW320" s="33"/>
      <c r="NX320" s="33"/>
      <c r="NY320" s="33"/>
      <c r="NZ320" s="33"/>
      <c r="OA320" s="33"/>
      <c r="OB320" s="33"/>
      <c r="OC320" s="33"/>
      <c r="OD320" s="33"/>
      <c r="OE320" s="33"/>
      <c r="OF320" s="33"/>
      <c r="OG320" s="33"/>
      <c r="OH320" s="33"/>
      <c r="OI320" s="33"/>
      <c r="OJ320" s="33"/>
      <c r="OK320" s="33"/>
      <c r="OL320" s="33"/>
      <c r="OM320" s="33"/>
      <c r="ON320" s="33"/>
      <c r="OO320" s="33"/>
      <c r="OP320" s="33"/>
      <c r="OQ320" s="33"/>
      <c r="OR320" s="33"/>
      <c r="OS320" s="33"/>
      <c r="OT320" s="33"/>
      <c r="OU320" s="33"/>
      <c r="OV320" s="33"/>
      <c r="OW320" s="33"/>
      <c r="OX320" s="33"/>
      <c r="OY320" s="33"/>
      <c r="OZ320" s="33"/>
      <c r="PA320" s="33"/>
      <c r="PB320" s="33"/>
      <c r="PC320" s="33"/>
      <c r="PD320" s="33"/>
      <c r="PE320" s="33"/>
      <c r="PF320" s="33"/>
      <c r="PG320" s="33"/>
      <c r="PH320" s="33"/>
      <c r="PI320" s="33"/>
      <c r="PJ320" s="33"/>
      <c r="PK320" s="33"/>
      <c r="PL320" s="33"/>
      <c r="PM320" s="33"/>
      <c r="PN320" s="33"/>
      <c r="PO320" s="33"/>
      <c r="PP320" s="33"/>
      <c r="PQ320" s="33"/>
      <c r="PR320" s="33"/>
      <c r="PS320" s="33"/>
      <c r="PT320" s="33"/>
      <c r="PU320" s="33"/>
      <c r="PV320" s="33"/>
      <c r="PW320" s="33"/>
      <c r="PX320" s="33"/>
      <c r="PY320" s="33"/>
      <c r="PZ320" s="33"/>
      <c r="QA320" s="33"/>
      <c r="QB320" s="33"/>
      <c r="QC320" s="33"/>
      <c r="QD320" s="33"/>
      <c r="QE320" s="33"/>
      <c r="QF320" s="33"/>
      <c r="QG320" s="33"/>
      <c r="QH320" s="33"/>
      <c r="QI320" s="33"/>
      <c r="QJ320" s="33"/>
      <c r="QK320" s="33"/>
      <c r="QL320" s="33"/>
      <c r="QM320" s="33"/>
      <c r="QN320" s="33"/>
      <c r="QO320" s="33"/>
      <c r="QP320" s="33"/>
      <c r="QQ320" s="33"/>
      <c r="QR320" s="33"/>
      <c r="QS320" s="33"/>
      <c r="QT320" s="33"/>
      <c r="QU320" s="33"/>
      <c r="QV320" s="33"/>
      <c r="QW320" s="33"/>
      <c r="QX320" s="33"/>
      <c r="QY320" s="33"/>
      <c r="QZ320" s="33"/>
      <c r="RA320" s="33"/>
      <c r="RB320" s="33"/>
      <c r="RC320" s="33"/>
      <c r="RD320" s="33"/>
      <c r="RE320" s="33"/>
      <c r="RF320" s="33"/>
      <c r="RG320" s="33"/>
      <c r="RH320" s="33"/>
      <c r="RI320" s="33"/>
      <c r="RJ320" s="33"/>
      <c r="RK320" s="33"/>
      <c r="RL320" s="33"/>
      <c r="RM320" s="33"/>
      <c r="RN320" s="33"/>
      <c r="RO320" s="33"/>
      <c r="RP320" s="33"/>
      <c r="RQ320" s="33"/>
      <c r="RR320" s="33"/>
      <c r="RS320" s="33"/>
      <c r="RT320" s="33"/>
      <c r="RU320" s="33"/>
      <c r="RV320" s="33"/>
      <c r="RW320" s="33"/>
      <c r="RX320" s="33"/>
      <c r="RY320" s="33"/>
      <c r="RZ320" s="33"/>
      <c r="SA320" s="33"/>
      <c r="SB320" s="33"/>
      <c r="SC320" s="33"/>
      <c r="SD320" s="33"/>
      <c r="SE320" s="33"/>
      <c r="SF320" s="33"/>
      <c r="SG320" s="33"/>
      <c r="SH320" s="33"/>
      <c r="SI320" s="33"/>
      <c r="SJ320" s="33"/>
      <c r="SK320" s="33"/>
      <c r="SL320" s="33"/>
      <c r="SM320" s="33"/>
      <c r="SN320" s="33"/>
      <c r="SO320" s="33"/>
      <c r="SP320" s="33"/>
      <c r="SQ320" s="33"/>
      <c r="SR320" s="33"/>
      <c r="SS320" s="33"/>
      <c r="ST320" s="33"/>
      <c r="SU320" s="33"/>
      <c r="SV320" s="33"/>
      <c r="SW320" s="33"/>
      <c r="SX320" s="33"/>
      <c r="SY320" s="33"/>
      <c r="SZ320" s="33"/>
      <c r="TA320" s="33"/>
      <c r="TB320" s="33"/>
      <c r="TC320" s="33"/>
      <c r="TD320" s="33"/>
      <c r="TE320" s="33"/>
      <c r="TF320" s="33"/>
      <c r="TG320" s="33"/>
    </row>
    <row r="321" spans="1:527" s="34" customFormat="1" ht="37.5" customHeight="1" x14ac:dyDescent="0.25">
      <c r="A321" s="119"/>
      <c r="B321" s="109"/>
      <c r="C321" s="97"/>
      <c r="D321" s="77" t="s">
        <v>402</v>
      </c>
      <c r="E321" s="98">
        <f t="shared" ref="E321:P321" si="183">E19+E68+E70+E165+E67+E71+E132+E73+E76+E134+E166+E167+E227+E204+E226</f>
        <v>32375819.030000001</v>
      </c>
      <c r="F321" s="98">
        <f t="shared" si="183"/>
        <v>32375819.030000001</v>
      </c>
      <c r="G321" s="98">
        <f t="shared" si="183"/>
        <v>4263524</v>
      </c>
      <c r="H321" s="98">
        <f t="shared" si="183"/>
        <v>0</v>
      </c>
      <c r="I321" s="98">
        <f t="shared" si="183"/>
        <v>0</v>
      </c>
      <c r="J321" s="98">
        <f t="shared" si="183"/>
        <v>20538071.050000001</v>
      </c>
      <c r="K321" s="98">
        <f t="shared" si="183"/>
        <v>20538071.050000001</v>
      </c>
      <c r="L321" s="98">
        <f t="shared" si="183"/>
        <v>0</v>
      </c>
      <c r="M321" s="98">
        <f t="shared" si="183"/>
        <v>0</v>
      </c>
      <c r="N321" s="98">
        <f t="shared" si="183"/>
        <v>0</v>
      </c>
      <c r="O321" s="98">
        <f t="shared" si="183"/>
        <v>20538071.050000001</v>
      </c>
      <c r="P321" s="98">
        <f t="shared" si="183"/>
        <v>52913890.080000006</v>
      </c>
      <c r="Q321" s="33"/>
      <c r="R321" s="32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  <c r="IV321" s="33"/>
      <c r="IW321" s="33"/>
      <c r="IX321" s="33"/>
      <c r="IY321" s="33"/>
      <c r="IZ321" s="33"/>
      <c r="JA321" s="33"/>
      <c r="JB321" s="33"/>
      <c r="JC321" s="33"/>
      <c r="JD321" s="33"/>
      <c r="JE321" s="33"/>
      <c r="JF321" s="33"/>
      <c r="JG321" s="33"/>
      <c r="JH321" s="33"/>
      <c r="JI321" s="33"/>
      <c r="JJ321" s="33"/>
      <c r="JK321" s="33"/>
      <c r="JL321" s="33"/>
      <c r="JM321" s="33"/>
      <c r="JN321" s="33"/>
      <c r="JO321" s="33"/>
      <c r="JP321" s="33"/>
      <c r="JQ321" s="33"/>
      <c r="JR321" s="33"/>
      <c r="JS321" s="33"/>
      <c r="JT321" s="33"/>
      <c r="JU321" s="33"/>
      <c r="JV321" s="33"/>
      <c r="JW321" s="33"/>
      <c r="JX321" s="33"/>
      <c r="JY321" s="33"/>
      <c r="JZ321" s="33"/>
      <c r="KA321" s="33"/>
      <c r="KB321" s="33"/>
      <c r="KC321" s="33"/>
      <c r="KD321" s="33"/>
      <c r="KE321" s="33"/>
      <c r="KF321" s="33"/>
      <c r="KG321" s="33"/>
      <c r="KH321" s="33"/>
      <c r="KI321" s="33"/>
      <c r="KJ321" s="33"/>
      <c r="KK321" s="33"/>
      <c r="KL321" s="33"/>
      <c r="KM321" s="33"/>
      <c r="KN321" s="33"/>
      <c r="KO321" s="33"/>
      <c r="KP321" s="33"/>
      <c r="KQ321" s="33"/>
      <c r="KR321" s="33"/>
      <c r="KS321" s="33"/>
      <c r="KT321" s="33"/>
      <c r="KU321" s="33"/>
      <c r="KV321" s="33"/>
      <c r="KW321" s="33"/>
      <c r="KX321" s="33"/>
      <c r="KY321" s="33"/>
      <c r="KZ321" s="33"/>
      <c r="LA321" s="33"/>
      <c r="LB321" s="33"/>
      <c r="LC321" s="33"/>
      <c r="LD321" s="33"/>
      <c r="LE321" s="33"/>
      <c r="LF321" s="33"/>
      <c r="LG321" s="33"/>
      <c r="LH321" s="33"/>
      <c r="LI321" s="33"/>
      <c r="LJ321" s="33"/>
      <c r="LK321" s="33"/>
      <c r="LL321" s="33"/>
      <c r="LM321" s="33"/>
      <c r="LN321" s="33"/>
      <c r="LO321" s="33"/>
      <c r="LP321" s="33"/>
      <c r="LQ321" s="33"/>
      <c r="LR321" s="33"/>
      <c r="LS321" s="33"/>
      <c r="LT321" s="33"/>
      <c r="LU321" s="33"/>
      <c r="LV321" s="33"/>
      <c r="LW321" s="33"/>
      <c r="LX321" s="33"/>
      <c r="LY321" s="33"/>
      <c r="LZ321" s="33"/>
      <c r="MA321" s="33"/>
      <c r="MB321" s="33"/>
      <c r="MC321" s="33"/>
      <c r="MD321" s="33"/>
      <c r="ME321" s="33"/>
      <c r="MF321" s="33"/>
      <c r="MG321" s="33"/>
      <c r="MH321" s="33"/>
      <c r="MI321" s="33"/>
      <c r="MJ321" s="33"/>
      <c r="MK321" s="33"/>
      <c r="ML321" s="33"/>
      <c r="MM321" s="33"/>
      <c r="MN321" s="33"/>
      <c r="MO321" s="33"/>
      <c r="MP321" s="33"/>
      <c r="MQ321" s="33"/>
      <c r="MR321" s="33"/>
      <c r="MS321" s="33"/>
      <c r="MT321" s="33"/>
      <c r="MU321" s="33"/>
      <c r="MV321" s="33"/>
      <c r="MW321" s="33"/>
      <c r="MX321" s="33"/>
      <c r="MY321" s="33"/>
      <c r="MZ321" s="33"/>
      <c r="NA321" s="33"/>
      <c r="NB321" s="33"/>
      <c r="NC321" s="33"/>
      <c r="ND321" s="33"/>
      <c r="NE321" s="33"/>
      <c r="NF321" s="33"/>
      <c r="NG321" s="33"/>
      <c r="NH321" s="33"/>
      <c r="NI321" s="33"/>
      <c r="NJ321" s="33"/>
      <c r="NK321" s="33"/>
      <c r="NL321" s="33"/>
      <c r="NM321" s="33"/>
      <c r="NN321" s="33"/>
      <c r="NO321" s="33"/>
      <c r="NP321" s="33"/>
      <c r="NQ321" s="33"/>
      <c r="NR321" s="33"/>
      <c r="NS321" s="33"/>
      <c r="NT321" s="33"/>
      <c r="NU321" s="33"/>
      <c r="NV321" s="33"/>
      <c r="NW321" s="33"/>
      <c r="NX321" s="33"/>
      <c r="NY321" s="33"/>
      <c r="NZ321" s="33"/>
      <c r="OA321" s="33"/>
      <c r="OB321" s="33"/>
      <c r="OC321" s="33"/>
      <c r="OD321" s="33"/>
      <c r="OE321" s="33"/>
      <c r="OF321" s="33"/>
      <c r="OG321" s="33"/>
      <c r="OH321" s="33"/>
      <c r="OI321" s="33"/>
      <c r="OJ321" s="33"/>
      <c r="OK321" s="33"/>
      <c r="OL321" s="33"/>
      <c r="OM321" s="33"/>
      <c r="ON321" s="33"/>
      <c r="OO321" s="33"/>
      <c r="OP321" s="33"/>
      <c r="OQ321" s="33"/>
      <c r="OR321" s="33"/>
      <c r="OS321" s="33"/>
      <c r="OT321" s="33"/>
      <c r="OU321" s="33"/>
      <c r="OV321" s="33"/>
      <c r="OW321" s="33"/>
      <c r="OX321" s="33"/>
      <c r="OY321" s="33"/>
      <c r="OZ321" s="33"/>
      <c r="PA321" s="33"/>
      <c r="PB321" s="33"/>
      <c r="PC321" s="33"/>
      <c r="PD321" s="33"/>
      <c r="PE321" s="33"/>
      <c r="PF321" s="33"/>
      <c r="PG321" s="33"/>
      <c r="PH321" s="33"/>
      <c r="PI321" s="33"/>
      <c r="PJ321" s="33"/>
      <c r="PK321" s="33"/>
      <c r="PL321" s="33"/>
      <c r="PM321" s="33"/>
      <c r="PN321" s="33"/>
      <c r="PO321" s="33"/>
      <c r="PP321" s="33"/>
      <c r="PQ321" s="33"/>
      <c r="PR321" s="33"/>
      <c r="PS321" s="33"/>
      <c r="PT321" s="33"/>
      <c r="PU321" s="33"/>
      <c r="PV321" s="33"/>
      <c r="PW321" s="33"/>
      <c r="PX321" s="33"/>
      <c r="PY321" s="33"/>
      <c r="PZ321" s="33"/>
      <c r="QA321" s="33"/>
      <c r="QB321" s="33"/>
      <c r="QC321" s="33"/>
      <c r="QD321" s="33"/>
      <c r="QE321" s="33"/>
      <c r="QF321" s="33"/>
      <c r="QG321" s="33"/>
      <c r="QH321" s="33"/>
      <c r="QI321" s="33"/>
      <c r="QJ321" s="33"/>
      <c r="QK321" s="33"/>
      <c r="QL321" s="33"/>
      <c r="QM321" s="33"/>
      <c r="QN321" s="33"/>
      <c r="QO321" s="33"/>
      <c r="QP321" s="33"/>
      <c r="QQ321" s="33"/>
      <c r="QR321" s="33"/>
      <c r="QS321" s="33"/>
      <c r="QT321" s="33"/>
      <c r="QU321" s="33"/>
      <c r="QV321" s="33"/>
      <c r="QW321" s="33"/>
      <c r="QX321" s="33"/>
      <c r="QY321" s="33"/>
      <c r="QZ321" s="33"/>
      <c r="RA321" s="33"/>
      <c r="RB321" s="33"/>
      <c r="RC321" s="33"/>
      <c r="RD321" s="33"/>
      <c r="RE321" s="33"/>
      <c r="RF321" s="33"/>
      <c r="RG321" s="33"/>
      <c r="RH321" s="33"/>
      <c r="RI321" s="33"/>
      <c r="RJ321" s="33"/>
      <c r="RK321" s="33"/>
      <c r="RL321" s="33"/>
      <c r="RM321" s="33"/>
      <c r="RN321" s="33"/>
      <c r="RO321" s="33"/>
      <c r="RP321" s="33"/>
      <c r="RQ321" s="33"/>
      <c r="RR321" s="33"/>
      <c r="RS321" s="33"/>
      <c r="RT321" s="33"/>
      <c r="RU321" s="33"/>
      <c r="RV321" s="33"/>
      <c r="RW321" s="33"/>
      <c r="RX321" s="33"/>
      <c r="RY321" s="33"/>
      <c r="RZ321" s="33"/>
      <c r="SA321" s="33"/>
      <c r="SB321" s="33"/>
      <c r="SC321" s="33"/>
      <c r="SD321" s="33"/>
      <c r="SE321" s="33"/>
      <c r="SF321" s="33"/>
      <c r="SG321" s="33"/>
      <c r="SH321" s="33"/>
      <c r="SI321" s="33"/>
      <c r="SJ321" s="33"/>
      <c r="SK321" s="33"/>
      <c r="SL321" s="33"/>
      <c r="SM321" s="33"/>
      <c r="SN321" s="33"/>
      <c r="SO321" s="33"/>
      <c r="SP321" s="33"/>
      <c r="SQ321" s="33"/>
      <c r="SR321" s="33"/>
      <c r="SS321" s="33"/>
      <c r="ST321" s="33"/>
      <c r="SU321" s="33"/>
      <c r="SV321" s="33"/>
      <c r="SW321" s="33"/>
      <c r="SX321" s="33"/>
      <c r="SY321" s="33"/>
      <c r="SZ321" s="33"/>
      <c r="TA321" s="33"/>
      <c r="TB321" s="33"/>
      <c r="TC321" s="33"/>
      <c r="TD321" s="33"/>
      <c r="TE321" s="33"/>
      <c r="TF321" s="33"/>
      <c r="TG321" s="33"/>
    </row>
    <row r="322" spans="1:527" s="34" customFormat="1" ht="26.25" customHeight="1" x14ac:dyDescent="0.25">
      <c r="A322" s="96"/>
      <c r="B322" s="109"/>
      <c r="C322" s="109"/>
      <c r="D322" s="83" t="s">
        <v>419</v>
      </c>
      <c r="E322" s="98">
        <f t="shared" ref="E322:P322" si="184">E135+E270+E228</f>
        <v>0</v>
      </c>
      <c r="F322" s="98">
        <f t="shared" si="184"/>
        <v>0</v>
      </c>
      <c r="G322" s="98">
        <f t="shared" si="184"/>
        <v>0</v>
      </c>
      <c r="H322" s="98">
        <f t="shared" si="184"/>
        <v>0</v>
      </c>
      <c r="I322" s="98">
        <f t="shared" si="184"/>
        <v>0</v>
      </c>
      <c r="J322" s="98">
        <f t="shared" si="184"/>
        <v>127771665.12</v>
      </c>
      <c r="K322" s="98">
        <f t="shared" si="184"/>
        <v>127771665.12</v>
      </c>
      <c r="L322" s="98">
        <f t="shared" si="184"/>
        <v>0</v>
      </c>
      <c r="M322" s="98">
        <f t="shared" si="184"/>
        <v>0</v>
      </c>
      <c r="N322" s="98">
        <f t="shared" si="184"/>
        <v>0</v>
      </c>
      <c r="O322" s="98">
        <f t="shared" si="184"/>
        <v>127771665.12</v>
      </c>
      <c r="P322" s="98">
        <f t="shared" si="184"/>
        <v>127771665.12</v>
      </c>
      <c r="Q322" s="33"/>
      <c r="R322" s="32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  <c r="IU322" s="33"/>
      <c r="IV322" s="33"/>
      <c r="IW322" s="33"/>
      <c r="IX322" s="33"/>
      <c r="IY322" s="33"/>
      <c r="IZ322" s="33"/>
      <c r="JA322" s="33"/>
      <c r="JB322" s="33"/>
      <c r="JC322" s="33"/>
      <c r="JD322" s="33"/>
      <c r="JE322" s="33"/>
      <c r="JF322" s="33"/>
      <c r="JG322" s="33"/>
      <c r="JH322" s="33"/>
      <c r="JI322" s="33"/>
      <c r="JJ322" s="33"/>
      <c r="JK322" s="33"/>
      <c r="JL322" s="33"/>
      <c r="JM322" s="33"/>
      <c r="JN322" s="33"/>
      <c r="JO322" s="33"/>
      <c r="JP322" s="33"/>
      <c r="JQ322" s="33"/>
      <c r="JR322" s="33"/>
      <c r="JS322" s="33"/>
      <c r="JT322" s="33"/>
      <c r="JU322" s="33"/>
      <c r="JV322" s="33"/>
      <c r="JW322" s="33"/>
      <c r="JX322" s="33"/>
      <c r="JY322" s="33"/>
      <c r="JZ322" s="33"/>
      <c r="KA322" s="33"/>
      <c r="KB322" s="33"/>
      <c r="KC322" s="33"/>
      <c r="KD322" s="33"/>
      <c r="KE322" s="33"/>
      <c r="KF322" s="33"/>
      <c r="KG322" s="33"/>
      <c r="KH322" s="33"/>
      <c r="KI322" s="33"/>
      <c r="KJ322" s="33"/>
      <c r="KK322" s="33"/>
      <c r="KL322" s="33"/>
      <c r="KM322" s="33"/>
      <c r="KN322" s="33"/>
      <c r="KO322" s="33"/>
      <c r="KP322" s="33"/>
      <c r="KQ322" s="33"/>
      <c r="KR322" s="33"/>
      <c r="KS322" s="33"/>
      <c r="KT322" s="33"/>
      <c r="KU322" s="33"/>
      <c r="KV322" s="33"/>
      <c r="KW322" s="33"/>
      <c r="KX322" s="33"/>
      <c r="KY322" s="33"/>
      <c r="KZ322" s="33"/>
      <c r="LA322" s="33"/>
      <c r="LB322" s="33"/>
      <c r="LC322" s="33"/>
      <c r="LD322" s="33"/>
      <c r="LE322" s="33"/>
      <c r="LF322" s="33"/>
      <c r="LG322" s="33"/>
      <c r="LH322" s="33"/>
      <c r="LI322" s="33"/>
      <c r="LJ322" s="33"/>
      <c r="LK322" s="33"/>
      <c r="LL322" s="33"/>
      <c r="LM322" s="33"/>
      <c r="LN322" s="33"/>
      <c r="LO322" s="33"/>
      <c r="LP322" s="33"/>
      <c r="LQ322" s="33"/>
      <c r="LR322" s="33"/>
      <c r="LS322" s="33"/>
      <c r="LT322" s="33"/>
      <c r="LU322" s="33"/>
      <c r="LV322" s="33"/>
      <c r="LW322" s="33"/>
      <c r="LX322" s="33"/>
      <c r="LY322" s="33"/>
      <c r="LZ322" s="33"/>
      <c r="MA322" s="33"/>
      <c r="MB322" s="33"/>
      <c r="MC322" s="33"/>
      <c r="MD322" s="33"/>
      <c r="ME322" s="33"/>
      <c r="MF322" s="33"/>
      <c r="MG322" s="33"/>
      <c r="MH322" s="33"/>
      <c r="MI322" s="33"/>
      <c r="MJ322" s="33"/>
      <c r="MK322" s="33"/>
      <c r="ML322" s="33"/>
      <c r="MM322" s="33"/>
      <c r="MN322" s="33"/>
      <c r="MO322" s="33"/>
      <c r="MP322" s="33"/>
      <c r="MQ322" s="33"/>
      <c r="MR322" s="33"/>
      <c r="MS322" s="33"/>
      <c r="MT322" s="33"/>
      <c r="MU322" s="33"/>
      <c r="MV322" s="33"/>
      <c r="MW322" s="33"/>
      <c r="MX322" s="33"/>
      <c r="MY322" s="33"/>
      <c r="MZ322" s="33"/>
      <c r="NA322" s="33"/>
      <c r="NB322" s="33"/>
      <c r="NC322" s="33"/>
      <c r="ND322" s="33"/>
      <c r="NE322" s="33"/>
      <c r="NF322" s="33"/>
      <c r="NG322" s="33"/>
      <c r="NH322" s="33"/>
      <c r="NI322" s="33"/>
      <c r="NJ322" s="33"/>
      <c r="NK322" s="33"/>
      <c r="NL322" s="33"/>
      <c r="NM322" s="33"/>
      <c r="NN322" s="33"/>
      <c r="NO322" s="33"/>
      <c r="NP322" s="33"/>
      <c r="NQ322" s="33"/>
      <c r="NR322" s="33"/>
      <c r="NS322" s="33"/>
      <c r="NT322" s="33"/>
      <c r="NU322" s="33"/>
      <c r="NV322" s="33"/>
      <c r="NW322" s="33"/>
      <c r="NX322" s="33"/>
      <c r="NY322" s="33"/>
      <c r="NZ322" s="33"/>
      <c r="OA322" s="33"/>
      <c r="OB322" s="33"/>
      <c r="OC322" s="33"/>
      <c r="OD322" s="33"/>
      <c r="OE322" s="33"/>
      <c r="OF322" s="33"/>
      <c r="OG322" s="33"/>
      <c r="OH322" s="33"/>
      <c r="OI322" s="33"/>
      <c r="OJ322" s="33"/>
      <c r="OK322" s="33"/>
      <c r="OL322" s="33"/>
      <c r="OM322" s="33"/>
      <c r="ON322" s="33"/>
      <c r="OO322" s="33"/>
      <c r="OP322" s="33"/>
      <c r="OQ322" s="33"/>
      <c r="OR322" s="33"/>
      <c r="OS322" s="33"/>
      <c r="OT322" s="33"/>
      <c r="OU322" s="33"/>
      <c r="OV322" s="33"/>
      <c r="OW322" s="33"/>
      <c r="OX322" s="33"/>
      <c r="OY322" s="33"/>
      <c r="OZ322" s="33"/>
      <c r="PA322" s="33"/>
      <c r="PB322" s="33"/>
      <c r="PC322" s="33"/>
      <c r="PD322" s="33"/>
      <c r="PE322" s="33"/>
      <c r="PF322" s="33"/>
      <c r="PG322" s="33"/>
      <c r="PH322" s="33"/>
      <c r="PI322" s="33"/>
      <c r="PJ322" s="33"/>
      <c r="PK322" s="33"/>
      <c r="PL322" s="33"/>
      <c r="PM322" s="33"/>
      <c r="PN322" s="33"/>
      <c r="PO322" s="33"/>
      <c r="PP322" s="33"/>
      <c r="PQ322" s="33"/>
      <c r="PR322" s="33"/>
      <c r="PS322" s="33"/>
      <c r="PT322" s="33"/>
      <c r="PU322" s="33"/>
      <c r="PV322" s="33"/>
      <c r="PW322" s="33"/>
      <c r="PX322" s="33"/>
      <c r="PY322" s="33"/>
      <c r="PZ322" s="33"/>
      <c r="QA322" s="33"/>
      <c r="QB322" s="33"/>
      <c r="QC322" s="33"/>
      <c r="QD322" s="33"/>
      <c r="QE322" s="33"/>
      <c r="QF322" s="33"/>
      <c r="QG322" s="33"/>
      <c r="QH322" s="33"/>
      <c r="QI322" s="33"/>
      <c r="QJ322" s="33"/>
      <c r="QK322" s="33"/>
      <c r="QL322" s="33"/>
      <c r="QM322" s="33"/>
      <c r="QN322" s="33"/>
      <c r="QO322" s="33"/>
      <c r="QP322" s="33"/>
      <c r="QQ322" s="33"/>
      <c r="QR322" s="33"/>
      <c r="QS322" s="33"/>
      <c r="QT322" s="33"/>
      <c r="QU322" s="33"/>
      <c r="QV322" s="33"/>
      <c r="QW322" s="33"/>
      <c r="QX322" s="33"/>
      <c r="QY322" s="33"/>
      <c r="QZ322" s="33"/>
      <c r="RA322" s="33"/>
      <c r="RB322" s="33"/>
      <c r="RC322" s="33"/>
      <c r="RD322" s="33"/>
      <c r="RE322" s="33"/>
      <c r="RF322" s="33"/>
      <c r="RG322" s="33"/>
      <c r="RH322" s="33"/>
      <c r="RI322" s="33"/>
      <c r="RJ322" s="33"/>
      <c r="RK322" s="33"/>
      <c r="RL322" s="33"/>
      <c r="RM322" s="33"/>
      <c r="RN322" s="33"/>
      <c r="RO322" s="33"/>
      <c r="RP322" s="33"/>
      <c r="RQ322" s="33"/>
      <c r="RR322" s="33"/>
      <c r="RS322" s="33"/>
      <c r="RT322" s="33"/>
      <c r="RU322" s="33"/>
      <c r="RV322" s="33"/>
      <c r="RW322" s="33"/>
      <c r="RX322" s="33"/>
      <c r="RY322" s="33"/>
      <c r="RZ322" s="33"/>
      <c r="SA322" s="33"/>
      <c r="SB322" s="33"/>
      <c r="SC322" s="33"/>
      <c r="SD322" s="33"/>
      <c r="SE322" s="33"/>
      <c r="SF322" s="33"/>
      <c r="SG322" s="33"/>
      <c r="SH322" s="33"/>
      <c r="SI322" s="33"/>
      <c r="SJ322" s="33"/>
      <c r="SK322" s="33"/>
      <c r="SL322" s="33"/>
      <c r="SM322" s="33"/>
      <c r="SN322" s="33"/>
      <c r="SO322" s="33"/>
      <c r="SP322" s="33"/>
      <c r="SQ322" s="33"/>
      <c r="SR322" s="33"/>
      <c r="SS322" s="33"/>
      <c r="ST322" s="33"/>
      <c r="SU322" s="33"/>
      <c r="SV322" s="33"/>
      <c r="SW322" s="33"/>
      <c r="SX322" s="33"/>
      <c r="SY322" s="33"/>
      <c r="SZ322" s="33"/>
      <c r="TA322" s="33"/>
      <c r="TB322" s="33"/>
      <c r="TC322" s="33"/>
      <c r="TD322" s="33"/>
      <c r="TE322" s="33"/>
      <c r="TF322" s="33"/>
      <c r="TG322" s="33"/>
    </row>
    <row r="323" spans="1:527" s="27" customFormat="1" ht="24.75" customHeight="1" x14ac:dyDescent="0.2">
      <c r="A323" s="66"/>
      <c r="B323" s="67"/>
      <c r="C323" s="68"/>
      <c r="D323" s="6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  <c r="IP323" s="32"/>
      <c r="IQ323" s="32"/>
      <c r="IR323" s="32"/>
      <c r="IS323" s="32"/>
      <c r="IT323" s="32"/>
      <c r="IU323" s="32"/>
      <c r="IV323" s="32"/>
      <c r="IW323" s="32"/>
      <c r="IX323" s="32"/>
      <c r="IY323" s="32"/>
      <c r="IZ323" s="32"/>
      <c r="JA323" s="32"/>
      <c r="JB323" s="32"/>
      <c r="JC323" s="32"/>
      <c r="JD323" s="32"/>
      <c r="JE323" s="32"/>
      <c r="JF323" s="32"/>
      <c r="JG323" s="32"/>
      <c r="JH323" s="32"/>
      <c r="JI323" s="32"/>
      <c r="JJ323" s="32"/>
      <c r="JK323" s="32"/>
      <c r="JL323" s="32"/>
      <c r="JM323" s="32"/>
      <c r="JN323" s="32"/>
      <c r="JO323" s="32"/>
      <c r="JP323" s="32"/>
      <c r="JQ323" s="32"/>
      <c r="JR323" s="32"/>
      <c r="JS323" s="32"/>
      <c r="JT323" s="32"/>
      <c r="JU323" s="32"/>
      <c r="JV323" s="32"/>
      <c r="JW323" s="32"/>
      <c r="JX323" s="32"/>
      <c r="JY323" s="32"/>
      <c r="JZ323" s="32"/>
      <c r="KA323" s="32"/>
      <c r="KB323" s="32"/>
      <c r="KC323" s="32"/>
      <c r="KD323" s="32"/>
      <c r="KE323" s="32"/>
      <c r="KF323" s="32"/>
      <c r="KG323" s="32"/>
      <c r="KH323" s="32"/>
      <c r="KI323" s="32"/>
      <c r="KJ323" s="32"/>
      <c r="KK323" s="32"/>
      <c r="KL323" s="32"/>
      <c r="KM323" s="32"/>
      <c r="KN323" s="32"/>
      <c r="KO323" s="32"/>
      <c r="KP323" s="32"/>
      <c r="KQ323" s="32"/>
      <c r="KR323" s="32"/>
      <c r="KS323" s="32"/>
      <c r="KT323" s="32"/>
      <c r="KU323" s="32"/>
      <c r="KV323" s="32"/>
      <c r="KW323" s="32"/>
      <c r="KX323" s="32"/>
      <c r="KY323" s="32"/>
      <c r="KZ323" s="32"/>
      <c r="LA323" s="32"/>
      <c r="LB323" s="32"/>
      <c r="LC323" s="32"/>
      <c r="LD323" s="32"/>
      <c r="LE323" s="32"/>
      <c r="LF323" s="32"/>
      <c r="LG323" s="32"/>
      <c r="LH323" s="32"/>
      <c r="LI323" s="32"/>
      <c r="LJ323" s="32"/>
      <c r="LK323" s="32"/>
      <c r="LL323" s="32"/>
      <c r="LM323" s="32"/>
      <c r="LN323" s="32"/>
      <c r="LO323" s="32"/>
      <c r="LP323" s="32"/>
      <c r="LQ323" s="32"/>
      <c r="LR323" s="32"/>
      <c r="LS323" s="32"/>
      <c r="LT323" s="32"/>
      <c r="LU323" s="32"/>
      <c r="LV323" s="32"/>
      <c r="LW323" s="32"/>
      <c r="LX323" s="32"/>
      <c r="LY323" s="32"/>
      <c r="LZ323" s="32"/>
      <c r="MA323" s="32"/>
      <c r="MB323" s="32"/>
      <c r="MC323" s="32"/>
      <c r="MD323" s="32"/>
      <c r="ME323" s="32"/>
      <c r="MF323" s="32"/>
      <c r="MG323" s="32"/>
      <c r="MH323" s="32"/>
      <c r="MI323" s="32"/>
      <c r="MJ323" s="32"/>
      <c r="MK323" s="32"/>
      <c r="ML323" s="32"/>
      <c r="MM323" s="32"/>
      <c r="MN323" s="32"/>
      <c r="MO323" s="32"/>
      <c r="MP323" s="32"/>
      <c r="MQ323" s="32"/>
      <c r="MR323" s="32"/>
      <c r="MS323" s="32"/>
      <c r="MT323" s="32"/>
      <c r="MU323" s="32"/>
      <c r="MV323" s="32"/>
      <c r="MW323" s="32"/>
      <c r="MX323" s="32"/>
      <c r="MY323" s="32"/>
      <c r="MZ323" s="32"/>
      <c r="NA323" s="32"/>
      <c r="NB323" s="32"/>
      <c r="NC323" s="32"/>
      <c r="ND323" s="32"/>
      <c r="NE323" s="32"/>
      <c r="NF323" s="32"/>
      <c r="NG323" s="32"/>
      <c r="NH323" s="32"/>
      <c r="NI323" s="32"/>
      <c r="NJ323" s="32"/>
      <c r="NK323" s="32"/>
      <c r="NL323" s="32"/>
      <c r="NM323" s="32"/>
      <c r="NN323" s="32"/>
      <c r="NO323" s="32"/>
      <c r="NP323" s="32"/>
      <c r="NQ323" s="32"/>
      <c r="NR323" s="32"/>
      <c r="NS323" s="32"/>
      <c r="NT323" s="32"/>
      <c r="NU323" s="32"/>
      <c r="NV323" s="32"/>
      <c r="NW323" s="32"/>
      <c r="NX323" s="32"/>
      <c r="NY323" s="32"/>
      <c r="NZ323" s="32"/>
      <c r="OA323" s="32"/>
      <c r="OB323" s="32"/>
      <c r="OC323" s="32"/>
      <c r="OD323" s="32"/>
      <c r="OE323" s="32"/>
      <c r="OF323" s="32"/>
      <c r="OG323" s="32"/>
      <c r="OH323" s="32"/>
      <c r="OI323" s="32"/>
      <c r="OJ323" s="32"/>
      <c r="OK323" s="32"/>
      <c r="OL323" s="32"/>
      <c r="OM323" s="32"/>
      <c r="ON323" s="32"/>
      <c r="OO323" s="32"/>
      <c r="OP323" s="32"/>
      <c r="OQ323" s="32"/>
      <c r="OR323" s="32"/>
      <c r="OS323" s="32"/>
      <c r="OT323" s="32"/>
      <c r="OU323" s="32"/>
      <c r="OV323" s="32"/>
      <c r="OW323" s="32"/>
      <c r="OX323" s="32"/>
      <c r="OY323" s="32"/>
      <c r="OZ323" s="32"/>
      <c r="PA323" s="32"/>
      <c r="PB323" s="32"/>
      <c r="PC323" s="32"/>
      <c r="PD323" s="32"/>
      <c r="PE323" s="32"/>
      <c r="PF323" s="32"/>
      <c r="PG323" s="32"/>
      <c r="PH323" s="32"/>
      <c r="PI323" s="32"/>
      <c r="PJ323" s="32"/>
      <c r="PK323" s="32"/>
      <c r="PL323" s="32"/>
      <c r="PM323" s="32"/>
      <c r="PN323" s="32"/>
      <c r="PO323" s="32"/>
      <c r="PP323" s="32"/>
      <c r="PQ323" s="32"/>
      <c r="PR323" s="32"/>
      <c r="PS323" s="32"/>
      <c r="PT323" s="32"/>
      <c r="PU323" s="32"/>
      <c r="PV323" s="32"/>
      <c r="PW323" s="32"/>
      <c r="PX323" s="32"/>
      <c r="PY323" s="32"/>
      <c r="PZ323" s="32"/>
      <c r="QA323" s="32"/>
      <c r="QB323" s="32"/>
      <c r="QC323" s="32"/>
      <c r="QD323" s="32"/>
      <c r="QE323" s="32"/>
      <c r="QF323" s="32"/>
      <c r="QG323" s="32"/>
      <c r="QH323" s="32"/>
      <c r="QI323" s="32"/>
      <c r="QJ323" s="32"/>
      <c r="QK323" s="32"/>
      <c r="QL323" s="32"/>
      <c r="QM323" s="32"/>
      <c r="QN323" s="32"/>
      <c r="QO323" s="32"/>
      <c r="QP323" s="32"/>
      <c r="QQ323" s="32"/>
      <c r="QR323" s="32"/>
      <c r="QS323" s="32"/>
      <c r="QT323" s="32"/>
      <c r="QU323" s="32"/>
      <c r="QV323" s="32"/>
      <c r="QW323" s="32"/>
      <c r="QX323" s="32"/>
      <c r="QY323" s="32"/>
      <c r="QZ323" s="32"/>
      <c r="RA323" s="32"/>
      <c r="RB323" s="32"/>
      <c r="RC323" s="32"/>
      <c r="RD323" s="32"/>
      <c r="RE323" s="32"/>
      <c r="RF323" s="32"/>
      <c r="RG323" s="32"/>
      <c r="RH323" s="32"/>
      <c r="RI323" s="32"/>
      <c r="RJ323" s="32"/>
      <c r="RK323" s="32"/>
      <c r="RL323" s="32"/>
      <c r="RM323" s="32"/>
      <c r="RN323" s="32"/>
      <c r="RO323" s="32"/>
      <c r="RP323" s="32"/>
      <c r="RQ323" s="32"/>
      <c r="RR323" s="32"/>
      <c r="RS323" s="32"/>
      <c r="RT323" s="32"/>
      <c r="RU323" s="32"/>
      <c r="RV323" s="32"/>
      <c r="RW323" s="32"/>
      <c r="RX323" s="32"/>
      <c r="RY323" s="32"/>
      <c r="RZ323" s="32"/>
      <c r="SA323" s="32"/>
      <c r="SB323" s="32"/>
      <c r="SC323" s="32"/>
      <c r="SD323" s="32"/>
      <c r="SE323" s="32"/>
      <c r="SF323" s="32"/>
      <c r="SG323" s="32"/>
      <c r="SH323" s="32"/>
      <c r="SI323" s="32"/>
      <c r="SJ323" s="32"/>
      <c r="SK323" s="32"/>
      <c r="SL323" s="32"/>
      <c r="SM323" s="32"/>
      <c r="SN323" s="32"/>
      <c r="SO323" s="32"/>
      <c r="SP323" s="32"/>
      <c r="SQ323" s="32"/>
      <c r="SR323" s="32"/>
      <c r="SS323" s="32"/>
      <c r="ST323" s="32"/>
      <c r="SU323" s="32"/>
      <c r="SV323" s="32"/>
      <c r="SW323" s="32"/>
      <c r="SX323" s="32"/>
      <c r="SY323" s="32"/>
      <c r="SZ323" s="32"/>
      <c r="TA323" s="32"/>
      <c r="TB323" s="32"/>
      <c r="TC323" s="32"/>
      <c r="TD323" s="32"/>
      <c r="TE323" s="32"/>
      <c r="TF323" s="32"/>
      <c r="TG323" s="32"/>
    </row>
    <row r="324" spans="1:527" s="27" customFormat="1" ht="25.5" customHeight="1" x14ac:dyDescent="0.25">
      <c r="A324" s="66"/>
      <c r="B324" s="67"/>
      <c r="C324" s="68"/>
      <c r="D324" s="69"/>
      <c r="E324" s="154">
        <f>E319-'дод 8'!D255</f>
        <v>0</v>
      </c>
      <c r="F324" s="154">
        <f>F319-'дод 8'!E255</f>
        <v>0</v>
      </c>
      <c r="G324" s="154">
        <f>G319-'дод 8'!F255</f>
        <v>0</v>
      </c>
      <c r="H324" s="154">
        <f>H319-'дод 8'!G255</f>
        <v>0</v>
      </c>
      <c r="I324" s="154">
        <f>I319-'дод 8'!H255</f>
        <v>0</v>
      </c>
      <c r="J324" s="154">
        <f>J319-'дод 8'!I255</f>
        <v>0</v>
      </c>
      <c r="K324" s="154">
        <f>K319-'дод 8'!J255</f>
        <v>0</v>
      </c>
      <c r="L324" s="154">
        <f>L319-'дод 8'!K255</f>
        <v>0</v>
      </c>
      <c r="M324" s="154">
        <f>M319-'дод 8'!L255</f>
        <v>0</v>
      </c>
      <c r="N324" s="154">
        <f>N319-'дод 8'!M255</f>
        <v>0</v>
      </c>
      <c r="O324" s="154">
        <f>O319-'дод 8'!N255</f>
        <v>0</v>
      </c>
      <c r="P324" s="154">
        <f>P319-'дод 8'!O255</f>
        <v>0</v>
      </c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  <c r="IP324" s="32"/>
      <c r="IQ324" s="32"/>
      <c r="IR324" s="32"/>
      <c r="IS324" s="32"/>
      <c r="IT324" s="32"/>
      <c r="IU324" s="32"/>
      <c r="IV324" s="32"/>
      <c r="IW324" s="32"/>
      <c r="IX324" s="32"/>
      <c r="IY324" s="32"/>
      <c r="IZ324" s="32"/>
      <c r="JA324" s="32"/>
      <c r="JB324" s="32"/>
      <c r="JC324" s="32"/>
      <c r="JD324" s="32"/>
      <c r="JE324" s="32"/>
      <c r="JF324" s="32"/>
      <c r="JG324" s="32"/>
      <c r="JH324" s="32"/>
      <c r="JI324" s="32"/>
      <c r="JJ324" s="32"/>
      <c r="JK324" s="32"/>
      <c r="JL324" s="32"/>
      <c r="JM324" s="32"/>
      <c r="JN324" s="32"/>
      <c r="JO324" s="32"/>
      <c r="JP324" s="32"/>
      <c r="JQ324" s="32"/>
      <c r="JR324" s="32"/>
      <c r="JS324" s="32"/>
      <c r="JT324" s="32"/>
      <c r="JU324" s="32"/>
      <c r="JV324" s="32"/>
      <c r="JW324" s="32"/>
      <c r="JX324" s="32"/>
      <c r="JY324" s="32"/>
      <c r="JZ324" s="32"/>
      <c r="KA324" s="32"/>
      <c r="KB324" s="32"/>
      <c r="KC324" s="32"/>
      <c r="KD324" s="32"/>
      <c r="KE324" s="32"/>
      <c r="KF324" s="32"/>
      <c r="KG324" s="32"/>
      <c r="KH324" s="32"/>
      <c r="KI324" s="32"/>
      <c r="KJ324" s="32"/>
      <c r="KK324" s="32"/>
      <c r="KL324" s="32"/>
      <c r="KM324" s="32"/>
      <c r="KN324" s="32"/>
      <c r="KO324" s="32"/>
      <c r="KP324" s="32"/>
      <c r="KQ324" s="32"/>
      <c r="KR324" s="32"/>
      <c r="KS324" s="32"/>
      <c r="KT324" s="32"/>
      <c r="KU324" s="32"/>
      <c r="KV324" s="32"/>
      <c r="KW324" s="32"/>
      <c r="KX324" s="32"/>
      <c r="KY324" s="32"/>
      <c r="KZ324" s="32"/>
      <c r="LA324" s="32"/>
      <c r="LB324" s="32"/>
      <c r="LC324" s="32"/>
      <c r="LD324" s="32"/>
      <c r="LE324" s="32"/>
      <c r="LF324" s="32"/>
      <c r="LG324" s="32"/>
      <c r="LH324" s="32"/>
      <c r="LI324" s="32"/>
      <c r="LJ324" s="32"/>
      <c r="LK324" s="32"/>
      <c r="LL324" s="32"/>
      <c r="LM324" s="32"/>
      <c r="LN324" s="32"/>
      <c r="LO324" s="32"/>
      <c r="LP324" s="32"/>
      <c r="LQ324" s="32"/>
      <c r="LR324" s="32"/>
      <c r="LS324" s="32"/>
      <c r="LT324" s="32"/>
      <c r="LU324" s="32"/>
      <c r="LV324" s="32"/>
      <c r="LW324" s="32"/>
      <c r="LX324" s="32"/>
      <c r="LY324" s="32"/>
      <c r="LZ324" s="32"/>
      <c r="MA324" s="32"/>
      <c r="MB324" s="32"/>
      <c r="MC324" s="32"/>
      <c r="MD324" s="32"/>
      <c r="ME324" s="32"/>
      <c r="MF324" s="32"/>
      <c r="MG324" s="32"/>
      <c r="MH324" s="32"/>
      <c r="MI324" s="32"/>
      <c r="MJ324" s="32"/>
      <c r="MK324" s="32"/>
      <c r="ML324" s="32"/>
      <c r="MM324" s="32"/>
      <c r="MN324" s="32"/>
      <c r="MO324" s="32"/>
      <c r="MP324" s="32"/>
      <c r="MQ324" s="32"/>
      <c r="MR324" s="32"/>
      <c r="MS324" s="32"/>
      <c r="MT324" s="32"/>
      <c r="MU324" s="32"/>
      <c r="MV324" s="32"/>
      <c r="MW324" s="32"/>
      <c r="MX324" s="32"/>
      <c r="MY324" s="32"/>
      <c r="MZ324" s="32"/>
      <c r="NA324" s="32"/>
      <c r="NB324" s="32"/>
      <c r="NC324" s="32"/>
      <c r="ND324" s="32"/>
      <c r="NE324" s="32"/>
      <c r="NF324" s="32"/>
      <c r="NG324" s="32"/>
      <c r="NH324" s="32"/>
      <c r="NI324" s="32"/>
      <c r="NJ324" s="32"/>
      <c r="NK324" s="32"/>
      <c r="NL324" s="32"/>
      <c r="NM324" s="32"/>
      <c r="NN324" s="32"/>
      <c r="NO324" s="32"/>
      <c r="NP324" s="32"/>
      <c r="NQ324" s="32"/>
      <c r="NR324" s="32"/>
      <c r="NS324" s="32"/>
      <c r="NT324" s="32"/>
      <c r="NU324" s="32"/>
      <c r="NV324" s="32"/>
      <c r="NW324" s="32"/>
      <c r="NX324" s="32"/>
      <c r="NY324" s="32"/>
      <c r="NZ324" s="32"/>
      <c r="OA324" s="32"/>
      <c r="OB324" s="32"/>
      <c r="OC324" s="32"/>
      <c r="OD324" s="32"/>
      <c r="OE324" s="32"/>
      <c r="OF324" s="32"/>
      <c r="OG324" s="32"/>
      <c r="OH324" s="32"/>
      <c r="OI324" s="32"/>
      <c r="OJ324" s="32"/>
      <c r="OK324" s="32"/>
      <c r="OL324" s="32"/>
      <c r="OM324" s="32"/>
      <c r="ON324" s="32"/>
      <c r="OO324" s="32"/>
      <c r="OP324" s="32"/>
      <c r="OQ324" s="32"/>
      <c r="OR324" s="32"/>
      <c r="OS324" s="32"/>
      <c r="OT324" s="32"/>
      <c r="OU324" s="32"/>
      <c r="OV324" s="32"/>
      <c r="OW324" s="32"/>
      <c r="OX324" s="32"/>
      <c r="OY324" s="32"/>
      <c r="OZ324" s="32"/>
      <c r="PA324" s="32"/>
      <c r="PB324" s="32"/>
      <c r="PC324" s="32"/>
      <c r="PD324" s="32"/>
      <c r="PE324" s="32"/>
      <c r="PF324" s="32"/>
      <c r="PG324" s="32"/>
      <c r="PH324" s="32"/>
      <c r="PI324" s="32"/>
      <c r="PJ324" s="32"/>
      <c r="PK324" s="32"/>
      <c r="PL324" s="32"/>
      <c r="PM324" s="32"/>
      <c r="PN324" s="32"/>
      <c r="PO324" s="32"/>
      <c r="PP324" s="32"/>
      <c r="PQ324" s="32"/>
      <c r="PR324" s="32"/>
      <c r="PS324" s="32"/>
      <c r="PT324" s="32"/>
      <c r="PU324" s="32"/>
      <c r="PV324" s="32"/>
      <c r="PW324" s="32"/>
      <c r="PX324" s="32"/>
      <c r="PY324" s="32"/>
      <c r="PZ324" s="32"/>
      <c r="QA324" s="32"/>
      <c r="QB324" s="32"/>
      <c r="QC324" s="32"/>
      <c r="QD324" s="32"/>
      <c r="QE324" s="32"/>
      <c r="QF324" s="32"/>
      <c r="QG324" s="32"/>
      <c r="QH324" s="32"/>
      <c r="QI324" s="32"/>
      <c r="QJ324" s="32"/>
      <c r="QK324" s="32"/>
      <c r="QL324" s="32"/>
      <c r="QM324" s="32"/>
      <c r="QN324" s="32"/>
      <c r="QO324" s="32"/>
      <c r="QP324" s="32"/>
      <c r="QQ324" s="32"/>
      <c r="QR324" s="32"/>
      <c r="QS324" s="32"/>
      <c r="QT324" s="32"/>
      <c r="QU324" s="32"/>
      <c r="QV324" s="32"/>
      <c r="QW324" s="32"/>
      <c r="QX324" s="32"/>
      <c r="QY324" s="32"/>
      <c r="QZ324" s="32"/>
      <c r="RA324" s="32"/>
      <c r="RB324" s="32"/>
      <c r="RC324" s="32"/>
      <c r="RD324" s="32"/>
      <c r="RE324" s="32"/>
      <c r="RF324" s="32"/>
      <c r="RG324" s="32"/>
      <c r="RH324" s="32"/>
      <c r="RI324" s="32"/>
      <c r="RJ324" s="32"/>
      <c r="RK324" s="32"/>
      <c r="RL324" s="32"/>
      <c r="RM324" s="32"/>
      <c r="RN324" s="32"/>
      <c r="RO324" s="32"/>
      <c r="RP324" s="32"/>
      <c r="RQ324" s="32"/>
      <c r="RR324" s="32"/>
      <c r="RS324" s="32"/>
      <c r="RT324" s="32"/>
      <c r="RU324" s="32"/>
      <c r="RV324" s="32"/>
      <c r="RW324" s="32"/>
      <c r="RX324" s="32"/>
      <c r="RY324" s="32"/>
      <c r="RZ324" s="32"/>
      <c r="SA324" s="32"/>
      <c r="SB324" s="32"/>
      <c r="SC324" s="32"/>
      <c r="SD324" s="32"/>
      <c r="SE324" s="32"/>
      <c r="SF324" s="32"/>
      <c r="SG324" s="32"/>
      <c r="SH324" s="32"/>
      <c r="SI324" s="32"/>
      <c r="SJ324" s="32"/>
      <c r="SK324" s="32"/>
      <c r="SL324" s="32"/>
      <c r="SM324" s="32"/>
      <c r="SN324" s="32"/>
      <c r="SO324" s="32"/>
      <c r="SP324" s="32"/>
      <c r="SQ324" s="32"/>
      <c r="SR324" s="32"/>
      <c r="SS324" s="32"/>
      <c r="ST324" s="32"/>
      <c r="SU324" s="32"/>
      <c r="SV324" s="32"/>
      <c r="SW324" s="32"/>
      <c r="SX324" s="32"/>
      <c r="SY324" s="32"/>
      <c r="SZ324" s="32"/>
      <c r="TA324" s="32"/>
      <c r="TB324" s="32"/>
      <c r="TC324" s="32"/>
      <c r="TD324" s="32"/>
      <c r="TE324" s="32"/>
      <c r="TF324" s="32"/>
      <c r="TG324" s="32"/>
    </row>
    <row r="325" spans="1:527" s="27" customFormat="1" ht="22.5" customHeight="1" x14ac:dyDescent="0.25">
      <c r="A325" s="66"/>
      <c r="B325" s="67"/>
      <c r="C325" s="68"/>
      <c r="D325" s="69"/>
      <c r="E325" s="154">
        <f>E321-'дод 8'!D257</f>
        <v>0</v>
      </c>
      <c r="F325" s="154">
        <f>F321-'дод 8'!E257</f>
        <v>0</v>
      </c>
      <c r="G325" s="154">
        <f>G321-'дод 8'!F257</f>
        <v>0</v>
      </c>
      <c r="H325" s="154">
        <f>H321-'дод 8'!G257</f>
        <v>0</v>
      </c>
      <c r="I325" s="154">
        <f>I321-'дод 8'!H257</f>
        <v>0</v>
      </c>
      <c r="J325" s="154">
        <f>J321-'дод 8'!I257</f>
        <v>0</v>
      </c>
      <c r="K325" s="154">
        <f>K321-'дод 8'!J257</f>
        <v>0</v>
      </c>
      <c r="L325" s="154">
        <f>L321-'дод 8'!K257</f>
        <v>0</v>
      </c>
      <c r="M325" s="154">
        <f>M321-'дод 8'!L257</f>
        <v>0</v>
      </c>
      <c r="N325" s="154">
        <f>N321-'дод 8'!M257</f>
        <v>0</v>
      </c>
      <c r="O325" s="154">
        <f>O321-'дод 8'!N257</f>
        <v>0</v>
      </c>
      <c r="P325" s="154">
        <f>P321-'дод 8'!O257</f>
        <v>0</v>
      </c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/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  <c r="FK325" s="32"/>
      <c r="FL325" s="32"/>
      <c r="FM325" s="32"/>
      <c r="FN325" s="32"/>
      <c r="FO325" s="32"/>
      <c r="FP325" s="32"/>
      <c r="FQ325" s="32"/>
      <c r="FR325" s="32"/>
      <c r="FS325" s="32"/>
      <c r="FT325" s="32"/>
      <c r="FU325" s="32"/>
      <c r="FV325" s="32"/>
      <c r="FW325" s="32"/>
      <c r="FX325" s="32"/>
      <c r="FY325" s="32"/>
      <c r="FZ325" s="32"/>
      <c r="GA325" s="32"/>
      <c r="GB325" s="32"/>
      <c r="GC325" s="32"/>
      <c r="GD325" s="32"/>
      <c r="GE325" s="32"/>
      <c r="GF325" s="32"/>
      <c r="GG325" s="32"/>
      <c r="GH325" s="32"/>
      <c r="GI325" s="32"/>
      <c r="GJ325" s="32"/>
      <c r="GK325" s="32"/>
      <c r="GL325" s="32"/>
      <c r="GM325" s="32"/>
      <c r="GN325" s="32"/>
      <c r="GO325" s="32"/>
      <c r="GP325" s="32"/>
      <c r="GQ325" s="32"/>
      <c r="GR325" s="32"/>
      <c r="GS325" s="32"/>
      <c r="GT325" s="32"/>
      <c r="GU325" s="32"/>
      <c r="GV325" s="32"/>
      <c r="GW325" s="32"/>
      <c r="GX325" s="32"/>
      <c r="GY325" s="32"/>
      <c r="GZ325" s="32"/>
      <c r="HA325" s="32"/>
      <c r="HB325" s="32"/>
      <c r="HC325" s="32"/>
      <c r="HD325" s="32"/>
      <c r="HE325" s="32"/>
      <c r="HF325" s="32"/>
      <c r="HG325" s="32"/>
      <c r="HH325" s="32"/>
      <c r="HI325" s="32"/>
      <c r="HJ325" s="32"/>
      <c r="HK325" s="32"/>
      <c r="HL325" s="32"/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2"/>
      <c r="IC325" s="32"/>
      <c r="ID325" s="32"/>
      <c r="IE325" s="32"/>
      <c r="IF325" s="32"/>
      <c r="IG325" s="32"/>
      <c r="IH325" s="32"/>
      <c r="II325" s="32"/>
      <c r="IJ325" s="32"/>
      <c r="IK325" s="32"/>
      <c r="IL325" s="32"/>
      <c r="IM325" s="32"/>
      <c r="IN325" s="32"/>
      <c r="IO325" s="32"/>
      <c r="IP325" s="32"/>
      <c r="IQ325" s="32"/>
      <c r="IR325" s="32"/>
      <c r="IS325" s="32"/>
      <c r="IT325" s="32"/>
      <c r="IU325" s="32"/>
      <c r="IV325" s="32"/>
      <c r="IW325" s="32"/>
      <c r="IX325" s="32"/>
      <c r="IY325" s="32"/>
      <c r="IZ325" s="32"/>
      <c r="JA325" s="32"/>
      <c r="JB325" s="32"/>
      <c r="JC325" s="32"/>
      <c r="JD325" s="32"/>
      <c r="JE325" s="32"/>
      <c r="JF325" s="32"/>
      <c r="JG325" s="32"/>
      <c r="JH325" s="32"/>
      <c r="JI325" s="32"/>
      <c r="JJ325" s="32"/>
      <c r="JK325" s="32"/>
      <c r="JL325" s="32"/>
      <c r="JM325" s="32"/>
      <c r="JN325" s="32"/>
      <c r="JO325" s="32"/>
      <c r="JP325" s="32"/>
      <c r="JQ325" s="32"/>
      <c r="JR325" s="32"/>
      <c r="JS325" s="32"/>
      <c r="JT325" s="32"/>
      <c r="JU325" s="32"/>
      <c r="JV325" s="32"/>
      <c r="JW325" s="32"/>
      <c r="JX325" s="32"/>
      <c r="JY325" s="32"/>
      <c r="JZ325" s="32"/>
      <c r="KA325" s="32"/>
      <c r="KB325" s="32"/>
      <c r="KC325" s="32"/>
      <c r="KD325" s="32"/>
      <c r="KE325" s="32"/>
      <c r="KF325" s="32"/>
      <c r="KG325" s="32"/>
      <c r="KH325" s="32"/>
      <c r="KI325" s="32"/>
      <c r="KJ325" s="32"/>
      <c r="KK325" s="32"/>
      <c r="KL325" s="32"/>
      <c r="KM325" s="32"/>
      <c r="KN325" s="32"/>
      <c r="KO325" s="32"/>
      <c r="KP325" s="32"/>
      <c r="KQ325" s="32"/>
      <c r="KR325" s="32"/>
      <c r="KS325" s="32"/>
      <c r="KT325" s="32"/>
      <c r="KU325" s="32"/>
      <c r="KV325" s="32"/>
      <c r="KW325" s="32"/>
      <c r="KX325" s="32"/>
      <c r="KY325" s="32"/>
      <c r="KZ325" s="32"/>
      <c r="LA325" s="32"/>
      <c r="LB325" s="32"/>
      <c r="LC325" s="32"/>
      <c r="LD325" s="32"/>
      <c r="LE325" s="32"/>
      <c r="LF325" s="32"/>
      <c r="LG325" s="32"/>
      <c r="LH325" s="32"/>
      <c r="LI325" s="32"/>
      <c r="LJ325" s="32"/>
      <c r="LK325" s="32"/>
      <c r="LL325" s="32"/>
      <c r="LM325" s="32"/>
      <c r="LN325" s="32"/>
      <c r="LO325" s="32"/>
      <c r="LP325" s="32"/>
      <c r="LQ325" s="32"/>
      <c r="LR325" s="32"/>
      <c r="LS325" s="32"/>
      <c r="LT325" s="32"/>
      <c r="LU325" s="32"/>
      <c r="LV325" s="32"/>
      <c r="LW325" s="32"/>
      <c r="LX325" s="32"/>
      <c r="LY325" s="32"/>
      <c r="LZ325" s="32"/>
      <c r="MA325" s="32"/>
      <c r="MB325" s="32"/>
      <c r="MC325" s="32"/>
      <c r="MD325" s="32"/>
      <c r="ME325" s="32"/>
      <c r="MF325" s="32"/>
      <c r="MG325" s="32"/>
      <c r="MH325" s="32"/>
      <c r="MI325" s="32"/>
      <c r="MJ325" s="32"/>
      <c r="MK325" s="32"/>
      <c r="ML325" s="32"/>
      <c r="MM325" s="32"/>
      <c r="MN325" s="32"/>
      <c r="MO325" s="32"/>
      <c r="MP325" s="32"/>
      <c r="MQ325" s="32"/>
      <c r="MR325" s="32"/>
      <c r="MS325" s="32"/>
      <c r="MT325" s="32"/>
      <c r="MU325" s="32"/>
      <c r="MV325" s="32"/>
      <c r="MW325" s="32"/>
      <c r="MX325" s="32"/>
      <c r="MY325" s="32"/>
      <c r="MZ325" s="32"/>
      <c r="NA325" s="32"/>
      <c r="NB325" s="32"/>
      <c r="NC325" s="32"/>
      <c r="ND325" s="32"/>
      <c r="NE325" s="32"/>
      <c r="NF325" s="32"/>
      <c r="NG325" s="32"/>
      <c r="NH325" s="32"/>
      <c r="NI325" s="32"/>
      <c r="NJ325" s="32"/>
      <c r="NK325" s="32"/>
      <c r="NL325" s="32"/>
      <c r="NM325" s="32"/>
      <c r="NN325" s="32"/>
      <c r="NO325" s="32"/>
      <c r="NP325" s="32"/>
      <c r="NQ325" s="32"/>
      <c r="NR325" s="32"/>
      <c r="NS325" s="32"/>
      <c r="NT325" s="32"/>
      <c r="NU325" s="32"/>
      <c r="NV325" s="32"/>
      <c r="NW325" s="32"/>
      <c r="NX325" s="32"/>
      <c r="NY325" s="32"/>
      <c r="NZ325" s="32"/>
      <c r="OA325" s="32"/>
      <c r="OB325" s="32"/>
      <c r="OC325" s="32"/>
      <c r="OD325" s="32"/>
      <c r="OE325" s="32"/>
      <c r="OF325" s="32"/>
      <c r="OG325" s="32"/>
      <c r="OH325" s="32"/>
      <c r="OI325" s="32"/>
      <c r="OJ325" s="32"/>
      <c r="OK325" s="32"/>
      <c r="OL325" s="32"/>
      <c r="OM325" s="32"/>
      <c r="ON325" s="32"/>
      <c r="OO325" s="32"/>
      <c r="OP325" s="32"/>
      <c r="OQ325" s="32"/>
      <c r="OR325" s="32"/>
      <c r="OS325" s="32"/>
      <c r="OT325" s="32"/>
      <c r="OU325" s="32"/>
      <c r="OV325" s="32"/>
      <c r="OW325" s="32"/>
      <c r="OX325" s="32"/>
      <c r="OY325" s="32"/>
      <c r="OZ325" s="32"/>
      <c r="PA325" s="32"/>
      <c r="PB325" s="32"/>
      <c r="PC325" s="32"/>
      <c r="PD325" s="32"/>
      <c r="PE325" s="32"/>
      <c r="PF325" s="32"/>
      <c r="PG325" s="32"/>
      <c r="PH325" s="32"/>
      <c r="PI325" s="32"/>
      <c r="PJ325" s="32"/>
      <c r="PK325" s="32"/>
      <c r="PL325" s="32"/>
      <c r="PM325" s="32"/>
      <c r="PN325" s="32"/>
      <c r="PO325" s="32"/>
      <c r="PP325" s="32"/>
      <c r="PQ325" s="32"/>
      <c r="PR325" s="32"/>
      <c r="PS325" s="32"/>
      <c r="PT325" s="32"/>
      <c r="PU325" s="32"/>
      <c r="PV325" s="32"/>
      <c r="PW325" s="32"/>
      <c r="PX325" s="32"/>
      <c r="PY325" s="32"/>
      <c r="PZ325" s="32"/>
      <c r="QA325" s="32"/>
      <c r="QB325" s="32"/>
      <c r="QC325" s="32"/>
      <c r="QD325" s="32"/>
      <c r="QE325" s="32"/>
      <c r="QF325" s="32"/>
      <c r="QG325" s="32"/>
      <c r="QH325" s="32"/>
      <c r="QI325" s="32"/>
      <c r="QJ325" s="32"/>
      <c r="QK325" s="32"/>
      <c r="QL325" s="32"/>
      <c r="QM325" s="32"/>
      <c r="QN325" s="32"/>
      <c r="QO325" s="32"/>
      <c r="QP325" s="32"/>
      <c r="QQ325" s="32"/>
      <c r="QR325" s="32"/>
      <c r="QS325" s="32"/>
      <c r="QT325" s="32"/>
      <c r="QU325" s="32"/>
      <c r="QV325" s="32"/>
      <c r="QW325" s="32"/>
      <c r="QX325" s="32"/>
      <c r="QY325" s="32"/>
      <c r="QZ325" s="32"/>
      <c r="RA325" s="32"/>
      <c r="RB325" s="32"/>
      <c r="RC325" s="32"/>
      <c r="RD325" s="32"/>
      <c r="RE325" s="32"/>
      <c r="RF325" s="32"/>
      <c r="RG325" s="32"/>
      <c r="RH325" s="32"/>
      <c r="RI325" s="32"/>
      <c r="RJ325" s="32"/>
      <c r="RK325" s="32"/>
      <c r="RL325" s="32"/>
      <c r="RM325" s="32"/>
      <c r="RN325" s="32"/>
      <c r="RO325" s="32"/>
      <c r="RP325" s="32"/>
      <c r="RQ325" s="32"/>
      <c r="RR325" s="32"/>
      <c r="RS325" s="32"/>
      <c r="RT325" s="32"/>
      <c r="RU325" s="32"/>
      <c r="RV325" s="32"/>
      <c r="RW325" s="32"/>
      <c r="RX325" s="32"/>
      <c r="RY325" s="32"/>
      <c r="RZ325" s="32"/>
      <c r="SA325" s="32"/>
      <c r="SB325" s="32"/>
      <c r="SC325" s="32"/>
      <c r="SD325" s="32"/>
      <c r="SE325" s="32"/>
      <c r="SF325" s="32"/>
      <c r="SG325" s="32"/>
      <c r="SH325" s="32"/>
      <c r="SI325" s="32"/>
      <c r="SJ325" s="32"/>
      <c r="SK325" s="32"/>
      <c r="SL325" s="32"/>
      <c r="SM325" s="32"/>
      <c r="SN325" s="32"/>
      <c r="SO325" s="32"/>
      <c r="SP325" s="32"/>
      <c r="SQ325" s="32"/>
      <c r="SR325" s="32"/>
      <c r="SS325" s="32"/>
      <c r="ST325" s="32"/>
      <c r="SU325" s="32"/>
      <c r="SV325" s="32"/>
      <c r="SW325" s="32"/>
      <c r="SX325" s="32"/>
      <c r="SY325" s="32"/>
      <c r="SZ325" s="32"/>
      <c r="TA325" s="32"/>
      <c r="TB325" s="32"/>
      <c r="TC325" s="32"/>
      <c r="TD325" s="32"/>
      <c r="TE325" s="32"/>
      <c r="TF325" s="32"/>
      <c r="TG325" s="32"/>
    </row>
    <row r="326" spans="1:527" s="146" customFormat="1" ht="54" customHeight="1" x14ac:dyDescent="0.55000000000000004">
      <c r="A326" s="143" t="s">
        <v>622</v>
      </c>
      <c r="B326" s="144"/>
      <c r="C326" s="145"/>
      <c r="D326" s="135"/>
      <c r="E326" s="154">
        <f>E322-'дод 8'!D258</f>
        <v>0</v>
      </c>
      <c r="F326" s="135"/>
      <c r="G326" s="135"/>
      <c r="H326" s="135"/>
      <c r="I326" s="135"/>
      <c r="J326" s="135"/>
      <c r="M326" s="135"/>
      <c r="N326" s="135" t="s">
        <v>626</v>
      </c>
      <c r="O326" s="136"/>
      <c r="P326" s="136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  <c r="BI326" s="147"/>
      <c r="BJ326" s="147"/>
      <c r="BK326" s="147"/>
      <c r="BL326" s="147"/>
      <c r="BM326" s="147"/>
      <c r="BN326" s="147"/>
      <c r="BO326" s="147"/>
      <c r="BP326" s="147"/>
      <c r="BQ326" s="147"/>
      <c r="BR326" s="147"/>
      <c r="BS326" s="147"/>
      <c r="BT326" s="147"/>
      <c r="BU326" s="147"/>
      <c r="BV326" s="147"/>
      <c r="BW326" s="147"/>
      <c r="BX326" s="147"/>
      <c r="BY326" s="147"/>
      <c r="BZ326" s="147"/>
      <c r="CA326" s="147"/>
      <c r="CB326" s="147"/>
      <c r="CC326" s="147"/>
      <c r="CD326" s="147"/>
      <c r="CE326" s="147"/>
      <c r="CF326" s="147"/>
      <c r="CG326" s="147"/>
      <c r="CH326" s="147"/>
      <c r="CI326" s="147"/>
      <c r="CJ326" s="147"/>
      <c r="CK326" s="147"/>
      <c r="CL326" s="147"/>
      <c r="CM326" s="147"/>
      <c r="CN326" s="147"/>
      <c r="CO326" s="147"/>
      <c r="CP326" s="147"/>
      <c r="CQ326" s="147"/>
      <c r="CR326" s="147"/>
      <c r="CS326" s="147"/>
      <c r="CT326" s="147"/>
      <c r="CU326" s="147"/>
      <c r="CV326" s="147"/>
      <c r="CW326" s="147"/>
      <c r="CX326" s="147"/>
      <c r="CY326" s="147"/>
      <c r="CZ326" s="147"/>
      <c r="DA326" s="147"/>
      <c r="DB326" s="147"/>
      <c r="DC326" s="147"/>
      <c r="DD326" s="147"/>
      <c r="DE326" s="147"/>
      <c r="DF326" s="147"/>
      <c r="DG326" s="147"/>
      <c r="DH326" s="147"/>
      <c r="DI326" s="147"/>
      <c r="DJ326" s="147"/>
      <c r="DK326" s="147"/>
      <c r="DL326" s="147"/>
      <c r="DM326" s="147"/>
      <c r="DN326" s="147"/>
      <c r="DO326" s="147"/>
      <c r="DP326" s="147"/>
      <c r="DQ326" s="147"/>
      <c r="DR326" s="147"/>
      <c r="DS326" s="147"/>
      <c r="DT326" s="147"/>
      <c r="DU326" s="147"/>
      <c r="DV326" s="147"/>
      <c r="DW326" s="147"/>
      <c r="DX326" s="147"/>
      <c r="DY326" s="147"/>
      <c r="DZ326" s="147"/>
      <c r="EA326" s="147"/>
      <c r="EB326" s="147"/>
      <c r="EC326" s="147"/>
      <c r="ED326" s="147"/>
      <c r="EE326" s="147"/>
      <c r="EF326" s="147"/>
      <c r="EG326" s="147"/>
      <c r="EH326" s="147"/>
      <c r="EI326" s="147"/>
      <c r="EJ326" s="147"/>
      <c r="EK326" s="147"/>
      <c r="EL326" s="147"/>
      <c r="EM326" s="147"/>
      <c r="EN326" s="147"/>
      <c r="EO326" s="147"/>
      <c r="EP326" s="147"/>
      <c r="EQ326" s="147"/>
      <c r="ER326" s="147"/>
      <c r="ES326" s="147"/>
      <c r="ET326" s="147"/>
      <c r="EU326" s="147"/>
      <c r="EV326" s="147"/>
      <c r="EW326" s="147"/>
      <c r="EX326" s="147"/>
      <c r="EY326" s="147"/>
      <c r="EZ326" s="147"/>
      <c r="FA326" s="147"/>
      <c r="FB326" s="147"/>
      <c r="FC326" s="147"/>
      <c r="FD326" s="147"/>
      <c r="FE326" s="147"/>
      <c r="FF326" s="147"/>
      <c r="FG326" s="147"/>
      <c r="FH326" s="147"/>
      <c r="FI326" s="147"/>
      <c r="FJ326" s="147"/>
      <c r="FK326" s="147"/>
      <c r="FL326" s="147"/>
      <c r="FM326" s="147"/>
      <c r="FN326" s="147"/>
      <c r="FO326" s="147"/>
      <c r="FP326" s="147"/>
      <c r="FQ326" s="147"/>
      <c r="FR326" s="147"/>
      <c r="FS326" s="147"/>
      <c r="FT326" s="147"/>
      <c r="FU326" s="147"/>
      <c r="FV326" s="147"/>
      <c r="FW326" s="147"/>
      <c r="FX326" s="147"/>
      <c r="FY326" s="147"/>
      <c r="FZ326" s="147"/>
      <c r="GA326" s="147"/>
      <c r="GB326" s="147"/>
      <c r="GC326" s="147"/>
      <c r="GD326" s="147"/>
      <c r="GE326" s="147"/>
      <c r="GF326" s="147"/>
      <c r="GG326" s="147"/>
      <c r="GH326" s="147"/>
      <c r="GI326" s="147"/>
      <c r="GJ326" s="147"/>
      <c r="GK326" s="147"/>
      <c r="GL326" s="147"/>
      <c r="GM326" s="147"/>
      <c r="GN326" s="147"/>
      <c r="GO326" s="147"/>
      <c r="GP326" s="147"/>
      <c r="GQ326" s="147"/>
      <c r="GR326" s="147"/>
      <c r="GS326" s="147"/>
      <c r="GT326" s="147"/>
      <c r="GU326" s="147"/>
      <c r="GV326" s="147"/>
      <c r="GW326" s="147"/>
      <c r="GX326" s="147"/>
      <c r="GY326" s="147"/>
      <c r="GZ326" s="147"/>
      <c r="HA326" s="147"/>
      <c r="HB326" s="147"/>
      <c r="HC326" s="147"/>
      <c r="HD326" s="147"/>
      <c r="HE326" s="147"/>
      <c r="HF326" s="147"/>
      <c r="HG326" s="147"/>
      <c r="HH326" s="147"/>
      <c r="HI326" s="147"/>
      <c r="HJ326" s="147"/>
      <c r="HK326" s="147"/>
      <c r="HL326" s="147"/>
      <c r="HM326" s="147"/>
      <c r="HN326" s="147"/>
      <c r="HO326" s="147"/>
      <c r="HP326" s="147"/>
      <c r="HQ326" s="147"/>
      <c r="HR326" s="147"/>
      <c r="HS326" s="147"/>
      <c r="HT326" s="147"/>
      <c r="HU326" s="147"/>
      <c r="HV326" s="147"/>
      <c r="HW326" s="147"/>
      <c r="HX326" s="147"/>
      <c r="HY326" s="147"/>
      <c r="HZ326" s="147"/>
      <c r="IA326" s="147"/>
      <c r="IB326" s="147"/>
      <c r="IC326" s="147"/>
      <c r="ID326" s="147"/>
      <c r="IE326" s="147"/>
      <c r="IF326" s="147"/>
      <c r="IG326" s="147"/>
      <c r="IH326" s="147"/>
      <c r="II326" s="147"/>
      <c r="IJ326" s="147"/>
      <c r="IK326" s="147"/>
      <c r="IL326" s="147"/>
      <c r="IM326" s="147"/>
      <c r="IN326" s="147"/>
      <c r="IO326" s="147"/>
      <c r="IP326" s="147"/>
      <c r="IQ326" s="147"/>
      <c r="IR326" s="147"/>
      <c r="IS326" s="147"/>
      <c r="IT326" s="147"/>
      <c r="IU326" s="147"/>
      <c r="IV326" s="147"/>
      <c r="IW326" s="147"/>
      <c r="IX326" s="147"/>
      <c r="IY326" s="147"/>
      <c r="IZ326" s="147"/>
      <c r="JA326" s="147"/>
      <c r="JB326" s="147"/>
      <c r="JC326" s="147"/>
      <c r="JD326" s="147"/>
      <c r="JE326" s="147"/>
      <c r="JF326" s="147"/>
      <c r="JG326" s="147"/>
      <c r="JH326" s="147"/>
      <c r="JI326" s="147"/>
      <c r="JJ326" s="147"/>
      <c r="JK326" s="147"/>
      <c r="JL326" s="147"/>
      <c r="JM326" s="147"/>
      <c r="JN326" s="147"/>
      <c r="JO326" s="147"/>
      <c r="JP326" s="147"/>
      <c r="JQ326" s="147"/>
      <c r="JR326" s="147"/>
      <c r="JS326" s="147"/>
      <c r="JT326" s="147"/>
      <c r="JU326" s="147"/>
      <c r="JV326" s="147"/>
      <c r="JW326" s="147"/>
      <c r="JX326" s="147"/>
      <c r="JY326" s="147"/>
      <c r="JZ326" s="147"/>
      <c r="KA326" s="147"/>
      <c r="KB326" s="147"/>
      <c r="KC326" s="147"/>
      <c r="KD326" s="147"/>
      <c r="KE326" s="147"/>
      <c r="KF326" s="147"/>
      <c r="KG326" s="147"/>
      <c r="KH326" s="147"/>
      <c r="KI326" s="147"/>
      <c r="KJ326" s="147"/>
      <c r="KK326" s="147"/>
      <c r="KL326" s="147"/>
      <c r="KM326" s="147"/>
      <c r="KN326" s="147"/>
      <c r="KO326" s="147"/>
      <c r="KP326" s="147"/>
      <c r="KQ326" s="147"/>
      <c r="KR326" s="147"/>
      <c r="KS326" s="147"/>
      <c r="KT326" s="147"/>
      <c r="KU326" s="147"/>
      <c r="KV326" s="147"/>
      <c r="KW326" s="147"/>
      <c r="KX326" s="147"/>
      <c r="KY326" s="147"/>
      <c r="KZ326" s="147"/>
      <c r="LA326" s="147"/>
      <c r="LB326" s="147"/>
      <c r="LC326" s="147"/>
      <c r="LD326" s="147"/>
      <c r="LE326" s="147"/>
      <c r="LF326" s="147"/>
      <c r="LG326" s="147"/>
      <c r="LH326" s="147"/>
      <c r="LI326" s="147"/>
      <c r="LJ326" s="147"/>
      <c r="LK326" s="147"/>
      <c r="LL326" s="147"/>
      <c r="LM326" s="147"/>
      <c r="LN326" s="147"/>
      <c r="LO326" s="147"/>
      <c r="LP326" s="147"/>
      <c r="LQ326" s="147"/>
      <c r="LR326" s="147"/>
      <c r="LS326" s="147"/>
      <c r="LT326" s="147"/>
      <c r="LU326" s="147"/>
      <c r="LV326" s="147"/>
      <c r="LW326" s="147"/>
      <c r="LX326" s="147"/>
      <c r="LY326" s="147"/>
      <c r="LZ326" s="147"/>
      <c r="MA326" s="147"/>
      <c r="MB326" s="147"/>
      <c r="MC326" s="147"/>
      <c r="MD326" s="147"/>
      <c r="ME326" s="147"/>
      <c r="MF326" s="147"/>
      <c r="MG326" s="147"/>
      <c r="MH326" s="147"/>
      <c r="MI326" s="147"/>
      <c r="MJ326" s="147"/>
      <c r="MK326" s="147"/>
      <c r="ML326" s="147"/>
      <c r="MM326" s="147"/>
      <c r="MN326" s="147"/>
      <c r="MO326" s="147"/>
      <c r="MP326" s="147"/>
      <c r="MQ326" s="147"/>
      <c r="MR326" s="147"/>
      <c r="MS326" s="147"/>
      <c r="MT326" s="147"/>
      <c r="MU326" s="147"/>
      <c r="MV326" s="147"/>
      <c r="MW326" s="147"/>
      <c r="MX326" s="147"/>
      <c r="MY326" s="147"/>
      <c r="MZ326" s="147"/>
      <c r="NA326" s="147"/>
      <c r="NB326" s="147"/>
      <c r="NC326" s="147"/>
      <c r="ND326" s="147"/>
      <c r="NE326" s="147"/>
      <c r="NF326" s="147"/>
      <c r="NG326" s="147"/>
      <c r="NH326" s="147"/>
      <c r="NI326" s="147"/>
      <c r="NJ326" s="147"/>
      <c r="NK326" s="147"/>
      <c r="NL326" s="147"/>
      <c r="NM326" s="147"/>
      <c r="NN326" s="147"/>
      <c r="NO326" s="147"/>
      <c r="NP326" s="147"/>
      <c r="NQ326" s="147"/>
      <c r="NR326" s="147"/>
      <c r="NS326" s="147"/>
      <c r="NT326" s="147"/>
      <c r="NU326" s="147"/>
      <c r="NV326" s="147"/>
      <c r="NW326" s="147"/>
      <c r="NX326" s="147"/>
      <c r="NY326" s="147"/>
      <c r="NZ326" s="147"/>
      <c r="OA326" s="147"/>
      <c r="OB326" s="147"/>
      <c r="OC326" s="147"/>
      <c r="OD326" s="147"/>
      <c r="OE326" s="147"/>
      <c r="OF326" s="147"/>
      <c r="OG326" s="147"/>
      <c r="OH326" s="147"/>
      <c r="OI326" s="147"/>
      <c r="OJ326" s="147"/>
      <c r="OK326" s="147"/>
      <c r="OL326" s="147"/>
      <c r="OM326" s="147"/>
      <c r="ON326" s="147"/>
      <c r="OO326" s="147"/>
      <c r="OP326" s="147"/>
      <c r="OQ326" s="147"/>
      <c r="OR326" s="147"/>
      <c r="OS326" s="147"/>
      <c r="OT326" s="147"/>
      <c r="OU326" s="147"/>
      <c r="OV326" s="147"/>
      <c r="OW326" s="147"/>
      <c r="OX326" s="147"/>
      <c r="OY326" s="147"/>
      <c r="OZ326" s="147"/>
      <c r="PA326" s="147"/>
      <c r="PB326" s="147"/>
      <c r="PC326" s="147"/>
      <c r="PD326" s="147"/>
      <c r="PE326" s="147"/>
      <c r="PF326" s="147"/>
      <c r="PG326" s="147"/>
      <c r="PH326" s="147"/>
      <c r="PI326" s="147"/>
      <c r="PJ326" s="147"/>
      <c r="PK326" s="147"/>
      <c r="PL326" s="147"/>
      <c r="PM326" s="147"/>
      <c r="PN326" s="147"/>
      <c r="PO326" s="147"/>
      <c r="PP326" s="147"/>
      <c r="PQ326" s="147"/>
      <c r="PR326" s="147"/>
      <c r="PS326" s="147"/>
      <c r="PT326" s="147"/>
      <c r="PU326" s="147"/>
      <c r="PV326" s="147"/>
      <c r="PW326" s="147"/>
      <c r="PX326" s="147"/>
      <c r="PY326" s="147"/>
      <c r="PZ326" s="147"/>
      <c r="QA326" s="147"/>
      <c r="QB326" s="147"/>
      <c r="QC326" s="147"/>
      <c r="QD326" s="147"/>
      <c r="QE326" s="147"/>
      <c r="QF326" s="147"/>
      <c r="QG326" s="147"/>
      <c r="QH326" s="147"/>
      <c r="QI326" s="147"/>
      <c r="QJ326" s="147"/>
      <c r="QK326" s="147"/>
      <c r="QL326" s="147"/>
      <c r="QM326" s="147"/>
      <c r="QN326" s="147"/>
      <c r="QO326" s="147"/>
      <c r="QP326" s="147"/>
      <c r="QQ326" s="147"/>
      <c r="QR326" s="147"/>
      <c r="QS326" s="147"/>
      <c r="QT326" s="147"/>
      <c r="QU326" s="147"/>
      <c r="QV326" s="147"/>
      <c r="QW326" s="147"/>
      <c r="QX326" s="147"/>
      <c r="QY326" s="147"/>
      <c r="QZ326" s="147"/>
      <c r="RA326" s="147"/>
      <c r="RB326" s="147"/>
      <c r="RC326" s="147"/>
      <c r="RD326" s="147"/>
      <c r="RE326" s="147"/>
      <c r="RF326" s="147"/>
      <c r="RG326" s="147"/>
      <c r="RH326" s="147"/>
      <c r="RI326" s="147"/>
      <c r="RJ326" s="147"/>
      <c r="RK326" s="147"/>
      <c r="RL326" s="147"/>
      <c r="RM326" s="147"/>
      <c r="RN326" s="147"/>
      <c r="RO326" s="147"/>
      <c r="RP326" s="147"/>
      <c r="RQ326" s="147"/>
      <c r="RR326" s="147"/>
      <c r="RS326" s="147"/>
      <c r="RT326" s="147"/>
      <c r="RU326" s="147"/>
      <c r="RV326" s="147"/>
      <c r="RW326" s="147"/>
      <c r="RX326" s="147"/>
      <c r="RY326" s="147"/>
      <c r="RZ326" s="147"/>
      <c r="SA326" s="147"/>
      <c r="SB326" s="147"/>
      <c r="SC326" s="147"/>
      <c r="SD326" s="147"/>
      <c r="SE326" s="147"/>
      <c r="SF326" s="147"/>
      <c r="SG326" s="147"/>
      <c r="SH326" s="147"/>
      <c r="SI326" s="147"/>
      <c r="SJ326" s="147"/>
      <c r="SK326" s="147"/>
      <c r="SL326" s="147"/>
      <c r="SM326" s="147"/>
      <c r="SN326" s="147"/>
      <c r="SO326" s="147"/>
      <c r="SP326" s="147"/>
      <c r="SQ326" s="147"/>
      <c r="SR326" s="147"/>
      <c r="SS326" s="147"/>
      <c r="ST326" s="147"/>
      <c r="SU326" s="147"/>
      <c r="SV326" s="147"/>
      <c r="SW326" s="147"/>
      <c r="SX326" s="147"/>
      <c r="SY326" s="147"/>
      <c r="SZ326" s="147"/>
      <c r="TA326" s="147"/>
      <c r="TB326" s="147"/>
      <c r="TC326" s="147"/>
      <c r="TD326" s="147"/>
      <c r="TE326" s="147"/>
      <c r="TF326" s="147"/>
      <c r="TG326" s="147"/>
    </row>
    <row r="327" spans="1:527" s="28" customFormat="1" ht="34.5" customHeight="1" x14ac:dyDescent="0.25">
      <c r="A327" s="56"/>
      <c r="B327" s="61"/>
      <c r="C327" s="61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155"/>
    </row>
    <row r="328" spans="1:527" s="139" customFormat="1" ht="41.25" customHeight="1" x14ac:dyDescent="0.45">
      <c r="A328" s="137" t="s">
        <v>620</v>
      </c>
      <c r="B328" s="137"/>
      <c r="C328" s="137"/>
      <c r="D328" s="137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</row>
    <row r="329" spans="1:527" s="126" customFormat="1" ht="39.75" customHeight="1" x14ac:dyDescent="0.4">
      <c r="A329" s="163" t="s">
        <v>618</v>
      </c>
      <c r="B329" s="163"/>
      <c r="C329" s="163"/>
      <c r="D329" s="163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1:527" s="126" customFormat="1" ht="26.25" x14ac:dyDescent="0.4">
      <c r="A330" s="127"/>
      <c r="B330" s="128"/>
      <c r="C330" s="128"/>
      <c r="D330" s="129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1:527" s="28" customFormat="1" x14ac:dyDescent="0.25">
      <c r="A331" s="56"/>
      <c r="B331" s="61"/>
      <c r="C331" s="61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</row>
    <row r="332" spans="1:527" s="28" customFormat="1" x14ac:dyDescent="0.25">
      <c r="A332" s="56"/>
      <c r="B332" s="61"/>
      <c r="C332" s="61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</row>
    <row r="333" spans="1:527" s="28" customFormat="1" x14ac:dyDescent="0.25">
      <c r="A333" s="56"/>
      <c r="B333" s="61"/>
      <c r="C333" s="61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</row>
    <row r="334" spans="1:527" s="28" customFormat="1" x14ac:dyDescent="0.25">
      <c r="A334" s="56"/>
      <c r="B334" s="61"/>
      <c r="C334" s="61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</row>
    <row r="335" spans="1:527" s="28" customFormat="1" x14ac:dyDescent="0.25">
      <c r="A335" s="56"/>
      <c r="B335" s="61"/>
      <c r="C335" s="61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155"/>
    </row>
    <row r="336" spans="1:527" s="28" customFormat="1" x14ac:dyDescent="0.25">
      <c r="A336" s="56"/>
      <c r="B336" s="61"/>
      <c r="C336" s="61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155"/>
    </row>
    <row r="337" spans="1:16" s="28" customFormat="1" x14ac:dyDescent="0.25">
      <c r="A337" s="56"/>
      <c r="B337" s="61"/>
      <c r="C337" s="61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155"/>
    </row>
    <row r="338" spans="1:16" s="28" customFormat="1" x14ac:dyDescent="0.25">
      <c r="A338" s="56"/>
      <c r="B338" s="61"/>
      <c r="C338" s="61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155"/>
    </row>
    <row r="339" spans="1:16" s="28" customFormat="1" x14ac:dyDescent="0.25">
      <c r="A339" s="56"/>
      <c r="B339" s="61"/>
      <c r="C339" s="61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155"/>
    </row>
    <row r="340" spans="1:16" s="28" customFormat="1" x14ac:dyDescent="0.25">
      <c r="A340" s="56"/>
      <c r="B340" s="61"/>
      <c r="C340" s="61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155"/>
    </row>
    <row r="341" spans="1:16" s="28" customFormat="1" x14ac:dyDescent="0.25">
      <c r="A341" s="56"/>
      <c r="B341" s="61"/>
      <c r="C341" s="61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155"/>
    </row>
    <row r="342" spans="1:16" s="28" customFormat="1" x14ac:dyDescent="0.25">
      <c r="A342" s="56"/>
      <c r="B342" s="61"/>
      <c r="C342" s="61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155"/>
    </row>
    <row r="343" spans="1:16" s="28" customForma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155"/>
    </row>
    <row r="344" spans="1:16" s="28" customFormat="1" x14ac:dyDescent="0.25">
      <c r="A344" s="56"/>
      <c r="B344" s="61"/>
      <c r="C344" s="61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55"/>
    </row>
    <row r="345" spans="1:16" s="28" customFormat="1" x14ac:dyDescent="0.25">
      <c r="A345" s="56"/>
      <c r="B345" s="61"/>
      <c r="C345" s="61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155"/>
    </row>
    <row r="346" spans="1:16" s="28" customForma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155"/>
    </row>
    <row r="347" spans="1:16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155"/>
    </row>
    <row r="348" spans="1:16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155"/>
    </row>
    <row r="349" spans="1:16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155"/>
    </row>
    <row r="350" spans="1:16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155"/>
    </row>
    <row r="351" spans="1:16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55"/>
    </row>
    <row r="352" spans="1:16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55"/>
    </row>
    <row r="353" spans="1:16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55"/>
    </row>
    <row r="354" spans="1:16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55"/>
    </row>
    <row r="355" spans="1:16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55"/>
    </row>
    <row r="356" spans="1:16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55"/>
    </row>
    <row r="357" spans="1:16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55"/>
    </row>
    <row r="358" spans="1:16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55"/>
    </row>
    <row r="359" spans="1:16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55"/>
    </row>
    <row r="360" spans="1:16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55"/>
    </row>
    <row r="361" spans="1:16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55"/>
    </row>
    <row r="362" spans="1:16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55"/>
    </row>
    <row r="363" spans="1:16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55"/>
    </row>
    <row r="364" spans="1:16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55"/>
    </row>
    <row r="365" spans="1:16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55"/>
    </row>
    <row r="366" spans="1:16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55"/>
    </row>
    <row r="367" spans="1:16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55"/>
    </row>
    <row r="368" spans="1:16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55"/>
    </row>
    <row r="369" spans="1:16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55"/>
    </row>
    <row r="370" spans="1:16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55"/>
    </row>
    <row r="371" spans="1:16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55"/>
    </row>
    <row r="372" spans="1:16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55"/>
    </row>
    <row r="373" spans="1:16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55"/>
    </row>
    <row r="374" spans="1:16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55"/>
    </row>
    <row r="375" spans="1:16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55"/>
    </row>
    <row r="376" spans="1:16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55"/>
    </row>
    <row r="377" spans="1:16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55"/>
    </row>
    <row r="378" spans="1:16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55"/>
    </row>
    <row r="379" spans="1:16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55"/>
    </row>
    <row r="380" spans="1:16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55"/>
    </row>
    <row r="381" spans="1:16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55"/>
    </row>
    <row r="382" spans="1:16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55"/>
    </row>
    <row r="383" spans="1:16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55"/>
    </row>
    <row r="384" spans="1:16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55"/>
    </row>
    <row r="385" spans="1:16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55"/>
    </row>
    <row r="386" spans="1:16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55"/>
    </row>
    <row r="387" spans="1:16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55"/>
    </row>
    <row r="388" spans="1:16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55"/>
    </row>
    <row r="389" spans="1:16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55"/>
    </row>
    <row r="390" spans="1:16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55"/>
    </row>
    <row r="391" spans="1:16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55"/>
    </row>
    <row r="392" spans="1:16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55"/>
    </row>
    <row r="393" spans="1:16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55"/>
    </row>
    <row r="394" spans="1:16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55"/>
    </row>
    <row r="395" spans="1:16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55"/>
    </row>
    <row r="396" spans="1:16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55"/>
    </row>
    <row r="397" spans="1:16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55"/>
    </row>
    <row r="398" spans="1:16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55"/>
    </row>
    <row r="399" spans="1:16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55"/>
    </row>
    <row r="400" spans="1:16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55"/>
    </row>
    <row r="401" spans="1:16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55"/>
    </row>
    <row r="402" spans="1:16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55"/>
    </row>
    <row r="403" spans="1:16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55"/>
    </row>
    <row r="404" spans="1:16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55"/>
    </row>
    <row r="405" spans="1:16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55"/>
    </row>
    <row r="406" spans="1:16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55"/>
    </row>
    <row r="407" spans="1:16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55"/>
    </row>
    <row r="408" spans="1:16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55"/>
    </row>
    <row r="409" spans="1:16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55"/>
    </row>
    <row r="410" spans="1:16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55"/>
    </row>
    <row r="411" spans="1:16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55"/>
    </row>
    <row r="412" spans="1:16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55"/>
    </row>
    <row r="413" spans="1:16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55"/>
    </row>
    <row r="414" spans="1:16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55"/>
    </row>
    <row r="415" spans="1:16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55"/>
    </row>
    <row r="416" spans="1:16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55"/>
    </row>
    <row r="417" spans="1:16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55"/>
    </row>
    <row r="418" spans="1:16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55"/>
    </row>
    <row r="419" spans="1:16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55"/>
    </row>
    <row r="420" spans="1:16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55"/>
    </row>
    <row r="421" spans="1:16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55"/>
    </row>
    <row r="422" spans="1:16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55"/>
    </row>
    <row r="423" spans="1:16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55"/>
    </row>
    <row r="424" spans="1:16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55"/>
    </row>
    <row r="425" spans="1:16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55"/>
    </row>
    <row r="426" spans="1:16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55"/>
    </row>
    <row r="427" spans="1:16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55"/>
    </row>
    <row r="428" spans="1:16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55"/>
    </row>
    <row r="429" spans="1:16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55"/>
    </row>
    <row r="430" spans="1:16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55"/>
    </row>
    <row r="431" spans="1:16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55"/>
    </row>
    <row r="432" spans="1:16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55"/>
    </row>
    <row r="433" spans="1:16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55"/>
    </row>
    <row r="434" spans="1:16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55"/>
    </row>
    <row r="435" spans="1:16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55"/>
    </row>
    <row r="436" spans="1:16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55"/>
    </row>
    <row r="437" spans="1:16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55"/>
    </row>
    <row r="438" spans="1:16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55"/>
    </row>
    <row r="439" spans="1:16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55"/>
    </row>
    <row r="440" spans="1:16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55"/>
    </row>
    <row r="441" spans="1:16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55"/>
    </row>
    <row r="442" spans="1:16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55"/>
    </row>
    <row r="443" spans="1:16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55"/>
    </row>
    <row r="444" spans="1:16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55"/>
    </row>
    <row r="445" spans="1:16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55"/>
    </row>
    <row r="446" spans="1:16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55"/>
    </row>
    <row r="447" spans="1:16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55"/>
    </row>
    <row r="448" spans="1:16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55"/>
    </row>
    <row r="449" spans="1:16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55"/>
    </row>
    <row r="450" spans="1:16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55"/>
    </row>
    <row r="451" spans="1:16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55"/>
    </row>
    <row r="452" spans="1:16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55"/>
    </row>
    <row r="453" spans="1:16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55"/>
    </row>
    <row r="454" spans="1:16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55"/>
    </row>
    <row r="455" spans="1:16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55"/>
    </row>
    <row r="456" spans="1:16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55"/>
    </row>
    <row r="457" spans="1:16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55"/>
    </row>
    <row r="458" spans="1:16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55"/>
    </row>
    <row r="459" spans="1:16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55"/>
    </row>
    <row r="460" spans="1:16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55"/>
    </row>
    <row r="461" spans="1:16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55"/>
    </row>
    <row r="462" spans="1:16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55"/>
    </row>
    <row r="463" spans="1:16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55"/>
    </row>
    <row r="464" spans="1:16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55"/>
    </row>
    <row r="465" spans="1:16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55"/>
    </row>
    <row r="466" spans="1:16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55"/>
    </row>
    <row r="467" spans="1:16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55"/>
    </row>
    <row r="468" spans="1:16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55"/>
    </row>
    <row r="469" spans="1:16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55"/>
    </row>
    <row r="470" spans="1:16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55"/>
    </row>
    <row r="471" spans="1:16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55"/>
    </row>
    <row r="472" spans="1:16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55"/>
    </row>
    <row r="473" spans="1:16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55"/>
    </row>
    <row r="474" spans="1:16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55"/>
    </row>
    <row r="475" spans="1:16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55"/>
    </row>
    <row r="476" spans="1:16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55"/>
    </row>
    <row r="477" spans="1:16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55"/>
    </row>
    <row r="478" spans="1:16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55"/>
    </row>
    <row r="479" spans="1:16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55"/>
    </row>
    <row r="480" spans="1:16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55"/>
    </row>
    <row r="481" spans="1:16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55"/>
    </row>
    <row r="482" spans="1:16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55"/>
    </row>
    <row r="483" spans="1:16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55"/>
    </row>
    <row r="484" spans="1:16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55"/>
    </row>
    <row r="485" spans="1:16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55"/>
    </row>
    <row r="486" spans="1:16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55"/>
    </row>
    <row r="487" spans="1:16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55"/>
    </row>
    <row r="488" spans="1:16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55"/>
    </row>
    <row r="489" spans="1:16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55"/>
    </row>
    <row r="490" spans="1:16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55"/>
    </row>
    <row r="491" spans="1:16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55"/>
    </row>
    <row r="492" spans="1:16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55"/>
    </row>
    <row r="493" spans="1:16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55"/>
    </row>
    <row r="494" spans="1:16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55"/>
    </row>
    <row r="495" spans="1:16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55"/>
    </row>
    <row r="496" spans="1:16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55"/>
    </row>
    <row r="497" spans="1:16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55"/>
    </row>
    <row r="498" spans="1:16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55"/>
    </row>
    <row r="499" spans="1:16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55"/>
    </row>
    <row r="500" spans="1:16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55"/>
    </row>
    <row r="501" spans="1:16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55"/>
    </row>
    <row r="502" spans="1:16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55"/>
    </row>
    <row r="503" spans="1:16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55"/>
    </row>
    <row r="504" spans="1:16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55"/>
    </row>
    <row r="505" spans="1:16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55"/>
    </row>
    <row r="506" spans="1:16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55"/>
    </row>
    <row r="507" spans="1:16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55"/>
    </row>
    <row r="508" spans="1:16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55"/>
    </row>
    <row r="509" spans="1:16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55"/>
    </row>
    <row r="510" spans="1:16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55"/>
    </row>
    <row r="511" spans="1:16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55"/>
    </row>
    <row r="512" spans="1:16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55"/>
    </row>
    <row r="513" spans="1:16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55"/>
    </row>
    <row r="514" spans="1:16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55"/>
    </row>
    <row r="515" spans="1:16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55"/>
    </row>
    <row r="516" spans="1:16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55"/>
    </row>
    <row r="517" spans="1:16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55"/>
    </row>
    <row r="518" spans="1:16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55"/>
    </row>
    <row r="519" spans="1:16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55"/>
    </row>
    <row r="520" spans="1:16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55"/>
    </row>
    <row r="521" spans="1:16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55"/>
    </row>
    <row r="522" spans="1:16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55"/>
    </row>
    <row r="523" spans="1:16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55"/>
    </row>
    <row r="524" spans="1:16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55"/>
    </row>
    <row r="525" spans="1:16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55"/>
    </row>
    <row r="526" spans="1:16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55"/>
    </row>
    <row r="527" spans="1:16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55"/>
    </row>
    <row r="528" spans="1:16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55"/>
    </row>
    <row r="529" spans="1:16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55"/>
    </row>
    <row r="530" spans="1:16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55"/>
    </row>
    <row r="531" spans="1:16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55"/>
    </row>
    <row r="532" spans="1:16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55"/>
    </row>
    <row r="533" spans="1:16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55"/>
    </row>
    <row r="534" spans="1:16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55"/>
    </row>
    <row r="535" spans="1:16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55"/>
    </row>
    <row r="536" spans="1:16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55"/>
    </row>
    <row r="537" spans="1:16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55"/>
    </row>
    <row r="538" spans="1:16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55"/>
    </row>
    <row r="539" spans="1:16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55"/>
    </row>
    <row r="540" spans="1:16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55"/>
    </row>
    <row r="541" spans="1:16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55"/>
    </row>
    <row r="542" spans="1:16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55"/>
    </row>
    <row r="543" spans="1:16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55"/>
    </row>
    <row r="544" spans="1:16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55"/>
    </row>
    <row r="545" spans="1:16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55"/>
    </row>
    <row r="546" spans="1:16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55"/>
    </row>
    <row r="547" spans="1:16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55"/>
    </row>
    <row r="548" spans="1:16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55"/>
    </row>
    <row r="549" spans="1:16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55"/>
    </row>
    <row r="550" spans="1:16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55"/>
    </row>
    <row r="551" spans="1:16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55"/>
    </row>
    <row r="552" spans="1:16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55"/>
    </row>
    <row r="553" spans="1:16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55"/>
    </row>
    <row r="554" spans="1:16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55"/>
    </row>
    <row r="555" spans="1:16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55"/>
    </row>
    <row r="556" spans="1:16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55"/>
    </row>
    <row r="557" spans="1:16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55"/>
    </row>
    <row r="558" spans="1:16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55"/>
    </row>
    <row r="559" spans="1:16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55"/>
    </row>
    <row r="560" spans="1:16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55"/>
    </row>
    <row r="561" spans="1:16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55"/>
    </row>
    <row r="562" spans="1:16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55"/>
    </row>
    <row r="563" spans="1:16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55"/>
    </row>
    <row r="564" spans="1:16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55"/>
    </row>
    <row r="565" spans="1:16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55"/>
    </row>
    <row r="566" spans="1:16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55"/>
    </row>
    <row r="567" spans="1:16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55"/>
    </row>
    <row r="568" spans="1:16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55"/>
    </row>
    <row r="569" spans="1:16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55"/>
    </row>
    <row r="570" spans="1:16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55"/>
    </row>
    <row r="571" spans="1:16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55"/>
    </row>
    <row r="572" spans="1:16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55"/>
    </row>
    <row r="573" spans="1:16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55"/>
    </row>
    <row r="574" spans="1:16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55"/>
    </row>
    <row r="575" spans="1:16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55"/>
    </row>
    <row r="576" spans="1:16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55"/>
    </row>
    <row r="577" spans="1:16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55"/>
    </row>
    <row r="578" spans="1:16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55"/>
    </row>
    <row r="579" spans="1:16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55"/>
    </row>
    <row r="580" spans="1:16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55"/>
    </row>
    <row r="581" spans="1:16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55"/>
    </row>
    <row r="582" spans="1:16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55"/>
    </row>
    <row r="583" spans="1:16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55"/>
    </row>
    <row r="584" spans="1:16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55"/>
    </row>
    <row r="585" spans="1:16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55"/>
    </row>
    <row r="586" spans="1:16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55"/>
    </row>
    <row r="587" spans="1:16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55"/>
    </row>
    <row r="588" spans="1:16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55"/>
    </row>
    <row r="589" spans="1:16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55"/>
    </row>
    <row r="590" spans="1:16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55"/>
    </row>
    <row r="591" spans="1:16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55"/>
    </row>
    <row r="592" spans="1:16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55"/>
    </row>
    <row r="593" spans="1:16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55"/>
    </row>
    <row r="594" spans="1:16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55"/>
    </row>
    <row r="595" spans="1:16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55"/>
    </row>
    <row r="596" spans="1:16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55"/>
    </row>
    <row r="597" spans="1:16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55"/>
    </row>
    <row r="598" spans="1:16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55"/>
    </row>
    <row r="599" spans="1:16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55"/>
    </row>
    <row r="600" spans="1:16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55"/>
    </row>
    <row r="601" spans="1:16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55"/>
    </row>
    <row r="602" spans="1:16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55"/>
    </row>
    <row r="603" spans="1:16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55"/>
    </row>
    <row r="604" spans="1:16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55"/>
    </row>
    <row r="605" spans="1:16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55"/>
    </row>
    <row r="606" spans="1:16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55"/>
    </row>
    <row r="607" spans="1:16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55"/>
    </row>
    <row r="608" spans="1:16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55"/>
    </row>
    <row r="609" spans="1:16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55"/>
    </row>
    <row r="610" spans="1:16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55"/>
    </row>
    <row r="611" spans="1:16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55"/>
    </row>
    <row r="612" spans="1:16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55"/>
    </row>
    <row r="613" spans="1:16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55"/>
    </row>
    <row r="614" spans="1:16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55"/>
    </row>
    <row r="615" spans="1:16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55"/>
    </row>
    <row r="616" spans="1:16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55"/>
    </row>
    <row r="617" spans="1:16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55"/>
    </row>
    <row r="618" spans="1:16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55"/>
    </row>
    <row r="619" spans="1:16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55"/>
    </row>
    <row r="620" spans="1:16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55"/>
    </row>
    <row r="621" spans="1:16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55"/>
    </row>
    <row r="622" spans="1:16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55"/>
    </row>
    <row r="623" spans="1:16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55"/>
    </row>
    <row r="624" spans="1:16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55"/>
    </row>
    <row r="625" spans="1:16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55"/>
    </row>
    <row r="626" spans="1:16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55"/>
    </row>
    <row r="627" spans="1:16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55"/>
    </row>
    <row r="628" spans="1:16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55"/>
    </row>
    <row r="629" spans="1:16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55"/>
    </row>
    <row r="630" spans="1:16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55"/>
    </row>
    <row r="631" spans="1:16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55"/>
    </row>
    <row r="632" spans="1:16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55"/>
    </row>
    <row r="633" spans="1:16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55"/>
    </row>
    <row r="634" spans="1:16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55"/>
    </row>
    <row r="635" spans="1:16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55"/>
    </row>
    <row r="636" spans="1:16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55"/>
    </row>
    <row r="637" spans="1:16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55"/>
    </row>
    <row r="638" spans="1:16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55"/>
    </row>
    <row r="639" spans="1:16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55"/>
    </row>
    <row r="640" spans="1:16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55"/>
    </row>
    <row r="641" spans="1:16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55"/>
    </row>
    <row r="642" spans="1:16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55"/>
    </row>
    <row r="643" spans="1:16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55"/>
    </row>
    <row r="644" spans="1:16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55"/>
    </row>
    <row r="645" spans="1:16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55"/>
    </row>
    <row r="646" spans="1:16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55"/>
    </row>
    <row r="647" spans="1:16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55"/>
    </row>
    <row r="648" spans="1:16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55"/>
    </row>
    <row r="649" spans="1:16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55"/>
    </row>
    <row r="650" spans="1:16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55"/>
    </row>
    <row r="651" spans="1:16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55"/>
    </row>
    <row r="652" spans="1:16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55"/>
    </row>
    <row r="653" spans="1:16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55"/>
    </row>
    <row r="654" spans="1:16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55"/>
    </row>
    <row r="655" spans="1:16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55"/>
    </row>
    <row r="656" spans="1:16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55"/>
    </row>
    <row r="657" spans="1:16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55"/>
    </row>
    <row r="658" spans="1:16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55"/>
    </row>
    <row r="659" spans="1:16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55"/>
    </row>
    <row r="660" spans="1:16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55"/>
    </row>
    <row r="661" spans="1:16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55"/>
    </row>
    <row r="662" spans="1:16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55"/>
    </row>
    <row r="663" spans="1:16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55"/>
    </row>
    <row r="664" spans="1:16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55"/>
    </row>
    <row r="665" spans="1:16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55"/>
    </row>
    <row r="666" spans="1:16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55"/>
    </row>
    <row r="667" spans="1:16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55"/>
    </row>
    <row r="668" spans="1:16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55"/>
    </row>
    <row r="669" spans="1:16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55"/>
    </row>
    <row r="670" spans="1:16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55"/>
    </row>
    <row r="671" spans="1:16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55"/>
    </row>
    <row r="672" spans="1:16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55"/>
    </row>
    <row r="673" spans="1:16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55"/>
    </row>
    <row r="674" spans="1:16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55"/>
    </row>
    <row r="675" spans="1:16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55"/>
    </row>
    <row r="676" spans="1:16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55"/>
    </row>
    <row r="677" spans="1:16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55"/>
    </row>
    <row r="678" spans="1:16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55"/>
    </row>
    <row r="679" spans="1:16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55"/>
    </row>
    <row r="680" spans="1:16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55"/>
    </row>
    <row r="681" spans="1:16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55"/>
    </row>
    <row r="682" spans="1:16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55"/>
    </row>
    <row r="683" spans="1:16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55"/>
    </row>
    <row r="684" spans="1:16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55"/>
    </row>
    <row r="685" spans="1:16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55"/>
    </row>
    <row r="686" spans="1:16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55"/>
    </row>
    <row r="687" spans="1:16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55"/>
    </row>
    <row r="688" spans="1:16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55"/>
    </row>
    <row r="689" spans="1:16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55"/>
    </row>
    <row r="690" spans="1:16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55"/>
    </row>
    <row r="691" spans="1:16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55"/>
    </row>
    <row r="692" spans="1:16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55"/>
    </row>
    <row r="693" spans="1:16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55"/>
    </row>
    <row r="694" spans="1:16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55"/>
    </row>
    <row r="695" spans="1:16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55"/>
    </row>
    <row r="696" spans="1:16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55"/>
    </row>
    <row r="697" spans="1:16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55"/>
    </row>
    <row r="698" spans="1:16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55"/>
    </row>
    <row r="699" spans="1:16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55"/>
    </row>
    <row r="700" spans="1:16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55"/>
    </row>
    <row r="701" spans="1:16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55"/>
    </row>
    <row r="702" spans="1:16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55"/>
    </row>
    <row r="703" spans="1:16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55"/>
    </row>
    <row r="704" spans="1:16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55"/>
    </row>
    <row r="705" spans="1:16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55"/>
    </row>
    <row r="706" spans="1:16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55"/>
    </row>
    <row r="707" spans="1:16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55"/>
    </row>
    <row r="708" spans="1:16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55"/>
    </row>
    <row r="709" spans="1:16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55"/>
    </row>
    <row r="710" spans="1:16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55"/>
    </row>
    <row r="711" spans="1:16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55"/>
    </row>
    <row r="712" spans="1:16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55"/>
    </row>
    <row r="713" spans="1:16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55"/>
    </row>
    <row r="714" spans="1:16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55"/>
    </row>
    <row r="715" spans="1:16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55"/>
    </row>
    <row r="716" spans="1:16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55"/>
    </row>
    <row r="717" spans="1:16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55"/>
    </row>
    <row r="718" spans="1:16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55"/>
    </row>
    <row r="719" spans="1:16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55"/>
    </row>
    <row r="720" spans="1:16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55"/>
    </row>
    <row r="721" spans="1:16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55"/>
    </row>
    <row r="722" spans="1:16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55"/>
    </row>
    <row r="723" spans="1:16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55"/>
    </row>
    <row r="724" spans="1:16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55"/>
    </row>
    <row r="725" spans="1:16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55"/>
    </row>
    <row r="726" spans="1:16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55"/>
    </row>
    <row r="727" spans="1:16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55"/>
    </row>
    <row r="728" spans="1:16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55"/>
    </row>
    <row r="729" spans="1:16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55"/>
    </row>
    <row r="730" spans="1:16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55"/>
    </row>
    <row r="731" spans="1:16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55"/>
    </row>
    <row r="732" spans="1:16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55"/>
    </row>
    <row r="733" spans="1:16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55"/>
    </row>
    <row r="734" spans="1:16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55"/>
    </row>
    <row r="735" spans="1:16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55"/>
    </row>
    <row r="736" spans="1:16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55"/>
    </row>
    <row r="737" spans="1:16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55"/>
    </row>
    <row r="738" spans="1:16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55"/>
    </row>
    <row r="739" spans="1:16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55"/>
    </row>
    <row r="740" spans="1:16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55"/>
    </row>
    <row r="741" spans="1:16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55"/>
    </row>
    <row r="742" spans="1:16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55"/>
    </row>
    <row r="743" spans="1:16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55"/>
    </row>
    <row r="744" spans="1:16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55"/>
    </row>
    <row r="745" spans="1:16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55"/>
    </row>
    <row r="746" spans="1:16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55"/>
    </row>
    <row r="747" spans="1:16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55"/>
    </row>
    <row r="748" spans="1:16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55"/>
    </row>
    <row r="749" spans="1:16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55"/>
    </row>
    <row r="750" spans="1:16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55"/>
    </row>
    <row r="751" spans="1:16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55"/>
    </row>
    <row r="752" spans="1:16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55"/>
    </row>
    <row r="753" spans="1:16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55"/>
    </row>
    <row r="754" spans="1:16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55"/>
    </row>
    <row r="755" spans="1:16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55"/>
    </row>
    <row r="756" spans="1:16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55"/>
    </row>
    <row r="757" spans="1:16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55"/>
    </row>
    <row r="758" spans="1:16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55"/>
    </row>
    <row r="759" spans="1:16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55"/>
    </row>
    <row r="760" spans="1:16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55"/>
    </row>
    <row r="761" spans="1:16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55"/>
    </row>
    <row r="762" spans="1:16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55"/>
    </row>
    <row r="763" spans="1:16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55"/>
    </row>
    <row r="764" spans="1:16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55"/>
    </row>
    <row r="765" spans="1:16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55"/>
    </row>
    <row r="766" spans="1:16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55"/>
    </row>
    <row r="767" spans="1:16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55"/>
    </row>
    <row r="768" spans="1:16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55"/>
    </row>
    <row r="769" spans="1:16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55"/>
    </row>
    <row r="770" spans="1:16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55"/>
    </row>
    <row r="771" spans="1:16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55"/>
    </row>
    <row r="772" spans="1:16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55"/>
    </row>
    <row r="773" spans="1:16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55"/>
    </row>
    <row r="774" spans="1:16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55"/>
    </row>
    <row r="775" spans="1:16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55"/>
    </row>
    <row r="776" spans="1:16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55"/>
    </row>
    <row r="777" spans="1:16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55"/>
    </row>
    <row r="778" spans="1:16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55"/>
    </row>
    <row r="779" spans="1:16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55"/>
    </row>
    <row r="780" spans="1:16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55"/>
    </row>
    <row r="781" spans="1:16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55"/>
    </row>
    <row r="782" spans="1:16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55"/>
    </row>
    <row r="783" spans="1:16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55"/>
    </row>
    <row r="784" spans="1:16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55"/>
    </row>
    <row r="785" spans="1:16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55"/>
    </row>
    <row r="786" spans="1:16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55"/>
    </row>
    <row r="787" spans="1:16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55"/>
    </row>
    <row r="788" spans="1:16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55"/>
    </row>
    <row r="789" spans="1:16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55"/>
    </row>
    <row r="790" spans="1:16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55"/>
    </row>
    <row r="791" spans="1:16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55"/>
    </row>
    <row r="792" spans="1:16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55"/>
    </row>
    <row r="793" spans="1:16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55"/>
    </row>
    <row r="794" spans="1:16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55"/>
    </row>
    <row r="795" spans="1:16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55"/>
    </row>
    <row r="796" spans="1:16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55"/>
    </row>
    <row r="797" spans="1:16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55"/>
    </row>
    <row r="798" spans="1:16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55"/>
    </row>
    <row r="799" spans="1:16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55"/>
    </row>
    <row r="800" spans="1:16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55"/>
    </row>
    <row r="801" spans="1:16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55"/>
    </row>
    <row r="802" spans="1:16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55"/>
    </row>
    <row r="803" spans="1:16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55"/>
    </row>
    <row r="804" spans="1:16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55"/>
    </row>
    <row r="805" spans="1:16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55"/>
    </row>
    <row r="806" spans="1:16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55"/>
    </row>
    <row r="807" spans="1:16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55"/>
    </row>
    <row r="808" spans="1:16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55"/>
    </row>
    <row r="809" spans="1:16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55"/>
    </row>
    <row r="810" spans="1:16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55"/>
    </row>
    <row r="811" spans="1:16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55"/>
    </row>
    <row r="812" spans="1:16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55"/>
    </row>
    <row r="813" spans="1:16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55"/>
    </row>
    <row r="814" spans="1:16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55"/>
    </row>
    <row r="815" spans="1:16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55"/>
    </row>
    <row r="816" spans="1:16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55"/>
    </row>
    <row r="817" spans="1:16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55"/>
    </row>
    <row r="818" spans="1:16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55"/>
    </row>
    <row r="819" spans="1:16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55"/>
    </row>
    <row r="820" spans="1:16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55"/>
    </row>
    <row r="821" spans="1:16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55"/>
    </row>
    <row r="822" spans="1:16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55"/>
    </row>
    <row r="823" spans="1:16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55"/>
    </row>
    <row r="824" spans="1:16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55"/>
    </row>
    <row r="825" spans="1:16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55"/>
    </row>
    <row r="826" spans="1:16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55"/>
    </row>
    <row r="827" spans="1:16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55"/>
    </row>
    <row r="828" spans="1:16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55"/>
    </row>
    <row r="829" spans="1:16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55"/>
    </row>
    <row r="830" spans="1:16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55"/>
    </row>
    <row r="831" spans="1:16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55"/>
    </row>
    <row r="832" spans="1:16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55"/>
    </row>
    <row r="833" spans="1:16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55"/>
    </row>
    <row r="834" spans="1:16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55"/>
    </row>
    <row r="835" spans="1:16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55"/>
    </row>
    <row r="836" spans="1:16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55"/>
    </row>
    <row r="837" spans="1:16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55"/>
    </row>
    <row r="838" spans="1:16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55"/>
    </row>
    <row r="839" spans="1:16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55"/>
    </row>
    <row r="840" spans="1:16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55"/>
    </row>
    <row r="841" spans="1:16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55"/>
    </row>
    <row r="842" spans="1:16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55"/>
    </row>
    <row r="843" spans="1:16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55"/>
    </row>
    <row r="844" spans="1:16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55"/>
    </row>
    <row r="845" spans="1:16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55"/>
    </row>
    <row r="846" spans="1:16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55"/>
    </row>
    <row r="847" spans="1:16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55"/>
    </row>
    <row r="848" spans="1:16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55"/>
    </row>
    <row r="849" spans="1:16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55"/>
    </row>
    <row r="850" spans="1:16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55"/>
    </row>
    <row r="851" spans="1:16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55"/>
    </row>
    <row r="852" spans="1:16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55"/>
    </row>
    <row r="853" spans="1:16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55"/>
    </row>
    <row r="854" spans="1:16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55"/>
    </row>
    <row r="855" spans="1:16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55"/>
    </row>
    <row r="856" spans="1:16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55"/>
    </row>
    <row r="857" spans="1:16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55"/>
    </row>
    <row r="858" spans="1:16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55"/>
    </row>
    <row r="859" spans="1:16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55"/>
    </row>
    <row r="860" spans="1:16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55"/>
    </row>
    <row r="861" spans="1:16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55"/>
    </row>
    <row r="862" spans="1:16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55"/>
    </row>
    <row r="863" spans="1:16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55"/>
    </row>
    <row r="864" spans="1:16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55"/>
    </row>
    <row r="865" spans="1:16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55"/>
    </row>
    <row r="866" spans="1:16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55"/>
    </row>
    <row r="867" spans="1:16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55"/>
    </row>
    <row r="868" spans="1:16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55"/>
    </row>
    <row r="869" spans="1:16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55"/>
    </row>
    <row r="870" spans="1:16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55"/>
    </row>
    <row r="871" spans="1:16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55"/>
    </row>
    <row r="872" spans="1:16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55"/>
    </row>
    <row r="873" spans="1:16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55"/>
    </row>
    <row r="874" spans="1:16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55"/>
    </row>
    <row r="875" spans="1:16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55"/>
    </row>
    <row r="876" spans="1:16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55"/>
    </row>
    <row r="877" spans="1:16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55"/>
    </row>
    <row r="878" spans="1:16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55"/>
    </row>
    <row r="879" spans="1:16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55"/>
    </row>
    <row r="880" spans="1:16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55"/>
    </row>
    <row r="881" spans="1:16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55"/>
    </row>
    <row r="882" spans="1:16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55"/>
    </row>
    <row r="883" spans="1:16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55"/>
    </row>
    <row r="884" spans="1:16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55"/>
    </row>
    <row r="885" spans="1:16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55"/>
    </row>
    <row r="886" spans="1:16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55"/>
    </row>
    <row r="887" spans="1:16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55"/>
    </row>
    <row r="888" spans="1:16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55"/>
    </row>
    <row r="889" spans="1:16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55"/>
    </row>
    <row r="890" spans="1:16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55"/>
    </row>
    <row r="891" spans="1:16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55"/>
    </row>
    <row r="892" spans="1:16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55"/>
    </row>
    <row r="893" spans="1:16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55"/>
    </row>
    <row r="894" spans="1:16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55"/>
    </row>
    <row r="895" spans="1:16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55"/>
    </row>
    <row r="896" spans="1:16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55"/>
    </row>
    <row r="897" spans="1:16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55"/>
    </row>
    <row r="898" spans="1:16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55"/>
    </row>
    <row r="899" spans="1:16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55"/>
    </row>
    <row r="900" spans="1:16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55"/>
    </row>
    <row r="901" spans="1:16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55"/>
    </row>
    <row r="902" spans="1:16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55"/>
    </row>
    <row r="903" spans="1:16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55"/>
    </row>
    <row r="904" spans="1:16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55"/>
    </row>
    <row r="905" spans="1:16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55"/>
    </row>
    <row r="906" spans="1:16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55"/>
    </row>
    <row r="907" spans="1:16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55"/>
    </row>
    <row r="908" spans="1:16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55"/>
    </row>
    <row r="909" spans="1:16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55"/>
    </row>
    <row r="910" spans="1:16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55"/>
    </row>
    <row r="911" spans="1:16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55"/>
    </row>
    <row r="912" spans="1:16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55"/>
    </row>
    <row r="913" spans="1:16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55"/>
    </row>
    <row r="914" spans="1:16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55"/>
    </row>
    <row r="915" spans="1:16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55"/>
    </row>
    <row r="916" spans="1:16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55"/>
    </row>
    <row r="917" spans="1:16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55"/>
    </row>
    <row r="918" spans="1:16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55"/>
    </row>
    <row r="919" spans="1:16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55"/>
    </row>
    <row r="920" spans="1:16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55"/>
    </row>
    <row r="921" spans="1:16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55"/>
    </row>
    <row r="922" spans="1:16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55"/>
    </row>
    <row r="923" spans="1:16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55"/>
    </row>
    <row r="924" spans="1:16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55"/>
    </row>
    <row r="925" spans="1:16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55"/>
    </row>
    <row r="926" spans="1:16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55"/>
    </row>
    <row r="927" spans="1:16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55"/>
    </row>
    <row r="928" spans="1:16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55"/>
    </row>
    <row r="929" spans="1:16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55"/>
    </row>
    <row r="930" spans="1:16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55"/>
    </row>
    <row r="931" spans="1:16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55"/>
    </row>
    <row r="932" spans="1:16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55"/>
    </row>
    <row r="933" spans="1:16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55"/>
    </row>
    <row r="934" spans="1:16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55"/>
    </row>
    <row r="935" spans="1:16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55"/>
    </row>
    <row r="936" spans="1:16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55"/>
    </row>
    <row r="937" spans="1:16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55"/>
    </row>
    <row r="938" spans="1:16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55"/>
    </row>
    <row r="939" spans="1:16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55"/>
    </row>
    <row r="940" spans="1:16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55"/>
    </row>
    <row r="941" spans="1:16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55"/>
    </row>
    <row r="942" spans="1:16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55"/>
    </row>
    <row r="943" spans="1:16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55"/>
    </row>
    <row r="944" spans="1:16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55"/>
    </row>
    <row r="945" spans="1:16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55"/>
    </row>
    <row r="946" spans="1:16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55"/>
    </row>
    <row r="947" spans="1:16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55"/>
    </row>
    <row r="948" spans="1:16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55"/>
    </row>
    <row r="949" spans="1:16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55"/>
    </row>
    <row r="950" spans="1:16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55"/>
    </row>
    <row r="951" spans="1:16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55"/>
    </row>
    <row r="952" spans="1:16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55"/>
    </row>
    <row r="953" spans="1:16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55"/>
    </row>
    <row r="954" spans="1:16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55"/>
    </row>
    <row r="955" spans="1:16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55"/>
    </row>
    <row r="956" spans="1:16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55"/>
    </row>
    <row r="957" spans="1:16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55"/>
    </row>
    <row r="958" spans="1:16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55"/>
    </row>
    <row r="959" spans="1:16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55"/>
    </row>
    <row r="960" spans="1:16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55"/>
    </row>
    <row r="961" spans="1:16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55"/>
    </row>
    <row r="962" spans="1:16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55"/>
    </row>
    <row r="963" spans="1:16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55"/>
    </row>
    <row r="964" spans="1:16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55"/>
    </row>
    <row r="965" spans="1:16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55"/>
    </row>
    <row r="966" spans="1:16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55"/>
    </row>
    <row r="967" spans="1:16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55"/>
    </row>
    <row r="968" spans="1:16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55"/>
    </row>
    <row r="969" spans="1:16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55"/>
    </row>
    <row r="970" spans="1:16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55"/>
    </row>
    <row r="971" spans="1:16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55"/>
    </row>
    <row r="972" spans="1:16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55"/>
    </row>
    <row r="973" spans="1:16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55"/>
    </row>
    <row r="974" spans="1:16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55"/>
    </row>
    <row r="975" spans="1:16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55"/>
    </row>
    <row r="976" spans="1:16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55"/>
    </row>
    <row r="977" spans="1:16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55"/>
    </row>
    <row r="978" spans="1:16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55"/>
    </row>
    <row r="979" spans="1:16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55"/>
    </row>
    <row r="980" spans="1:16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55"/>
    </row>
    <row r="981" spans="1:16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55"/>
    </row>
    <row r="982" spans="1:16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55"/>
    </row>
    <row r="983" spans="1:16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55"/>
    </row>
    <row r="984" spans="1:16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55"/>
    </row>
    <row r="985" spans="1:16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55"/>
    </row>
    <row r="986" spans="1:16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55"/>
    </row>
    <row r="987" spans="1:16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55"/>
    </row>
    <row r="988" spans="1:16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55"/>
    </row>
    <row r="989" spans="1:16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55"/>
    </row>
    <row r="990" spans="1:16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55"/>
    </row>
    <row r="991" spans="1:16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55"/>
    </row>
    <row r="992" spans="1:16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55"/>
    </row>
    <row r="993" spans="1:16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55"/>
    </row>
    <row r="994" spans="1:16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55"/>
    </row>
    <row r="995" spans="1:16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55"/>
    </row>
    <row r="996" spans="1:16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55"/>
    </row>
    <row r="997" spans="1:16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55"/>
    </row>
    <row r="998" spans="1:16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55"/>
    </row>
    <row r="999" spans="1:16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55"/>
    </row>
    <row r="1000" spans="1:16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55"/>
    </row>
    <row r="1001" spans="1:16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55"/>
    </row>
    <row r="1002" spans="1:16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55"/>
    </row>
    <row r="1003" spans="1:16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55"/>
    </row>
    <row r="1004" spans="1:16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55"/>
    </row>
    <row r="1005" spans="1:16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55"/>
    </row>
    <row r="1006" spans="1:16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55"/>
    </row>
    <row r="1007" spans="1:16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55"/>
    </row>
    <row r="1008" spans="1:16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55"/>
    </row>
    <row r="1009" spans="1:16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55"/>
    </row>
    <row r="1010" spans="1:16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55"/>
    </row>
    <row r="1011" spans="1:16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55"/>
    </row>
    <row r="1012" spans="1:16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55"/>
    </row>
    <row r="1013" spans="1:16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55"/>
    </row>
    <row r="1014" spans="1:16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55"/>
    </row>
    <row r="1015" spans="1:16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55"/>
    </row>
    <row r="1016" spans="1:16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55"/>
    </row>
    <row r="1017" spans="1:16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55"/>
    </row>
    <row r="1018" spans="1:16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55"/>
    </row>
    <row r="1019" spans="1:16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55"/>
    </row>
    <row r="1020" spans="1:16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55"/>
    </row>
    <row r="1021" spans="1:16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55"/>
    </row>
    <row r="1022" spans="1:16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55"/>
    </row>
    <row r="1023" spans="1:16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55"/>
    </row>
    <row r="1024" spans="1:16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55"/>
    </row>
    <row r="1025" spans="1:16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55"/>
    </row>
    <row r="1026" spans="1:16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55"/>
    </row>
    <row r="1027" spans="1:16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55"/>
    </row>
    <row r="1028" spans="1:16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55"/>
    </row>
    <row r="1029" spans="1:16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55"/>
    </row>
    <row r="1030" spans="1:16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55"/>
    </row>
    <row r="1031" spans="1:16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55"/>
    </row>
    <row r="1032" spans="1:16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55"/>
    </row>
    <row r="1033" spans="1:16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55"/>
    </row>
    <row r="1034" spans="1:16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55"/>
    </row>
    <row r="1035" spans="1:16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55"/>
    </row>
    <row r="1036" spans="1:16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55"/>
    </row>
    <row r="1037" spans="1:16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55"/>
    </row>
    <row r="1038" spans="1:16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55"/>
    </row>
    <row r="1039" spans="1:16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55"/>
    </row>
    <row r="1040" spans="1:16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55"/>
    </row>
    <row r="1041" spans="1:16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55"/>
    </row>
    <row r="1042" spans="1:16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55"/>
    </row>
    <row r="1043" spans="1:16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55"/>
    </row>
    <row r="1044" spans="1:16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55"/>
    </row>
    <row r="1045" spans="1:16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55"/>
    </row>
    <row r="1046" spans="1:16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55"/>
    </row>
    <row r="1047" spans="1:16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55"/>
    </row>
    <row r="1048" spans="1:16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55"/>
    </row>
    <row r="1049" spans="1:16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55"/>
    </row>
    <row r="1050" spans="1:16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55"/>
    </row>
    <row r="1051" spans="1:16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55"/>
    </row>
    <row r="1052" spans="1:16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55"/>
    </row>
    <row r="1053" spans="1:16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55"/>
    </row>
    <row r="1054" spans="1:16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55"/>
    </row>
    <row r="1055" spans="1:16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55"/>
    </row>
    <row r="1056" spans="1:16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55"/>
    </row>
    <row r="1057" spans="1:16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55"/>
    </row>
    <row r="1058" spans="1:16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55"/>
    </row>
    <row r="1059" spans="1:16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55"/>
    </row>
    <row r="1060" spans="1:16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55"/>
    </row>
    <row r="1061" spans="1:16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55"/>
    </row>
    <row r="1062" spans="1:16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55"/>
    </row>
    <row r="1063" spans="1:16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55"/>
    </row>
    <row r="1064" spans="1:16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55"/>
    </row>
    <row r="1065" spans="1:16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55"/>
    </row>
    <row r="1066" spans="1:16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55"/>
    </row>
    <row r="1067" spans="1:16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55"/>
    </row>
    <row r="1068" spans="1:16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55"/>
    </row>
    <row r="1069" spans="1:16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55"/>
    </row>
    <row r="1070" spans="1:16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55"/>
    </row>
    <row r="1071" spans="1:16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55"/>
    </row>
    <row r="1072" spans="1:16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55"/>
    </row>
    <row r="1073" spans="1:16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55"/>
    </row>
    <row r="1074" spans="1:16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55"/>
    </row>
    <row r="1075" spans="1:16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55"/>
    </row>
    <row r="1076" spans="1:16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55"/>
    </row>
    <row r="1077" spans="1:16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55"/>
    </row>
    <row r="1078" spans="1:16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55"/>
    </row>
    <row r="1079" spans="1:16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55"/>
    </row>
    <row r="1080" spans="1:16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55"/>
    </row>
    <row r="1081" spans="1:16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55"/>
    </row>
    <row r="1082" spans="1:16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55"/>
    </row>
    <row r="1083" spans="1:16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55"/>
    </row>
    <row r="1084" spans="1:16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55"/>
    </row>
    <row r="1085" spans="1:16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55"/>
    </row>
    <row r="1086" spans="1:16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55"/>
    </row>
    <row r="1087" spans="1:16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55"/>
    </row>
    <row r="1088" spans="1:16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55"/>
    </row>
    <row r="1089" spans="1:16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55"/>
    </row>
    <row r="1090" spans="1:16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55"/>
    </row>
    <row r="1091" spans="1:16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55"/>
    </row>
    <row r="1092" spans="1:16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55"/>
    </row>
    <row r="1093" spans="1:16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55"/>
    </row>
    <row r="1094" spans="1:16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55"/>
    </row>
    <row r="1095" spans="1:16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55"/>
    </row>
    <row r="1096" spans="1:16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55"/>
    </row>
    <row r="1097" spans="1:16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55"/>
    </row>
    <row r="1098" spans="1:16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55"/>
    </row>
    <row r="1099" spans="1:16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55"/>
    </row>
    <row r="1100" spans="1:16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55"/>
    </row>
    <row r="1101" spans="1:16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55"/>
    </row>
    <row r="1102" spans="1:16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55"/>
    </row>
    <row r="1103" spans="1:16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55"/>
    </row>
    <row r="1104" spans="1:16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55"/>
    </row>
    <row r="1105" spans="1:16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55"/>
    </row>
    <row r="1106" spans="1:16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55"/>
    </row>
    <row r="1107" spans="1:16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55"/>
    </row>
    <row r="1108" spans="1:16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55"/>
    </row>
    <row r="1109" spans="1:16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55"/>
    </row>
    <row r="1110" spans="1:16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55"/>
    </row>
    <row r="1111" spans="1:16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55"/>
    </row>
    <row r="1112" spans="1:16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55"/>
    </row>
    <row r="1113" spans="1:16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55"/>
    </row>
    <row r="1114" spans="1:16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55"/>
    </row>
    <row r="1115" spans="1:16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55"/>
    </row>
    <row r="1116" spans="1:16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55"/>
    </row>
    <row r="1117" spans="1:16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55"/>
    </row>
    <row r="1118" spans="1:16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55"/>
    </row>
    <row r="1119" spans="1:16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55"/>
    </row>
    <row r="1120" spans="1:16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55"/>
    </row>
    <row r="1121" spans="1:16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55"/>
    </row>
    <row r="1122" spans="1:16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55"/>
    </row>
    <row r="1123" spans="1:16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55"/>
    </row>
    <row r="1124" spans="1:16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55"/>
    </row>
    <row r="1125" spans="1:16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55"/>
    </row>
    <row r="1126" spans="1:16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55"/>
    </row>
    <row r="1127" spans="1:16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55"/>
    </row>
    <row r="1128" spans="1:16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55"/>
    </row>
    <row r="1129" spans="1:16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55"/>
    </row>
    <row r="1130" spans="1:16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55"/>
    </row>
    <row r="1131" spans="1:16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55"/>
    </row>
    <row r="1132" spans="1:16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55"/>
    </row>
    <row r="1133" spans="1:16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55"/>
    </row>
    <row r="1134" spans="1:16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55"/>
    </row>
    <row r="1135" spans="1:16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55"/>
    </row>
    <row r="1136" spans="1:16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55"/>
    </row>
    <row r="1137" spans="1:16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55"/>
    </row>
    <row r="1138" spans="1:16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55"/>
    </row>
    <row r="1139" spans="1:16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55"/>
    </row>
    <row r="1140" spans="1:16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55"/>
    </row>
    <row r="1141" spans="1:16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55"/>
    </row>
    <row r="1142" spans="1:16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55"/>
    </row>
    <row r="1143" spans="1:16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55"/>
    </row>
    <row r="1144" spans="1:16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55"/>
    </row>
    <row r="1145" spans="1:16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55"/>
    </row>
    <row r="1146" spans="1:16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55"/>
    </row>
    <row r="1147" spans="1:16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55"/>
    </row>
    <row r="1148" spans="1:16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55"/>
    </row>
    <row r="1149" spans="1:16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55"/>
    </row>
    <row r="1150" spans="1:16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55"/>
    </row>
    <row r="1151" spans="1:16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55"/>
    </row>
    <row r="1152" spans="1:16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55"/>
    </row>
    <row r="1153" spans="1:16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55"/>
    </row>
    <row r="1154" spans="1:16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55"/>
    </row>
    <row r="1155" spans="1:16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55"/>
    </row>
    <row r="1156" spans="1:16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55"/>
    </row>
    <row r="1157" spans="1:16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55"/>
    </row>
    <row r="1158" spans="1:16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55"/>
    </row>
    <row r="1159" spans="1:16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55"/>
    </row>
    <row r="1160" spans="1:16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55"/>
    </row>
    <row r="1161" spans="1:16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55"/>
    </row>
    <row r="1162" spans="1:16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55"/>
    </row>
    <row r="1163" spans="1:16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55"/>
    </row>
    <row r="1164" spans="1:16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55"/>
    </row>
    <row r="1165" spans="1:16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55"/>
    </row>
    <row r="1166" spans="1:16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55"/>
    </row>
    <row r="1167" spans="1:16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55"/>
    </row>
    <row r="1168" spans="1:16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55"/>
    </row>
    <row r="1169" spans="1:16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55"/>
    </row>
    <row r="1170" spans="1:16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55"/>
    </row>
    <row r="1171" spans="1:16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55"/>
    </row>
    <row r="1172" spans="1:16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55"/>
    </row>
    <row r="1173" spans="1:16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55"/>
    </row>
    <row r="1174" spans="1:16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55"/>
    </row>
    <row r="1175" spans="1:16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55"/>
    </row>
    <row r="1176" spans="1:16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55"/>
    </row>
    <row r="1177" spans="1:16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55"/>
    </row>
    <row r="1178" spans="1:16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55"/>
    </row>
    <row r="1179" spans="1:16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55"/>
    </row>
    <row r="1180" spans="1:16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55"/>
    </row>
    <row r="1181" spans="1:16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55"/>
    </row>
    <row r="1182" spans="1:16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55"/>
    </row>
    <row r="1183" spans="1:16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55"/>
    </row>
    <row r="1184" spans="1:16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55"/>
    </row>
    <row r="1185" spans="1:16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55"/>
    </row>
    <row r="1186" spans="1:16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55"/>
    </row>
    <row r="1187" spans="1:16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55"/>
    </row>
    <row r="1188" spans="1:16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55"/>
    </row>
    <row r="1189" spans="1:16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55"/>
    </row>
    <row r="1190" spans="1:16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55"/>
    </row>
    <row r="1191" spans="1:16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55"/>
    </row>
    <row r="1192" spans="1:16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55"/>
    </row>
    <row r="1193" spans="1:16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55"/>
    </row>
    <row r="1194" spans="1:16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55"/>
    </row>
    <row r="1195" spans="1:16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55"/>
    </row>
    <row r="1196" spans="1:16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55"/>
    </row>
    <row r="1197" spans="1:16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55"/>
    </row>
    <row r="1198" spans="1:16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55"/>
    </row>
    <row r="1199" spans="1:16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55"/>
    </row>
    <row r="1200" spans="1:16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55"/>
    </row>
    <row r="1201" spans="1:16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55"/>
    </row>
    <row r="1202" spans="1:16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55"/>
    </row>
    <row r="1203" spans="1:16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55"/>
    </row>
    <row r="1204" spans="1:16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55"/>
    </row>
    <row r="1205" spans="1:16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55"/>
    </row>
    <row r="1206" spans="1:16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55"/>
    </row>
    <row r="1207" spans="1:16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55"/>
    </row>
    <row r="1208" spans="1:16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55"/>
    </row>
    <row r="1209" spans="1:16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55"/>
    </row>
    <row r="1210" spans="1:16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55"/>
    </row>
    <row r="1211" spans="1:16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55"/>
    </row>
    <row r="1212" spans="1:16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55"/>
    </row>
    <row r="1213" spans="1:16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55"/>
    </row>
    <row r="1214" spans="1:16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55"/>
    </row>
    <row r="1215" spans="1:16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55"/>
    </row>
    <row r="1216" spans="1:16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55"/>
    </row>
    <row r="1217" spans="1:16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55"/>
    </row>
    <row r="1218" spans="1:16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55"/>
    </row>
    <row r="1219" spans="1:16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55"/>
    </row>
    <row r="1220" spans="1:16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55"/>
    </row>
    <row r="1221" spans="1:16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55"/>
    </row>
    <row r="1222" spans="1:16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55"/>
    </row>
    <row r="1223" spans="1:16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55"/>
    </row>
    <row r="1224" spans="1:16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55"/>
    </row>
    <row r="1225" spans="1:16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55"/>
    </row>
    <row r="1226" spans="1:16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55"/>
    </row>
    <row r="1227" spans="1:16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55"/>
    </row>
    <row r="1228" spans="1:16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55"/>
    </row>
    <row r="1229" spans="1:16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55"/>
    </row>
    <row r="1230" spans="1:16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55"/>
    </row>
    <row r="1231" spans="1:16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55"/>
    </row>
    <row r="1232" spans="1:16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55"/>
    </row>
    <row r="1233" spans="1:16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55"/>
    </row>
    <row r="1234" spans="1:16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55"/>
    </row>
    <row r="1235" spans="1:16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55"/>
    </row>
    <row r="1236" spans="1:16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55"/>
    </row>
    <row r="1237" spans="1:16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55"/>
    </row>
    <row r="1238" spans="1:16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55"/>
    </row>
    <row r="1239" spans="1:16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55"/>
    </row>
    <row r="1240" spans="1:16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55"/>
    </row>
    <row r="1241" spans="1:16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55"/>
    </row>
    <row r="1242" spans="1:16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55"/>
    </row>
    <row r="1243" spans="1:16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55"/>
    </row>
    <row r="1244" spans="1:16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55"/>
    </row>
    <row r="1245" spans="1:16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55"/>
    </row>
    <row r="1246" spans="1:16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55"/>
    </row>
    <row r="1247" spans="1:16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55"/>
    </row>
    <row r="1248" spans="1:16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55"/>
    </row>
    <row r="1249" spans="1:16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55"/>
    </row>
    <row r="1250" spans="1:16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55"/>
    </row>
    <row r="1251" spans="1:16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55"/>
    </row>
    <row r="1252" spans="1:16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55"/>
    </row>
    <row r="1253" spans="1:16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55"/>
    </row>
    <row r="1254" spans="1:16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55"/>
    </row>
    <row r="1255" spans="1:16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55"/>
    </row>
    <row r="1256" spans="1:16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55"/>
    </row>
    <row r="1257" spans="1:16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55"/>
    </row>
    <row r="1258" spans="1:16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55"/>
    </row>
    <row r="1259" spans="1:16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55"/>
    </row>
    <row r="1260" spans="1:16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55"/>
    </row>
    <row r="1261" spans="1:16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55"/>
    </row>
    <row r="1262" spans="1:16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55"/>
    </row>
    <row r="1263" spans="1:16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55"/>
    </row>
    <row r="1264" spans="1:16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55"/>
    </row>
    <row r="1265" spans="1:16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55"/>
    </row>
    <row r="1266" spans="1:16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55"/>
    </row>
    <row r="1267" spans="1:16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55"/>
    </row>
    <row r="1268" spans="1:16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55"/>
    </row>
    <row r="1269" spans="1:16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55"/>
    </row>
    <row r="1270" spans="1:16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55"/>
    </row>
    <row r="1271" spans="1:16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55"/>
    </row>
    <row r="1272" spans="1:16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55"/>
    </row>
    <row r="1273" spans="1:16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55"/>
    </row>
    <row r="1274" spans="1:16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55"/>
    </row>
    <row r="1275" spans="1:16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55"/>
    </row>
    <row r="1276" spans="1:16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55"/>
    </row>
    <row r="1277" spans="1:16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55"/>
    </row>
    <row r="1278" spans="1:16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55"/>
    </row>
    <row r="1279" spans="1:16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55"/>
    </row>
    <row r="1280" spans="1:16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55"/>
    </row>
    <row r="1281" spans="1:16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55"/>
    </row>
    <row r="1282" spans="1:16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55"/>
    </row>
    <row r="1283" spans="1:16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55"/>
    </row>
    <row r="1284" spans="1:16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55"/>
    </row>
    <row r="1285" spans="1:16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55"/>
    </row>
    <row r="1286" spans="1:16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55"/>
    </row>
    <row r="1287" spans="1:16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55"/>
    </row>
    <row r="1288" spans="1:16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55"/>
    </row>
    <row r="1289" spans="1:16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55"/>
    </row>
    <row r="1290" spans="1:16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55"/>
    </row>
    <row r="1291" spans="1:16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55"/>
    </row>
    <row r="1292" spans="1:16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55"/>
    </row>
    <row r="1293" spans="1:16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55"/>
    </row>
    <row r="1294" spans="1:16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55"/>
    </row>
    <row r="1295" spans="1:16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55"/>
    </row>
    <row r="1296" spans="1:16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55"/>
    </row>
    <row r="1297" spans="1:16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55"/>
    </row>
    <row r="1298" spans="1:16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55"/>
    </row>
    <row r="1299" spans="1:16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55"/>
    </row>
    <row r="1300" spans="1:16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55"/>
    </row>
    <row r="1301" spans="1:16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55"/>
    </row>
    <row r="1302" spans="1:16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55"/>
    </row>
    <row r="1303" spans="1:16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55"/>
    </row>
    <row r="1304" spans="1:16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55"/>
    </row>
    <row r="1305" spans="1:16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55"/>
    </row>
    <row r="1306" spans="1:16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55"/>
    </row>
    <row r="1307" spans="1:16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55"/>
    </row>
    <row r="1308" spans="1:16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55"/>
    </row>
    <row r="1309" spans="1:16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55"/>
    </row>
    <row r="1310" spans="1:16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55"/>
    </row>
    <row r="1311" spans="1:16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55"/>
    </row>
    <row r="1312" spans="1:16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55"/>
    </row>
    <row r="1313" spans="1:16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55"/>
    </row>
    <row r="1314" spans="1:16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55"/>
    </row>
    <row r="1315" spans="1:16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55"/>
    </row>
    <row r="1316" spans="1:16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55"/>
    </row>
    <row r="1317" spans="1:16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55"/>
    </row>
    <row r="1318" spans="1:16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55"/>
    </row>
    <row r="1319" spans="1:16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55"/>
    </row>
    <row r="1320" spans="1:16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55"/>
    </row>
    <row r="1321" spans="1:16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55"/>
    </row>
    <row r="1322" spans="1:16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55"/>
    </row>
    <row r="1323" spans="1:16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55"/>
    </row>
    <row r="1324" spans="1:16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55"/>
    </row>
    <row r="1325" spans="1:16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55"/>
    </row>
    <row r="1326" spans="1:16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55"/>
    </row>
    <row r="1327" spans="1:16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55"/>
    </row>
    <row r="1328" spans="1:16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55"/>
    </row>
    <row r="1329" spans="1:16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55"/>
    </row>
    <row r="1330" spans="1:16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55"/>
    </row>
    <row r="1331" spans="1:16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55"/>
    </row>
    <row r="1332" spans="1:16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55"/>
    </row>
    <row r="1333" spans="1:16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55"/>
    </row>
    <row r="1334" spans="1:16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55"/>
    </row>
    <row r="1335" spans="1:16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55"/>
    </row>
    <row r="1336" spans="1:16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55"/>
    </row>
    <row r="1337" spans="1:16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55"/>
    </row>
    <row r="1338" spans="1:16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55"/>
    </row>
    <row r="1339" spans="1:16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55"/>
    </row>
    <row r="1340" spans="1:16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55"/>
    </row>
    <row r="1341" spans="1:16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55"/>
    </row>
    <row r="1342" spans="1:16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55"/>
    </row>
    <row r="1343" spans="1:16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55"/>
    </row>
    <row r="1344" spans="1:16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55"/>
    </row>
    <row r="1345" spans="1:16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55"/>
    </row>
    <row r="1346" spans="1:16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55"/>
    </row>
    <row r="1347" spans="1:16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55"/>
    </row>
    <row r="1348" spans="1:16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55"/>
    </row>
    <row r="1349" spans="1:16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55"/>
    </row>
    <row r="1350" spans="1:16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55"/>
    </row>
    <row r="1351" spans="1:16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55"/>
    </row>
    <row r="1352" spans="1:16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55"/>
    </row>
    <row r="1353" spans="1:16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55"/>
    </row>
    <row r="1354" spans="1:16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55"/>
    </row>
    <row r="1355" spans="1:16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55"/>
    </row>
    <row r="1356" spans="1:16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55"/>
    </row>
    <row r="1357" spans="1:16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55"/>
    </row>
    <row r="1358" spans="1:16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55"/>
    </row>
    <row r="1359" spans="1:16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55"/>
    </row>
    <row r="1360" spans="1:16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55"/>
    </row>
    <row r="1361" spans="1:16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55"/>
    </row>
    <row r="1362" spans="1:16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55"/>
    </row>
    <row r="1363" spans="1:16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55"/>
    </row>
    <row r="1364" spans="1:16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55"/>
    </row>
    <row r="1365" spans="1:16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55"/>
    </row>
    <row r="1366" spans="1:16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55"/>
    </row>
    <row r="1367" spans="1:16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55"/>
    </row>
    <row r="1368" spans="1:16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55"/>
    </row>
    <row r="1369" spans="1:16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55"/>
    </row>
    <row r="1370" spans="1:16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55"/>
    </row>
    <row r="1371" spans="1:16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55"/>
    </row>
    <row r="1372" spans="1:16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55"/>
    </row>
    <row r="1373" spans="1:16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55"/>
    </row>
    <row r="1374" spans="1:16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55"/>
    </row>
    <row r="1375" spans="1:16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55"/>
    </row>
    <row r="1376" spans="1:16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55"/>
    </row>
    <row r="1377" spans="1:16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55"/>
    </row>
    <row r="1378" spans="1:16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55"/>
    </row>
    <row r="1379" spans="1:16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55"/>
    </row>
    <row r="1380" spans="1:16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55"/>
    </row>
    <row r="1381" spans="1:16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55"/>
    </row>
    <row r="1382" spans="1:16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55"/>
    </row>
    <row r="1383" spans="1:16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55"/>
    </row>
    <row r="1384" spans="1:16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55"/>
    </row>
    <row r="1385" spans="1:16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55"/>
    </row>
    <row r="1386" spans="1:16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55"/>
    </row>
    <row r="1387" spans="1:16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55"/>
    </row>
    <row r="1388" spans="1:16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55"/>
    </row>
    <row r="1389" spans="1:16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55"/>
    </row>
    <row r="1390" spans="1:16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55"/>
    </row>
    <row r="1391" spans="1:16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55"/>
    </row>
    <row r="1392" spans="1:16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55"/>
    </row>
    <row r="1393" spans="1:16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55"/>
    </row>
    <row r="1394" spans="1:16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55"/>
    </row>
    <row r="1395" spans="1:16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55"/>
    </row>
    <row r="1396" spans="1:16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55"/>
    </row>
    <row r="1397" spans="1:16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55"/>
    </row>
    <row r="1398" spans="1:16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55"/>
    </row>
    <row r="1399" spans="1:16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55"/>
    </row>
    <row r="1400" spans="1:16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55"/>
    </row>
    <row r="1401" spans="1:16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55"/>
    </row>
    <row r="1402" spans="1:16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55"/>
    </row>
    <row r="1403" spans="1:16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55"/>
    </row>
    <row r="1404" spans="1:16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55"/>
    </row>
    <row r="1405" spans="1:16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55"/>
    </row>
    <row r="1406" spans="1:16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55"/>
    </row>
    <row r="1407" spans="1:16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55"/>
    </row>
    <row r="1408" spans="1:16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55"/>
    </row>
    <row r="1409" spans="1:16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55"/>
    </row>
    <row r="1410" spans="1:16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55"/>
    </row>
    <row r="1411" spans="1:16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55"/>
    </row>
    <row r="1412" spans="1:16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55"/>
    </row>
    <row r="1413" spans="1:16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55"/>
    </row>
    <row r="1414" spans="1:16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55"/>
    </row>
    <row r="1415" spans="1:16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55"/>
    </row>
    <row r="1416" spans="1:16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55"/>
    </row>
    <row r="1417" spans="1:16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55"/>
    </row>
    <row r="1418" spans="1:16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55"/>
    </row>
    <row r="1419" spans="1:16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55"/>
    </row>
    <row r="1420" spans="1:16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55"/>
    </row>
    <row r="1421" spans="1:16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55"/>
    </row>
    <row r="1422" spans="1:16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55"/>
    </row>
    <row r="1423" spans="1:16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55"/>
    </row>
    <row r="1424" spans="1:16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55"/>
    </row>
    <row r="1425" spans="1:16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55"/>
    </row>
    <row r="1426" spans="1:16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55"/>
    </row>
    <row r="1427" spans="1:16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55"/>
    </row>
    <row r="1428" spans="1:16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55"/>
    </row>
    <row r="1429" spans="1:16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55"/>
    </row>
    <row r="1430" spans="1:16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55"/>
    </row>
    <row r="1431" spans="1:16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55"/>
    </row>
    <row r="1432" spans="1:16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55"/>
    </row>
    <row r="1433" spans="1:16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55"/>
    </row>
    <row r="1434" spans="1:16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55"/>
    </row>
    <row r="1435" spans="1:16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55"/>
    </row>
    <row r="1436" spans="1:16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55"/>
    </row>
    <row r="1437" spans="1:16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55"/>
    </row>
    <row r="1438" spans="1:16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55"/>
    </row>
    <row r="1439" spans="1:16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55"/>
    </row>
    <row r="1440" spans="1:16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55"/>
    </row>
    <row r="1441" spans="1:16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55"/>
    </row>
    <row r="1442" spans="1:16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55"/>
    </row>
    <row r="1443" spans="1:16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55"/>
    </row>
    <row r="1444" spans="1:16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55"/>
    </row>
    <row r="1445" spans="1:16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55"/>
    </row>
    <row r="1446" spans="1:16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55"/>
    </row>
    <row r="1447" spans="1:16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55"/>
    </row>
    <row r="1448" spans="1:16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55"/>
    </row>
    <row r="1449" spans="1:16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55"/>
    </row>
    <row r="1450" spans="1:16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55"/>
    </row>
    <row r="1451" spans="1:16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55"/>
    </row>
    <row r="1452" spans="1:16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55"/>
    </row>
    <row r="1453" spans="1:16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55"/>
    </row>
    <row r="1454" spans="1:16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55"/>
    </row>
    <row r="1455" spans="1:16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55"/>
    </row>
    <row r="1456" spans="1:16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55"/>
    </row>
    <row r="1457" spans="1:16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55"/>
    </row>
    <row r="1458" spans="1:16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55"/>
    </row>
    <row r="1459" spans="1:16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55"/>
    </row>
    <row r="1460" spans="1:16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55"/>
    </row>
    <row r="1461" spans="1:16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55"/>
    </row>
    <row r="1462" spans="1:16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55"/>
    </row>
    <row r="1463" spans="1:16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55"/>
    </row>
    <row r="1464" spans="1:16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55"/>
    </row>
    <row r="1465" spans="1:16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55"/>
    </row>
    <row r="1466" spans="1:16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55"/>
    </row>
    <row r="1467" spans="1:16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55"/>
    </row>
    <row r="1468" spans="1:16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55"/>
    </row>
    <row r="1469" spans="1:16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55"/>
    </row>
    <row r="1470" spans="1:16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55"/>
    </row>
    <row r="1471" spans="1:16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55"/>
    </row>
    <row r="1472" spans="1:16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55"/>
    </row>
    <row r="1473" spans="1:16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55"/>
    </row>
    <row r="1474" spans="1:16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55"/>
    </row>
    <row r="1475" spans="1:16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55"/>
    </row>
    <row r="1476" spans="1:16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55"/>
    </row>
    <row r="1477" spans="1:16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55"/>
    </row>
    <row r="1478" spans="1:16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55"/>
    </row>
    <row r="1479" spans="1:16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55"/>
    </row>
    <row r="1480" spans="1:16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55"/>
    </row>
    <row r="1481" spans="1:16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55"/>
    </row>
    <row r="1482" spans="1:16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55"/>
    </row>
    <row r="1483" spans="1:16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55"/>
    </row>
    <row r="1484" spans="1:16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55"/>
    </row>
    <row r="1485" spans="1:16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55"/>
    </row>
    <row r="1486" spans="1:16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55"/>
    </row>
    <row r="1487" spans="1:16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55"/>
    </row>
    <row r="1488" spans="1:16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55"/>
    </row>
    <row r="1489" spans="1:16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55"/>
    </row>
    <row r="1490" spans="1:16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55"/>
    </row>
    <row r="1491" spans="1:16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55"/>
    </row>
    <row r="1492" spans="1:16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55"/>
    </row>
    <row r="1493" spans="1:16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55"/>
    </row>
    <row r="1494" spans="1:16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55"/>
    </row>
    <row r="1495" spans="1:16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55"/>
    </row>
    <row r="1496" spans="1:16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55"/>
    </row>
    <row r="1497" spans="1:16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55"/>
    </row>
    <row r="1498" spans="1:16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55"/>
    </row>
    <row r="1499" spans="1:16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55"/>
    </row>
    <row r="1500" spans="1:16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55"/>
    </row>
    <row r="1501" spans="1:16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55"/>
    </row>
    <row r="1502" spans="1:16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55"/>
    </row>
    <row r="1503" spans="1:16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55"/>
    </row>
    <row r="1504" spans="1:16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55"/>
    </row>
    <row r="1505" spans="1:16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55"/>
    </row>
    <row r="1506" spans="1:16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55"/>
    </row>
    <row r="1507" spans="1:16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55"/>
    </row>
    <row r="1508" spans="1:16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55"/>
    </row>
    <row r="1509" spans="1:16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55"/>
    </row>
    <row r="1510" spans="1:16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55"/>
    </row>
    <row r="1511" spans="1:16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55"/>
    </row>
    <row r="1512" spans="1:16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55"/>
    </row>
    <row r="1513" spans="1:16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55"/>
    </row>
    <row r="1514" spans="1:16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55"/>
    </row>
    <row r="1515" spans="1:16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55"/>
    </row>
    <row r="1516" spans="1:16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55"/>
    </row>
    <row r="1517" spans="1:16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55"/>
    </row>
    <row r="1518" spans="1:16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55"/>
    </row>
    <row r="1519" spans="1:16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55"/>
    </row>
    <row r="1520" spans="1:16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55"/>
    </row>
    <row r="1521" spans="1:16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55"/>
    </row>
    <row r="1522" spans="1:16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55"/>
    </row>
    <row r="1523" spans="1:16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55"/>
    </row>
    <row r="1524" spans="1:16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55"/>
    </row>
    <row r="1525" spans="1:16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55"/>
    </row>
    <row r="1526" spans="1:16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55"/>
    </row>
    <row r="1527" spans="1:16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55"/>
    </row>
    <row r="1528" spans="1:16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55"/>
    </row>
    <row r="1529" spans="1:16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55"/>
    </row>
    <row r="1530" spans="1:16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55"/>
    </row>
    <row r="1531" spans="1:16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55"/>
    </row>
    <row r="1532" spans="1:16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55"/>
    </row>
    <row r="1533" spans="1:16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55"/>
    </row>
    <row r="1534" spans="1:16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55"/>
    </row>
    <row r="1535" spans="1:16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55"/>
    </row>
    <row r="1536" spans="1:16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55"/>
    </row>
    <row r="1537" spans="1:16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55"/>
    </row>
    <row r="1538" spans="1:16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55"/>
    </row>
    <row r="1539" spans="1:16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55"/>
    </row>
    <row r="1540" spans="1:16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55"/>
    </row>
    <row r="1541" spans="1:16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55"/>
    </row>
    <row r="1542" spans="1:16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55"/>
    </row>
    <row r="1543" spans="1:16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55"/>
    </row>
    <row r="1544" spans="1:16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55"/>
    </row>
    <row r="1545" spans="1:16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55"/>
    </row>
    <row r="1546" spans="1:16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55"/>
    </row>
    <row r="1547" spans="1:16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55"/>
    </row>
    <row r="1548" spans="1:16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55"/>
    </row>
    <row r="1549" spans="1:16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55"/>
    </row>
    <row r="1550" spans="1:16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55"/>
    </row>
    <row r="1551" spans="1:16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55"/>
    </row>
    <row r="1552" spans="1:16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55"/>
    </row>
    <row r="1553" spans="1:16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55"/>
    </row>
    <row r="1554" spans="1:16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55"/>
    </row>
    <row r="1555" spans="1:16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55"/>
    </row>
    <row r="1556" spans="1:16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55"/>
    </row>
    <row r="1557" spans="1:16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55"/>
    </row>
    <row r="1558" spans="1:16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55"/>
    </row>
    <row r="1559" spans="1:16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55"/>
    </row>
    <row r="1560" spans="1:16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55"/>
    </row>
    <row r="1561" spans="1:16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55"/>
    </row>
    <row r="1562" spans="1:16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55"/>
    </row>
    <row r="1563" spans="1:16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55"/>
    </row>
    <row r="1564" spans="1:16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55"/>
    </row>
    <row r="1565" spans="1:16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55"/>
    </row>
    <row r="1566" spans="1:16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55"/>
    </row>
    <row r="1567" spans="1:16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55"/>
    </row>
    <row r="1568" spans="1:16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55"/>
    </row>
    <row r="1569" spans="1:16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55"/>
    </row>
    <row r="1570" spans="1:16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55"/>
    </row>
    <row r="1571" spans="1:16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55"/>
    </row>
    <row r="1572" spans="1:16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55"/>
    </row>
    <row r="1573" spans="1:16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55"/>
    </row>
    <row r="1574" spans="1:16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55"/>
    </row>
    <row r="1575" spans="1:16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55"/>
    </row>
    <row r="1576" spans="1:16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55"/>
    </row>
    <row r="1577" spans="1:16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55"/>
    </row>
    <row r="1578" spans="1:16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55"/>
    </row>
    <row r="1579" spans="1:16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55"/>
    </row>
    <row r="1580" spans="1:16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55"/>
    </row>
    <row r="1581" spans="1:16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55"/>
    </row>
    <row r="1582" spans="1:16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55"/>
    </row>
    <row r="1583" spans="1:16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55"/>
    </row>
    <row r="1584" spans="1:16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55"/>
    </row>
    <row r="1585" spans="1:16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55"/>
    </row>
    <row r="1586" spans="1:16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55"/>
    </row>
    <row r="1587" spans="1:16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55"/>
    </row>
    <row r="1588" spans="1:16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55"/>
    </row>
    <row r="1589" spans="1:16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55"/>
    </row>
    <row r="1590" spans="1:16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55"/>
    </row>
    <row r="1591" spans="1:16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55"/>
    </row>
    <row r="1592" spans="1:16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55"/>
    </row>
    <row r="1593" spans="1:16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55"/>
    </row>
    <row r="1594" spans="1:16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55"/>
    </row>
    <row r="1595" spans="1:16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55"/>
    </row>
    <row r="1596" spans="1:16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55"/>
    </row>
    <row r="1597" spans="1:16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55"/>
    </row>
    <row r="1598" spans="1:16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55"/>
    </row>
    <row r="1599" spans="1:16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55"/>
    </row>
    <row r="1600" spans="1:16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55"/>
    </row>
    <row r="1601" spans="1:16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55"/>
    </row>
    <row r="1602" spans="1:16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55"/>
    </row>
    <row r="1603" spans="1:16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55"/>
    </row>
    <row r="1604" spans="1:16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55"/>
    </row>
    <row r="1605" spans="1:16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55"/>
    </row>
    <row r="1606" spans="1:16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55"/>
    </row>
    <row r="1607" spans="1:16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55"/>
    </row>
    <row r="1608" spans="1:16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55"/>
    </row>
    <row r="1609" spans="1:16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55"/>
    </row>
    <row r="1610" spans="1:16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55"/>
    </row>
    <row r="1611" spans="1:16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55"/>
    </row>
    <row r="1612" spans="1:16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55"/>
    </row>
    <row r="1613" spans="1:16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55"/>
    </row>
    <row r="1614" spans="1:16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55"/>
    </row>
    <row r="1615" spans="1:16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55"/>
    </row>
    <row r="1616" spans="1:16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55"/>
    </row>
    <row r="1617" spans="1:16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55"/>
    </row>
    <row r="1618" spans="1:16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55"/>
    </row>
    <row r="1619" spans="1:16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55"/>
    </row>
    <row r="1620" spans="1:16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55"/>
    </row>
    <row r="1621" spans="1:16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55"/>
    </row>
    <row r="1622" spans="1:16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55"/>
    </row>
    <row r="1623" spans="1:16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55"/>
    </row>
    <row r="1624" spans="1:16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55"/>
    </row>
    <row r="1625" spans="1:16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55"/>
    </row>
    <row r="1626" spans="1:16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55"/>
    </row>
    <row r="1627" spans="1:16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55"/>
    </row>
    <row r="1628" spans="1:16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55"/>
    </row>
    <row r="1629" spans="1:16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55"/>
    </row>
    <row r="1630" spans="1:16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55"/>
    </row>
    <row r="1631" spans="1:16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55"/>
    </row>
    <row r="1632" spans="1:16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55"/>
    </row>
    <row r="1633" spans="1:16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55"/>
    </row>
    <row r="1634" spans="1:16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55"/>
    </row>
    <row r="1635" spans="1:16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55"/>
    </row>
    <row r="1636" spans="1:16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55"/>
    </row>
    <row r="1637" spans="1:16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55"/>
    </row>
    <row r="1638" spans="1:16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55"/>
    </row>
    <row r="1639" spans="1:16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55"/>
    </row>
    <row r="1640" spans="1:16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55"/>
    </row>
    <row r="1641" spans="1:16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55"/>
    </row>
    <row r="1642" spans="1:16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55"/>
    </row>
    <row r="1643" spans="1:16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55"/>
    </row>
    <row r="1644" spans="1:16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55"/>
    </row>
    <row r="1645" spans="1:16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55"/>
    </row>
    <row r="1646" spans="1:16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55"/>
    </row>
    <row r="1647" spans="1:16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55"/>
    </row>
    <row r="1648" spans="1:16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55"/>
    </row>
    <row r="1649" spans="1:16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55"/>
    </row>
    <row r="1650" spans="1:16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55"/>
    </row>
    <row r="1651" spans="1:16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55"/>
    </row>
    <row r="1652" spans="1:16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55"/>
    </row>
    <row r="1653" spans="1:16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55"/>
    </row>
    <row r="1654" spans="1:16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55"/>
    </row>
    <row r="1655" spans="1:16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55"/>
    </row>
    <row r="1656" spans="1:16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55"/>
    </row>
    <row r="1657" spans="1:16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55"/>
    </row>
    <row r="1658" spans="1:16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55"/>
    </row>
    <row r="1659" spans="1:16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55"/>
    </row>
    <row r="1660" spans="1:16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55"/>
    </row>
    <row r="1661" spans="1:16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55"/>
    </row>
    <row r="1662" spans="1:16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55"/>
    </row>
    <row r="1663" spans="1:16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55"/>
    </row>
    <row r="1664" spans="1:16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55"/>
    </row>
    <row r="1665" spans="1:16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55"/>
    </row>
    <row r="1666" spans="1:16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55"/>
    </row>
    <row r="1667" spans="1:16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55"/>
    </row>
    <row r="1668" spans="1:16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55"/>
    </row>
    <row r="1669" spans="1:16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55"/>
    </row>
    <row r="1670" spans="1:16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55"/>
    </row>
    <row r="1671" spans="1:16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55"/>
    </row>
    <row r="1672" spans="1:16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155"/>
    </row>
    <row r="1673" spans="1:16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155"/>
    </row>
    <row r="1674" spans="1:16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155"/>
    </row>
    <row r="1675" spans="1:16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155"/>
    </row>
    <row r="1676" spans="1:16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155"/>
    </row>
    <row r="1677" spans="1:16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155"/>
    </row>
    <row r="1678" spans="1:16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155"/>
    </row>
    <row r="1679" spans="1:16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155"/>
    </row>
    <row r="1680" spans="1:16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155"/>
    </row>
    <row r="1681" spans="1:16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155"/>
    </row>
    <row r="1682" spans="1:16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155"/>
    </row>
    <row r="1683" spans="1:16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155"/>
    </row>
    <row r="1684" spans="1:16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155"/>
    </row>
    <row r="1685" spans="1:16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155"/>
    </row>
    <row r="1686" spans="1:16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155"/>
    </row>
    <row r="1687" spans="1:16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155"/>
    </row>
    <row r="1688" spans="1:16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155"/>
    </row>
    <row r="1689" spans="1:16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155"/>
    </row>
    <row r="1690" spans="1:16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155"/>
    </row>
    <row r="1691" spans="1:16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155"/>
    </row>
    <row r="1692" spans="1:16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155"/>
    </row>
    <row r="1693" spans="1:16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155"/>
    </row>
    <row r="1694" spans="1:16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155"/>
    </row>
    <row r="1695" spans="1:16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155"/>
    </row>
    <row r="1696" spans="1:16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155"/>
    </row>
    <row r="1697" spans="1:16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155"/>
    </row>
    <row r="1698" spans="1:16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155"/>
    </row>
    <row r="1699" spans="1:16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155"/>
    </row>
    <row r="1700" spans="1:16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155"/>
    </row>
    <row r="1701" spans="1:16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155"/>
    </row>
    <row r="1702" spans="1:16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155"/>
    </row>
    <row r="1703" spans="1:16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155"/>
    </row>
  </sheetData>
  <mergeCells count="25">
    <mergeCell ref="A329:D329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  <mergeCell ref="A11:P11"/>
    <mergeCell ref="A12:P12"/>
    <mergeCell ref="M15:N15"/>
    <mergeCell ref="O15:O16"/>
    <mergeCell ref="K3:P3"/>
    <mergeCell ref="K4:P4"/>
    <mergeCell ref="K5:P5"/>
    <mergeCell ref="K6:P6"/>
    <mergeCell ref="K8:P8"/>
  </mergeCells>
  <phoneticPr fontId="3" type="noConversion"/>
  <printOptions horizontalCentered="1"/>
  <pageMargins left="0.19685039370078741" right="0" top="0.98425196850393704" bottom="0.59055118110236227" header="0.59055118110236227" footer="0.31496062992125984"/>
  <pageSetup paperSize="9" scale="44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4" max="15" man="1"/>
    <brk id="62" max="15" man="1"/>
    <brk id="31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S279"/>
  <sheetViews>
    <sheetView showGridLines="0" showZeros="0" tabSelected="1" view="pageBreakPreview" topLeftCell="A256" zoomScale="70" zoomScaleNormal="87" zoomScaleSheetLayoutView="70" workbookViewId="0">
      <selection activeCell="L263" sqref="L263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.1640625" style="4" customWidth="1"/>
    <col min="5" max="5" width="23.83203125" style="4" customWidth="1"/>
    <col min="6" max="6" width="22.33203125" style="4" customWidth="1"/>
    <col min="7" max="7" width="20.1640625" style="4" customWidth="1"/>
    <col min="8" max="8" width="19.6640625" style="4" customWidth="1"/>
    <col min="9" max="9" width="21.33203125" style="4" bestFit="1" customWidth="1"/>
    <col min="10" max="10" width="21.1640625" style="4" customWidth="1"/>
    <col min="11" max="11" width="19.83203125" style="4" customWidth="1"/>
    <col min="12" max="12" width="18" style="4" customWidth="1"/>
    <col min="13" max="13" width="14.83203125" style="4" customWidth="1"/>
    <col min="14" max="14" width="21.5" style="4" customWidth="1"/>
    <col min="15" max="15" width="22.83203125" style="4" customWidth="1"/>
    <col min="16" max="16384" width="9.1640625" style="4"/>
  </cols>
  <sheetData>
    <row r="1" spans="1:15" ht="27.75" customHeight="1" x14ac:dyDescent="0.4">
      <c r="J1" s="169" t="s">
        <v>612</v>
      </c>
      <c r="K1" s="169"/>
      <c r="L1" s="169"/>
      <c r="M1" s="169"/>
      <c r="N1" s="169"/>
      <c r="O1" s="169"/>
    </row>
    <row r="2" spans="1:15" ht="24" customHeight="1" x14ac:dyDescent="0.25">
      <c r="J2" s="92" t="s">
        <v>581</v>
      </c>
      <c r="K2" s="92"/>
      <c r="L2" s="92"/>
      <c r="M2" s="92"/>
      <c r="N2" s="92"/>
      <c r="O2" s="92"/>
    </row>
    <row r="3" spans="1:15" ht="26.25" customHeight="1" x14ac:dyDescent="0.4">
      <c r="J3" s="162" t="s">
        <v>580</v>
      </c>
      <c r="K3" s="162"/>
      <c r="L3" s="162"/>
      <c r="M3" s="162"/>
      <c r="N3" s="162"/>
      <c r="O3" s="162"/>
    </row>
    <row r="4" spans="1:15" ht="26.25" customHeight="1" x14ac:dyDescent="0.4">
      <c r="J4" s="162" t="s">
        <v>613</v>
      </c>
      <c r="K4" s="162"/>
      <c r="L4" s="162"/>
      <c r="M4" s="162"/>
      <c r="N4" s="162"/>
      <c r="O4" s="162"/>
    </row>
    <row r="5" spans="1:15" ht="29.25" customHeight="1" x14ac:dyDescent="0.4">
      <c r="J5" s="162" t="s">
        <v>614</v>
      </c>
      <c r="K5" s="162"/>
      <c r="L5" s="162"/>
      <c r="M5" s="162"/>
      <c r="N5" s="162"/>
      <c r="O5" s="162"/>
    </row>
    <row r="6" spans="1:15" ht="29.25" customHeight="1" x14ac:dyDescent="0.4">
      <c r="J6" s="162" t="s">
        <v>582</v>
      </c>
      <c r="K6" s="162"/>
      <c r="L6" s="162"/>
      <c r="M6" s="162"/>
      <c r="N6" s="162"/>
      <c r="O6" s="162"/>
    </row>
    <row r="7" spans="1:15" ht="29.25" customHeight="1" x14ac:dyDescent="0.4">
      <c r="J7" s="151" t="s">
        <v>535</v>
      </c>
      <c r="K7" s="151"/>
      <c r="L7" s="151"/>
      <c r="M7" s="151"/>
      <c r="N7" s="151"/>
      <c r="O7" s="151"/>
    </row>
    <row r="8" spans="1:15" ht="29.25" customHeight="1" x14ac:dyDescent="0.4">
      <c r="J8" s="162" t="s">
        <v>625</v>
      </c>
      <c r="K8" s="162"/>
      <c r="L8" s="162"/>
      <c r="M8" s="162"/>
      <c r="N8" s="162"/>
      <c r="O8" s="162"/>
    </row>
    <row r="9" spans="1:15" ht="29.25" customHeight="1" x14ac:dyDescent="0.25">
      <c r="J9" s="92"/>
      <c r="K9" s="92"/>
      <c r="L9" s="92"/>
      <c r="M9" s="92"/>
      <c r="N9" s="92"/>
      <c r="O9" s="92"/>
    </row>
    <row r="10" spans="1:15" ht="105.75" customHeight="1" x14ac:dyDescent="0.25">
      <c r="A10" s="170" t="s">
        <v>450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5" ht="23.25" customHeight="1" x14ac:dyDescent="0.25">
      <c r="A11" s="168" t="s">
        <v>587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21" customHeight="1" x14ac:dyDescent="0.25">
      <c r="A12" s="159" t="s">
        <v>586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1:15" s="17" customFormat="1" ht="20.25" customHeight="1" x14ac:dyDescent="0.3">
      <c r="A13" s="14"/>
      <c r="B13" s="15"/>
      <c r="C13" s="16"/>
      <c r="O13" s="153" t="s">
        <v>358</v>
      </c>
    </row>
    <row r="14" spans="1:15" s="52" customFormat="1" ht="21.75" customHeight="1" x14ac:dyDescent="0.25">
      <c r="A14" s="161" t="s">
        <v>337</v>
      </c>
      <c r="B14" s="161" t="s">
        <v>327</v>
      </c>
      <c r="C14" s="161" t="s">
        <v>339</v>
      </c>
      <c r="D14" s="167" t="s">
        <v>224</v>
      </c>
      <c r="E14" s="167"/>
      <c r="F14" s="167"/>
      <c r="G14" s="167"/>
      <c r="H14" s="167"/>
      <c r="I14" s="167" t="s">
        <v>225</v>
      </c>
      <c r="J14" s="167"/>
      <c r="K14" s="167"/>
      <c r="L14" s="167"/>
      <c r="M14" s="167"/>
      <c r="N14" s="167"/>
      <c r="O14" s="167" t="s">
        <v>226</v>
      </c>
    </row>
    <row r="15" spans="1:15" s="52" customFormat="1" ht="29.25" customHeight="1" x14ac:dyDescent="0.25">
      <c r="A15" s="161"/>
      <c r="B15" s="161"/>
      <c r="C15" s="161"/>
      <c r="D15" s="166" t="s">
        <v>328</v>
      </c>
      <c r="E15" s="166" t="s">
        <v>227</v>
      </c>
      <c r="F15" s="160" t="s">
        <v>228</v>
      </c>
      <c r="G15" s="160"/>
      <c r="H15" s="166" t="s">
        <v>229</v>
      </c>
      <c r="I15" s="166" t="s">
        <v>328</v>
      </c>
      <c r="J15" s="166" t="s">
        <v>329</v>
      </c>
      <c r="K15" s="166" t="s">
        <v>227</v>
      </c>
      <c r="L15" s="160" t="s">
        <v>228</v>
      </c>
      <c r="M15" s="160"/>
      <c r="N15" s="166" t="s">
        <v>229</v>
      </c>
      <c r="O15" s="167"/>
    </row>
    <row r="16" spans="1:15" s="52" customFormat="1" ht="60.75" customHeight="1" x14ac:dyDescent="0.25">
      <c r="A16" s="161"/>
      <c r="B16" s="161"/>
      <c r="C16" s="161"/>
      <c r="D16" s="166"/>
      <c r="E16" s="166"/>
      <c r="F16" s="149" t="s">
        <v>230</v>
      </c>
      <c r="G16" s="149" t="s">
        <v>231</v>
      </c>
      <c r="H16" s="166"/>
      <c r="I16" s="166"/>
      <c r="J16" s="166"/>
      <c r="K16" s="166"/>
      <c r="L16" s="149" t="s">
        <v>230</v>
      </c>
      <c r="M16" s="149" t="s">
        <v>231</v>
      </c>
      <c r="N16" s="166"/>
      <c r="O16" s="167"/>
    </row>
    <row r="17" spans="1:15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261995496</v>
      </c>
      <c r="E17" s="48">
        <f t="shared" ref="E17:O17" si="0">E19+E20+E21+E22</f>
        <v>261995496</v>
      </c>
      <c r="F17" s="48">
        <f>F19+F20+F21+F22</f>
        <v>196758100</v>
      </c>
      <c r="G17" s="48">
        <f t="shared" si="0"/>
        <v>5782983</v>
      </c>
      <c r="H17" s="48">
        <f t="shared" si="0"/>
        <v>0</v>
      </c>
      <c r="I17" s="48">
        <f t="shared" si="0"/>
        <v>2500000</v>
      </c>
      <c r="J17" s="48">
        <f t="shared" si="0"/>
        <v>600000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600000</v>
      </c>
      <c r="O17" s="48">
        <f t="shared" si="0"/>
        <v>264495496</v>
      </c>
    </row>
    <row r="18" spans="1:15" s="52" customFormat="1" ht="61.5" hidden="1" customHeight="1" x14ac:dyDescent="0.25">
      <c r="A18" s="7"/>
      <c r="B18" s="8"/>
      <c r="C18" s="9" t="s">
        <v>439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</row>
    <row r="19" spans="1:15" ht="37.5" customHeight="1" x14ac:dyDescent="0.25">
      <c r="A19" s="37" t="s">
        <v>119</v>
      </c>
      <c r="B19" s="37" t="s">
        <v>46</v>
      </c>
      <c r="C19" s="6" t="s">
        <v>494</v>
      </c>
      <c r="D19" s="49">
        <f>'дод 3'!E21+'дод 3'!E77+'дод 3'!E136+'дод 3'!E168+'дод 3'!E205+'дод 3'!E212+'дод 3'!E229+'дод 3'!E267+'дод 3'!E271+'дод 3'!E290+'дод 3'!E297+'дод 3'!E300+'дод 3'!E311+'дод 3'!E308</f>
        <v>260959996</v>
      </c>
      <c r="E19" s="49">
        <f>'дод 3'!F21+'дод 3'!F77+'дод 3'!F136+'дод 3'!F168+'дод 3'!F205+'дод 3'!F212+'дод 3'!F229+'дод 3'!F267+'дод 3'!F271+'дод 3'!F290+'дод 3'!F297+'дод 3'!F300+'дод 3'!F311+'дод 3'!F308</f>
        <v>260959996</v>
      </c>
      <c r="F19" s="49">
        <f>'дод 3'!G21+'дод 3'!G77+'дод 3'!G136+'дод 3'!G168+'дод 3'!G205+'дод 3'!G212+'дод 3'!G229+'дод 3'!G267+'дод 3'!G271+'дод 3'!G290+'дод 3'!G297+'дод 3'!G300+'дод 3'!G311+'дод 3'!G308</f>
        <v>196758100</v>
      </c>
      <c r="G19" s="49">
        <f>'дод 3'!H21+'дод 3'!H77+'дод 3'!H136+'дод 3'!H168+'дод 3'!H205+'дод 3'!H212+'дод 3'!H229+'дод 3'!H267+'дод 3'!H271+'дод 3'!H290+'дод 3'!H297+'дод 3'!H300+'дод 3'!H311+'дод 3'!H308</f>
        <v>5782983</v>
      </c>
      <c r="H19" s="49">
        <f>'дод 3'!I21+'дод 3'!I77+'дод 3'!I136+'дод 3'!I168+'дод 3'!I205+'дод 3'!I212+'дод 3'!I229+'дод 3'!I267+'дод 3'!I271+'дод 3'!I290+'дод 3'!I297+'дод 3'!I300+'дод 3'!I311+'дод 3'!I308</f>
        <v>0</v>
      </c>
      <c r="I19" s="49">
        <f>'дод 3'!J21+'дод 3'!J77+'дод 3'!J136+'дод 3'!J168+'дод 3'!J205+'дод 3'!J212+'дод 3'!J229+'дод 3'!J267+'дод 3'!J271+'дод 3'!J290+'дод 3'!J297+'дод 3'!J300+'дод 3'!J311+'дод 3'!J308</f>
        <v>2500000</v>
      </c>
      <c r="J19" s="49">
        <f>'дод 3'!K21+'дод 3'!K77+'дод 3'!K136+'дод 3'!K168+'дод 3'!K205+'дод 3'!K212+'дод 3'!K229+'дод 3'!K267+'дод 3'!K271+'дод 3'!K290+'дод 3'!K297+'дод 3'!K300+'дод 3'!K311+'дод 3'!K308</f>
        <v>600000</v>
      </c>
      <c r="K19" s="49">
        <f>'дод 3'!L21+'дод 3'!L77+'дод 3'!L136+'дод 3'!L168+'дод 3'!L205+'дод 3'!L212+'дод 3'!L229+'дод 3'!L267+'дод 3'!L271+'дод 3'!L290+'дод 3'!L297+'дод 3'!L300+'дод 3'!L311+'дод 3'!L308</f>
        <v>1900000</v>
      </c>
      <c r="L19" s="49">
        <f>'дод 3'!M21+'дод 3'!M77+'дод 3'!M136+'дод 3'!M168+'дод 3'!M205+'дод 3'!M212+'дод 3'!M229+'дод 3'!M267+'дод 3'!M271+'дод 3'!M290+'дод 3'!M297+'дод 3'!M300+'дод 3'!M311+'дод 3'!M308</f>
        <v>1332000</v>
      </c>
      <c r="M19" s="49">
        <f>'дод 3'!N21+'дод 3'!N77+'дод 3'!N136+'дод 3'!N168+'дод 3'!N205+'дод 3'!N212+'дод 3'!N229+'дод 3'!N267+'дод 3'!N271+'дод 3'!N290+'дод 3'!N297+'дод 3'!N300+'дод 3'!N311+'дод 3'!N308</f>
        <v>71500</v>
      </c>
      <c r="N19" s="49">
        <f>'дод 3'!O21+'дод 3'!O77+'дод 3'!O136+'дод 3'!O168+'дод 3'!O205+'дод 3'!O212+'дод 3'!O229+'дод 3'!O267+'дод 3'!O271+'дод 3'!O290+'дод 3'!O297+'дод 3'!O300+'дод 3'!O311+'дод 3'!O308</f>
        <v>600000</v>
      </c>
      <c r="O19" s="49">
        <f>'дод 3'!P21+'дод 3'!P77+'дод 3'!P136+'дод 3'!P168+'дод 3'!P205+'дод 3'!P212+'дод 3'!P229+'дод 3'!P267+'дод 3'!P271+'дод 3'!P290+'дод 3'!P297+'дод 3'!P300+'дод 3'!P311+'дод 3'!P308</f>
        <v>263459996</v>
      </c>
    </row>
    <row r="20" spans="1:15" ht="33" hidden="1" customHeight="1" x14ac:dyDescent="0.25">
      <c r="A20" s="58" t="s">
        <v>90</v>
      </c>
      <c r="B20" s="58" t="s">
        <v>462</v>
      </c>
      <c r="C20" s="6" t="s">
        <v>453</v>
      </c>
      <c r="D20" s="49">
        <f>'дод 3'!E22</f>
        <v>0</v>
      </c>
      <c r="E20" s="49">
        <f>'дод 3'!F22</f>
        <v>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0</v>
      </c>
    </row>
    <row r="21" spans="1:15" ht="22.5" customHeight="1" x14ac:dyDescent="0.25">
      <c r="A21" s="37" t="s">
        <v>45</v>
      </c>
      <c r="B21" s="37" t="s">
        <v>93</v>
      </c>
      <c r="C21" s="6" t="s">
        <v>242</v>
      </c>
      <c r="D21" s="49">
        <f>'дод 3'!E23+'дод 3'!E169+'дод 3'!E230</f>
        <v>1035500</v>
      </c>
      <c r="E21" s="49">
        <f>'дод 3'!F23+'дод 3'!F169+'дод 3'!F230</f>
        <v>1035500</v>
      </c>
      <c r="F21" s="49">
        <f>'дод 3'!G23+'дод 3'!G169+'дод 3'!G230</f>
        <v>0</v>
      </c>
      <c r="G21" s="49">
        <f>'дод 3'!H23+'дод 3'!H169+'дод 3'!H230</f>
        <v>0</v>
      </c>
      <c r="H21" s="49">
        <f>'дод 3'!I23+'дод 3'!I169+'дод 3'!I230</f>
        <v>0</v>
      </c>
      <c r="I21" s="49">
        <f>'дод 3'!J23+'дод 3'!J169+'дод 3'!J230</f>
        <v>0</v>
      </c>
      <c r="J21" s="49">
        <f>'дод 3'!K23+'дод 3'!K169+'дод 3'!K230</f>
        <v>0</v>
      </c>
      <c r="K21" s="49">
        <f>'дод 3'!L23+'дод 3'!L169+'дод 3'!L230</f>
        <v>0</v>
      </c>
      <c r="L21" s="49">
        <f>'дод 3'!M23+'дод 3'!M169+'дод 3'!M230</f>
        <v>0</v>
      </c>
      <c r="M21" s="49">
        <f>'дод 3'!N23+'дод 3'!N169+'дод 3'!N230</f>
        <v>0</v>
      </c>
      <c r="N21" s="49">
        <f>'дод 3'!O23+'дод 3'!O169+'дод 3'!O230</f>
        <v>0</v>
      </c>
      <c r="O21" s="49">
        <f>'дод 3'!P23+'дод 3'!P169+'дод 3'!P230</f>
        <v>1035500</v>
      </c>
    </row>
    <row r="22" spans="1:15" ht="27" hidden="1" customHeight="1" x14ac:dyDescent="0.25">
      <c r="A22" s="58" t="s">
        <v>435</v>
      </c>
      <c r="B22" s="58" t="s">
        <v>119</v>
      </c>
      <c r="C22" s="6" t="s">
        <v>436</v>
      </c>
      <c r="D22" s="49">
        <f>'дод 3'!E24</f>
        <v>0</v>
      </c>
      <c r="E22" s="49">
        <f>'дод 3'!F24</f>
        <v>0</v>
      </c>
      <c r="F22" s="49">
        <f>'дод 3'!G24</f>
        <v>0</v>
      </c>
      <c r="G22" s="49">
        <f>'дод 3'!H24</f>
        <v>0</v>
      </c>
      <c r="H22" s="49">
        <f>'дод 3'!I24</f>
        <v>0</v>
      </c>
      <c r="I22" s="49">
        <f>'дод 3'!J24</f>
        <v>0</v>
      </c>
      <c r="J22" s="49">
        <f>'дод 3'!K24</f>
        <v>0</v>
      </c>
      <c r="K22" s="49">
        <f>'дод 3'!L24</f>
        <v>0</v>
      </c>
      <c r="L22" s="49">
        <f>'дод 3'!M24</f>
        <v>0</v>
      </c>
      <c r="M22" s="49">
        <f>'дод 3'!N24</f>
        <v>0</v>
      </c>
      <c r="N22" s="49">
        <f>'дод 3'!O24</f>
        <v>0</v>
      </c>
      <c r="O22" s="49">
        <f>'дод 3'!P24</f>
        <v>0</v>
      </c>
    </row>
    <row r="23" spans="1:15" s="54" customFormat="1" ht="63" hidden="1" customHeight="1" x14ac:dyDescent="0.25">
      <c r="A23" s="78"/>
      <c r="B23" s="88"/>
      <c r="C23" s="79" t="s">
        <v>439</v>
      </c>
      <c r="D23" s="80">
        <f>'дод 3'!E25</f>
        <v>0</v>
      </c>
      <c r="E23" s="80">
        <f>'дод 3'!F25</f>
        <v>0</v>
      </c>
      <c r="F23" s="80">
        <f>'дод 3'!G25</f>
        <v>0</v>
      </c>
      <c r="G23" s="80">
        <f>'дод 3'!H25</f>
        <v>0</v>
      </c>
      <c r="H23" s="80">
        <f>'дод 3'!I25</f>
        <v>0</v>
      </c>
      <c r="I23" s="80">
        <f>'дод 3'!J25</f>
        <v>0</v>
      </c>
      <c r="J23" s="80">
        <f>'дод 3'!K25</f>
        <v>0</v>
      </c>
      <c r="K23" s="80">
        <f>'дод 3'!L25</f>
        <v>0</v>
      </c>
      <c r="L23" s="80">
        <f>'дод 3'!M25</f>
        <v>0</v>
      </c>
      <c r="M23" s="80">
        <f>'дод 3'!N25</f>
        <v>0</v>
      </c>
      <c r="N23" s="80">
        <f>'дод 3'!O25</f>
        <v>0</v>
      </c>
      <c r="O23" s="80">
        <f>'дод 3'!P25</f>
        <v>0</v>
      </c>
    </row>
    <row r="24" spans="1:15" s="52" customFormat="1" ht="18.75" customHeight="1" x14ac:dyDescent="0.25">
      <c r="A24" s="38" t="s">
        <v>47</v>
      </c>
      <c r="B24" s="39"/>
      <c r="C24" s="9" t="s">
        <v>403</v>
      </c>
      <c r="D24" s="48">
        <f>D36+D38+D45+D47+D48+D51+D53+D55+D58+D60+D61+D62+D63+D64+D65+D67+D68+D69+D71+D73+D75+D77</f>
        <v>1158235183.02</v>
      </c>
      <c r="E24" s="48">
        <f t="shared" ref="E24:O24" si="2">E36+E38+E45+E47+E48+E51+E53+E55+E58+E60+E61+E62+E63+E64+E65+E67+E68+E69+E71+E73+E75+E77</f>
        <v>1158235183.02</v>
      </c>
      <c r="F24" s="48">
        <f t="shared" si="2"/>
        <v>809727325</v>
      </c>
      <c r="G24" s="48">
        <f t="shared" si="2"/>
        <v>87161810</v>
      </c>
      <c r="H24" s="48">
        <f t="shared" si="2"/>
        <v>0</v>
      </c>
      <c r="I24" s="48">
        <f t="shared" si="2"/>
        <v>53822175.18</v>
      </c>
      <c r="J24" s="48">
        <f t="shared" si="2"/>
        <v>14202575.18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14205705.18</v>
      </c>
      <c r="O24" s="48">
        <f t="shared" si="2"/>
        <v>1212057358.2</v>
      </c>
    </row>
    <row r="25" spans="1:15" s="53" customFormat="1" ht="31.5" x14ac:dyDescent="0.25">
      <c r="A25" s="71"/>
      <c r="B25" s="74"/>
      <c r="C25" s="75" t="s">
        <v>389</v>
      </c>
      <c r="D25" s="76">
        <f>D49+D52+D54</f>
        <v>482448000</v>
      </c>
      <c r="E25" s="76">
        <f t="shared" ref="E25:O25" si="3">E49+E52+E54</f>
        <v>482448000</v>
      </c>
      <c r="F25" s="76">
        <f t="shared" si="3"/>
        <v>395816000</v>
      </c>
      <c r="G25" s="76">
        <f t="shared" si="3"/>
        <v>0</v>
      </c>
      <c r="H25" s="76">
        <f t="shared" si="3"/>
        <v>0</v>
      </c>
      <c r="I25" s="76">
        <f t="shared" si="3"/>
        <v>0</v>
      </c>
      <c r="J25" s="76">
        <f t="shared" si="3"/>
        <v>0</v>
      </c>
      <c r="K25" s="76">
        <f t="shared" si="3"/>
        <v>0</v>
      </c>
      <c r="L25" s="76">
        <f t="shared" si="3"/>
        <v>0</v>
      </c>
      <c r="M25" s="76">
        <f t="shared" si="3"/>
        <v>0</v>
      </c>
      <c r="N25" s="76">
        <f t="shared" si="3"/>
        <v>0</v>
      </c>
      <c r="O25" s="76">
        <f t="shared" si="3"/>
        <v>482448000</v>
      </c>
    </row>
    <row r="26" spans="1:15" s="53" customFormat="1" ht="47.25" x14ac:dyDescent="0.25">
      <c r="A26" s="71"/>
      <c r="B26" s="74"/>
      <c r="C26" s="77" t="s">
        <v>544</v>
      </c>
      <c r="D26" s="76">
        <f>D56</f>
        <v>246000</v>
      </c>
      <c r="E26" s="76">
        <f t="shared" ref="E26:O26" si="4">E56</f>
        <v>246000</v>
      </c>
      <c r="F26" s="76">
        <f t="shared" si="4"/>
        <v>0</v>
      </c>
      <c r="G26" s="76">
        <f t="shared" si="4"/>
        <v>0</v>
      </c>
      <c r="H26" s="76">
        <f t="shared" si="4"/>
        <v>0</v>
      </c>
      <c r="I26" s="76">
        <f t="shared" si="4"/>
        <v>1754000</v>
      </c>
      <c r="J26" s="76">
        <f t="shared" si="4"/>
        <v>1754000</v>
      </c>
      <c r="K26" s="76">
        <f t="shared" si="4"/>
        <v>0</v>
      </c>
      <c r="L26" s="76">
        <f t="shared" si="4"/>
        <v>0</v>
      </c>
      <c r="M26" s="76">
        <f t="shared" si="4"/>
        <v>0</v>
      </c>
      <c r="N26" s="76">
        <f t="shared" si="4"/>
        <v>1754000</v>
      </c>
      <c r="O26" s="76">
        <f t="shared" si="4"/>
        <v>2000000</v>
      </c>
    </row>
    <row r="27" spans="1:15" s="53" customFormat="1" ht="47.25" x14ac:dyDescent="0.25">
      <c r="A27" s="71"/>
      <c r="B27" s="74"/>
      <c r="C27" s="75" t="s">
        <v>384</v>
      </c>
      <c r="D27" s="76">
        <f>D50+D66</f>
        <v>3578416</v>
      </c>
      <c r="E27" s="76">
        <f t="shared" ref="E27:O27" si="5">E50+E66</f>
        <v>3578416</v>
      </c>
      <c r="F27" s="76">
        <f t="shared" si="5"/>
        <v>1228720</v>
      </c>
      <c r="G27" s="76">
        <f t="shared" si="5"/>
        <v>0</v>
      </c>
      <c r="H27" s="76">
        <f t="shared" si="5"/>
        <v>0</v>
      </c>
      <c r="I27" s="76">
        <f t="shared" si="5"/>
        <v>0</v>
      </c>
      <c r="J27" s="76">
        <f t="shared" si="5"/>
        <v>0</v>
      </c>
      <c r="K27" s="76">
        <f t="shared" si="5"/>
        <v>0</v>
      </c>
      <c r="L27" s="76">
        <f t="shared" si="5"/>
        <v>0</v>
      </c>
      <c r="M27" s="76">
        <f t="shared" si="5"/>
        <v>0</v>
      </c>
      <c r="N27" s="76">
        <f t="shared" si="5"/>
        <v>0</v>
      </c>
      <c r="O27" s="76">
        <f t="shared" si="5"/>
        <v>3578416</v>
      </c>
    </row>
    <row r="28" spans="1:15" s="53" customFormat="1" ht="47.25" hidden="1" x14ac:dyDescent="0.25">
      <c r="A28" s="71"/>
      <c r="B28" s="74"/>
      <c r="C28" s="75" t="s">
        <v>386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s="53" customFormat="1" ht="50.25" customHeight="1" x14ac:dyDescent="0.25">
      <c r="A29" s="71"/>
      <c r="B29" s="74"/>
      <c r="C29" s="77" t="s">
        <v>383</v>
      </c>
      <c r="D29" s="76">
        <f>D76</f>
        <v>2612700</v>
      </c>
      <c r="E29" s="76">
        <f t="shared" ref="E29:O29" si="6">E76</f>
        <v>2612700</v>
      </c>
      <c r="F29" s="76">
        <f t="shared" si="6"/>
        <v>1459720</v>
      </c>
      <c r="G29" s="76">
        <f t="shared" si="6"/>
        <v>0</v>
      </c>
      <c r="H29" s="76">
        <f t="shared" si="6"/>
        <v>0</v>
      </c>
      <c r="I29" s="76">
        <f t="shared" si="6"/>
        <v>72000</v>
      </c>
      <c r="J29" s="76">
        <f t="shared" si="6"/>
        <v>72000</v>
      </c>
      <c r="K29" s="76">
        <f t="shared" si="6"/>
        <v>0</v>
      </c>
      <c r="L29" s="76">
        <f t="shared" si="6"/>
        <v>0</v>
      </c>
      <c r="M29" s="76">
        <f t="shared" si="6"/>
        <v>0</v>
      </c>
      <c r="N29" s="76">
        <f t="shared" si="6"/>
        <v>72000</v>
      </c>
      <c r="O29" s="76">
        <f t="shared" si="6"/>
        <v>2684700</v>
      </c>
    </row>
    <row r="30" spans="1:15" s="53" customFormat="1" ht="63" hidden="1" x14ac:dyDescent="0.25">
      <c r="A30" s="71"/>
      <c r="B30" s="74"/>
      <c r="C30" s="75" t="s">
        <v>385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s="53" customFormat="1" ht="63" x14ac:dyDescent="0.25">
      <c r="A31" s="71"/>
      <c r="B31" s="71"/>
      <c r="C31" s="77" t="s">
        <v>524</v>
      </c>
      <c r="D31" s="76">
        <f>D78</f>
        <v>1315285.79</v>
      </c>
      <c r="E31" s="76">
        <f t="shared" ref="E31:O31" si="7">E78</f>
        <v>1315285.79</v>
      </c>
      <c r="F31" s="76">
        <f t="shared" si="7"/>
        <v>1034620</v>
      </c>
      <c r="G31" s="76">
        <f t="shared" si="7"/>
        <v>0</v>
      </c>
      <c r="H31" s="76">
        <f t="shared" si="7"/>
        <v>0</v>
      </c>
      <c r="I31" s="76">
        <f t="shared" si="7"/>
        <v>0</v>
      </c>
      <c r="J31" s="76">
        <f t="shared" si="7"/>
        <v>0</v>
      </c>
      <c r="K31" s="76">
        <f t="shared" si="7"/>
        <v>0</v>
      </c>
      <c r="L31" s="76">
        <f t="shared" si="7"/>
        <v>0</v>
      </c>
      <c r="M31" s="76">
        <f t="shared" si="7"/>
        <v>0</v>
      </c>
      <c r="N31" s="76">
        <f t="shared" si="7"/>
        <v>0</v>
      </c>
      <c r="O31" s="76">
        <f t="shared" si="7"/>
        <v>1315285.79</v>
      </c>
    </row>
    <row r="32" spans="1:15" s="53" customFormat="1" ht="31.5" x14ac:dyDescent="0.25">
      <c r="A32" s="71"/>
      <c r="B32" s="71"/>
      <c r="C32" s="77" t="s">
        <v>541</v>
      </c>
      <c r="D32" s="76">
        <f>D57+D59</f>
        <v>741017.59999999998</v>
      </c>
      <c r="E32" s="76">
        <f t="shared" ref="E32:O32" si="8">E57+E59</f>
        <v>741017.59999999998</v>
      </c>
      <c r="F32" s="76">
        <f t="shared" si="8"/>
        <v>0</v>
      </c>
      <c r="G32" s="76">
        <f t="shared" si="8"/>
        <v>0</v>
      </c>
      <c r="H32" s="76">
        <f t="shared" si="8"/>
        <v>0</v>
      </c>
      <c r="I32" s="76">
        <f t="shared" si="8"/>
        <v>4356725.18</v>
      </c>
      <c r="J32" s="76">
        <f t="shared" si="8"/>
        <v>4356725.18</v>
      </c>
      <c r="K32" s="76">
        <f t="shared" si="8"/>
        <v>0</v>
      </c>
      <c r="L32" s="76">
        <f t="shared" si="8"/>
        <v>0</v>
      </c>
      <c r="M32" s="76">
        <f t="shared" si="8"/>
        <v>0</v>
      </c>
      <c r="N32" s="76">
        <f t="shared" si="8"/>
        <v>4356725.18</v>
      </c>
      <c r="O32" s="76">
        <f t="shared" si="8"/>
        <v>5097742.7799999993</v>
      </c>
    </row>
    <row r="33" spans="1:15" s="53" customFormat="1" ht="55.5" customHeight="1" x14ac:dyDescent="0.25">
      <c r="A33" s="71"/>
      <c r="B33" s="71"/>
      <c r="C33" s="77" t="s">
        <v>606</v>
      </c>
      <c r="D33" s="76">
        <f>D70</f>
        <v>287772</v>
      </c>
      <c r="E33" s="76">
        <f t="shared" ref="E33:O33" si="9">E70</f>
        <v>287772</v>
      </c>
      <c r="F33" s="76">
        <f t="shared" si="9"/>
        <v>0</v>
      </c>
      <c r="G33" s="76">
        <f t="shared" si="9"/>
        <v>0</v>
      </c>
      <c r="H33" s="76">
        <f t="shared" si="9"/>
        <v>0</v>
      </c>
      <c r="I33" s="76">
        <f t="shared" si="9"/>
        <v>2859728</v>
      </c>
      <c r="J33" s="76">
        <f t="shared" si="9"/>
        <v>2859728</v>
      </c>
      <c r="K33" s="76">
        <f t="shared" si="9"/>
        <v>0</v>
      </c>
      <c r="L33" s="76">
        <f t="shared" si="9"/>
        <v>0</v>
      </c>
      <c r="M33" s="76">
        <f t="shared" si="9"/>
        <v>0</v>
      </c>
      <c r="N33" s="76">
        <f t="shared" si="9"/>
        <v>2859728</v>
      </c>
      <c r="O33" s="76">
        <f t="shared" si="9"/>
        <v>3147500</v>
      </c>
    </row>
    <row r="34" spans="1:15" s="53" customFormat="1" ht="63" x14ac:dyDescent="0.25">
      <c r="A34" s="71"/>
      <c r="B34" s="71"/>
      <c r="C34" s="77" t="s">
        <v>562</v>
      </c>
      <c r="D34" s="76">
        <f>D74</f>
        <v>6236344</v>
      </c>
      <c r="E34" s="76">
        <f t="shared" ref="E34:O34" si="10">E74</f>
        <v>6236344</v>
      </c>
      <c r="F34" s="76">
        <f t="shared" si="10"/>
        <v>57829</v>
      </c>
      <c r="G34" s="76">
        <f t="shared" si="10"/>
        <v>0</v>
      </c>
      <c r="H34" s="76">
        <f t="shared" si="10"/>
        <v>0</v>
      </c>
      <c r="I34" s="76">
        <f t="shared" si="10"/>
        <v>670719</v>
      </c>
      <c r="J34" s="76">
        <f t="shared" si="10"/>
        <v>670719</v>
      </c>
      <c r="K34" s="76">
        <f t="shared" si="10"/>
        <v>0</v>
      </c>
      <c r="L34" s="76">
        <f t="shared" si="10"/>
        <v>0</v>
      </c>
      <c r="M34" s="76">
        <f t="shared" si="10"/>
        <v>0</v>
      </c>
      <c r="N34" s="76">
        <f t="shared" si="10"/>
        <v>670719</v>
      </c>
      <c r="O34" s="76">
        <f t="shared" si="10"/>
        <v>6907063</v>
      </c>
    </row>
    <row r="35" spans="1:15" s="53" customFormat="1" x14ac:dyDescent="0.25">
      <c r="A35" s="71"/>
      <c r="B35" s="71"/>
      <c r="C35" s="77" t="s">
        <v>395</v>
      </c>
      <c r="D35" s="76">
        <f>D72</f>
        <v>150000</v>
      </c>
      <c r="E35" s="76">
        <f t="shared" ref="E35:O35" si="11">E72</f>
        <v>150000</v>
      </c>
      <c r="F35" s="76">
        <f t="shared" si="11"/>
        <v>0</v>
      </c>
      <c r="G35" s="76">
        <f t="shared" si="11"/>
        <v>0</v>
      </c>
      <c r="H35" s="76">
        <f t="shared" si="11"/>
        <v>0</v>
      </c>
      <c r="I35" s="76">
        <f t="shared" si="11"/>
        <v>0</v>
      </c>
      <c r="J35" s="76">
        <f t="shared" si="11"/>
        <v>0</v>
      </c>
      <c r="K35" s="76">
        <f t="shared" si="11"/>
        <v>0</v>
      </c>
      <c r="L35" s="76">
        <f t="shared" si="11"/>
        <v>0</v>
      </c>
      <c r="M35" s="76">
        <f t="shared" si="11"/>
        <v>0</v>
      </c>
      <c r="N35" s="76">
        <f t="shared" si="11"/>
        <v>0</v>
      </c>
      <c r="O35" s="76">
        <f t="shared" si="11"/>
        <v>150000</v>
      </c>
    </row>
    <row r="36" spans="1:15" ht="17.25" customHeight="1" x14ac:dyDescent="0.25">
      <c r="A36" s="37" t="s">
        <v>48</v>
      </c>
      <c r="B36" s="37" t="s">
        <v>49</v>
      </c>
      <c r="C36" s="6" t="s">
        <v>503</v>
      </c>
      <c r="D36" s="49">
        <f>'дод 3'!E78</f>
        <v>313251086</v>
      </c>
      <c r="E36" s="49">
        <f>'дод 3'!F78</f>
        <v>313251086</v>
      </c>
      <c r="F36" s="49">
        <f>'дод 3'!G78</f>
        <v>204809330</v>
      </c>
      <c r="G36" s="49">
        <f>'дод 3'!H78</f>
        <v>33070107</v>
      </c>
      <c r="H36" s="49">
        <f>'дод 3'!I78</f>
        <v>0</v>
      </c>
      <c r="I36" s="49">
        <f>'дод 3'!J78</f>
        <v>12818678</v>
      </c>
      <c r="J36" s="49">
        <f>'дод 3'!K78</f>
        <v>1058978</v>
      </c>
      <c r="K36" s="49">
        <f>'дод 3'!L78</f>
        <v>11759700</v>
      </c>
      <c r="L36" s="49">
        <f>'дод 3'!M78</f>
        <v>0</v>
      </c>
      <c r="M36" s="49">
        <f>'дод 3'!N78</f>
        <v>0</v>
      </c>
      <c r="N36" s="49">
        <f>'дод 3'!O78</f>
        <v>1058978</v>
      </c>
      <c r="O36" s="49">
        <f>'дод 3'!P78</f>
        <v>326069764</v>
      </c>
    </row>
    <row r="37" spans="1:15" s="54" customFormat="1" ht="47.25" hidden="1" customHeight="1" x14ac:dyDescent="0.25">
      <c r="A37" s="78"/>
      <c r="B37" s="78"/>
      <c r="C37" s="79" t="s">
        <v>383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ht="38.25" customHeight="1" x14ac:dyDescent="0.25">
      <c r="A38" s="37">
        <v>1021</v>
      </c>
      <c r="B38" s="37" t="s">
        <v>51</v>
      </c>
      <c r="C38" s="60" t="s">
        <v>471</v>
      </c>
      <c r="D38" s="49">
        <f>'дод 3'!E79</f>
        <v>224476209.19999999</v>
      </c>
      <c r="E38" s="49">
        <f>'дод 3'!F79</f>
        <v>224476209.19999999</v>
      </c>
      <c r="F38" s="49">
        <f>'дод 3'!G79</f>
        <v>116673485.94</v>
      </c>
      <c r="G38" s="49">
        <f>'дод 3'!H79</f>
        <v>46002509.549999997</v>
      </c>
      <c r="H38" s="49">
        <f>'дод 3'!I79</f>
        <v>0</v>
      </c>
      <c r="I38" s="49">
        <f>'дод 3'!J79</f>
        <v>26423904</v>
      </c>
      <c r="J38" s="49">
        <f>'дод 3'!K79</f>
        <v>1293104</v>
      </c>
      <c r="K38" s="49">
        <f>'дод 3'!L79</f>
        <v>25130800</v>
      </c>
      <c r="L38" s="49">
        <f>'дод 3'!M79</f>
        <v>2268060</v>
      </c>
      <c r="M38" s="49">
        <f>'дод 3'!N79</f>
        <v>139890</v>
      </c>
      <c r="N38" s="49">
        <f>'дод 3'!O79</f>
        <v>1293104</v>
      </c>
      <c r="O38" s="49">
        <f>'дод 3'!P79</f>
        <v>250900113.19999999</v>
      </c>
    </row>
    <row r="39" spans="1:15" s="54" customFormat="1" ht="63" hidden="1" customHeight="1" x14ac:dyDescent="0.25">
      <c r="A39" s="78"/>
      <c r="B39" s="78"/>
      <c r="C39" s="79" t="s">
        <v>387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s="54" customFormat="1" ht="47.25" hidden="1" customHeight="1" x14ac:dyDescent="0.25">
      <c r="A40" s="78"/>
      <c r="B40" s="78"/>
      <c r="C40" s="79" t="s">
        <v>384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s="54" customFormat="1" ht="47.25" hidden="1" customHeight="1" x14ac:dyDescent="0.25">
      <c r="A41" s="78"/>
      <c r="B41" s="78"/>
      <c r="C41" s="79" t="s">
        <v>386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1:15" s="54" customFormat="1" ht="47.25" hidden="1" customHeight="1" x14ac:dyDescent="0.25">
      <c r="A42" s="78"/>
      <c r="B42" s="78"/>
      <c r="C42" s="79" t="s">
        <v>383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1:15" s="54" customFormat="1" ht="31.5" hidden="1" customHeight="1" x14ac:dyDescent="0.25">
      <c r="A43" s="78"/>
      <c r="B43" s="78"/>
      <c r="C43" s="79" t="s">
        <v>389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s="54" customFormat="1" ht="63" hidden="1" customHeight="1" x14ac:dyDescent="0.25">
      <c r="A44" s="78"/>
      <c r="B44" s="78"/>
      <c r="C44" s="79" t="s">
        <v>385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1:15" ht="69.75" customHeight="1" x14ac:dyDescent="0.25">
      <c r="A45" s="37">
        <v>1022</v>
      </c>
      <c r="B45" s="59" t="s">
        <v>55</v>
      </c>
      <c r="C45" s="36" t="s">
        <v>473</v>
      </c>
      <c r="D45" s="49">
        <f>'дод 3'!E80</f>
        <v>14988107</v>
      </c>
      <c r="E45" s="49">
        <f>'дод 3'!F80</f>
        <v>14988107</v>
      </c>
      <c r="F45" s="49">
        <f>'дод 3'!G80</f>
        <v>8830500</v>
      </c>
      <c r="G45" s="49">
        <f>'дод 3'!H80</f>
        <v>2084107</v>
      </c>
      <c r="H45" s="49">
        <f>'дод 3'!I80</f>
        <v>0</v>
      </c>
      <c r="I45" s="49">
        <f>'дод 3'!J80</f>
        <v>97000</v>
      </c>
      <c r="J45" s="49">
        <f>'дод 3'!K80</f>
        <v>97000</v>
      </c>
      <c r="K45" s="49">
        <f>'дод 3'!L80</f>
        <v>0</v>
      </c>
      <c r="L45" s="49">
        <f>'дод 3'!M80</f>
        <v>0</v>
      </c>
      <c r="M45" s="49">
        <f>'дод 3'!N80</f>
        <v>0</v>
      </c>
      <c r="N45" s="49">
        <f>'дод 3'!O80</f>
        <v>97000</v>
      </c>
      <c r="O45" s="49">
        <f>'дод 3'!P80</f>
        <v>15085107</v>
      </c>
    </row>
    <row r="46" spans="1:15" ht="63" hidden="1" x14ac:dyDescent="0.25">
      <c r="A46" s="37"/>
      <c r="B46" s="37"/>
      <c r="C46" s="79" t="s">
        <v>387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63" x14ac:dyDescent="0.25">
      <c r="A47" s="37">
        <v>1025</v>
      </c>
      <c r="B47" s="37" t="s">
        <v>55</v>
      </c>
      <c r="C47" s="3" t="s">
        <v>602</v>
      </c>
      <c r="D47" s="49">
        <f>'дод 3'!E81</f>
        <v>4106374.43</v>
      </c>
      <c r="E47" s="49">
        <f>'дод 3'!F81</f>
        <v>4106374.43</v>
      </c>
      <c r="F47" s="49">
        <f>'дод 3'!G81</f>
        <v>2829220.06</v>
      </c>
      <c r="G47" s="49">
        <f>'дод 3'!H81</f>
        <v>398866.45</v>
      </c>
      <c r="H47" s="49">
        <f>'дод 3'!I81</f>
        <v>0</v>
      </c>
      <c r="I47" s="49">
        <f>'дод 3'!J81</f>
        <v>0</v>
      </c>
      <c r="J47" s="49">
        <f>'дод 3'!K81</f>
        <v>0</v>
      </c>
      <c r="K47" s="49">
        <f>'дод 3'!L81</f>
        <v>0</v>
      </c>
      <c r="L47" s="49">
        <f>'дод 3'!M81</f>
        <v>0</v>
      </c>
      <c r="M47" s="49">
        <f>'дод 3'!N81</f>
        <v>0</v>
      </c>
      <c r="N47" s="49">
        <f>'дод 3'!O81</f>
        <v>0</v>
      </c>
      <c r="O47" s="49">
        <f>'дод 3'!P81</f>
        <v>4106374.43</v>
      </c>
    </row>
    <row r="48" spans="1:15" s="54" customFormat="1" ht="35.25" customHeight="1" x14ac:dyDescent="0.25">
      <c r="A48" s="93">
        <v>1031</v>
      </c>
      <c r="B48" s="59" t="s">
        <v>51</v>
      </c>
      <c r="C48" s="60" t="s">
        <v>504</v>
      </c>
      <c r="D48" s="49">
        <f>'дод 3'!E82</f>
        <v>468297758.54000002</v>
      </c>
      <c r="E48" s="49">
        <f>'дод 3'!F82</f>
        <v>468297758.54000002</v>
      </c>
      <c r="F48" s="49">
        <f>'дод 3'!G82</f>
        <v>382501138.35000002</v>
      </c>
      <c r="G48" s="49">
        <f>'дод 3'!H82</f>
        <v>0</v>
      </c>
      <c r="H48" s="49">
        <f>'дод 3'!I82</f>
        <v>0</v>
      </c>
      <c r="I48" s="49">
        <f>'дод 3'!J82</f>
        <v>0</v>
      </c>
      <c r="J48" s="49">
        <f>'дод 3'!K82</f>
        <v>0</v>
      </c>
      <c r="K48" s="49">
        <f>'дод 3'!L82</f>
        <v>0</v>
      </c>
      <c r="L48" s="49">
        <f>'дод 3'!M82</f>
        <v>0</v>
      </c>
      <c r="M48" s="49">
        <f>'дод 3'!N82</f>
        <v>0</v>
      </c>
      <c r="N48" s="49">
        <f>'дод 3'!O82</f>
        <v>0</v>
      </c>
      <c r="O48" s="49">
        <f>'дод 3'!P82</f>
        <v>468297758.54000002</v>
      </c>
    </row>
    <row r="49" spans="1:15" s="54" customFormat="1" ht="31.5" x14ac:dyDescent="0.25">
      <c r="A49" s="78"/>
      <c r="B49" s="78"/>
      <c r="C49" s="87" t="s">
        <v>389</v>
      </c>
      <c r="D49" s="80">
        <f>'дод 3'!E83</f>
        <v>466218378.54000002</v>
      </c>
      <c r="E49" s="80">
        <f>'дод 3'!F83</f>
        <v>466218378.54000002</v>
      </c>
      <c r="F49" s="80">
        <f>'дод 3'!G83</f>
        <v>382501138.35000002</v>
      </c>
      <c r="G49" s="80">
        <f>'дод 3'!H83</f>
        <v>0</v>
      </c>
      <c r="H49" s="80">
        <f>'дод 3'!I83</f>
        <v>0</v>
      </c>
      <c r="I49" s="80">
        <f>'дод 3'!J83</f>
        <v>0</v>
      </c>
      <c r="J49" s="80">
        <f>'дод 3'!K83</f>
        <v>0</v>
      </c>
      <c r="K49" s="80">
        <f>'дод 3'!L83</f>
        <v>0</v>
      </c>
      <c r="L49" s="80">
        <f>'дод 3'!M83</f>
        <v>0</v>
      </c>
      <c r="M49" s="80">
        <f>'дод 3'!N83</f>
        <v>0</v>
      </c>
      <c r="N49" s="80">
        <f>'дод 3'!O83</f>
        <v>0</v>
      </c>
      <c r="O49" s="80">
        <f>'дод 3'!P83</f>
        <v>466218378.54000002</v>
      </c>
    </row>
    <row r="50" spans="1:15" ht="50.25" customHeight="1" x14ac:dyDescent="0.25">
      <c r="A50" s="37"/>
      <c r="B50" s="37"/>
      <c r="C50" s="87" t="s">
        <v>384</v>
      </c>
      <c r="D50" s="80">
        <f>'дод 3'!E84</f>
        <v>2079380</v>
      </c>
      <c r="E50" s="80">
        <f>'дод 3'!F84</f>
        <v>2079380</v>
      </c>
      <c r="F50" s="80">
        <f>'дод 3'!G84</f>
        <v>0</v>
      </c>
      <c r="G50" s="80">
        <f>'дод 3'!H84</f>
        <v>0</v>
      </c>
      <c r="H50" s="80">
        <f>'дод 3'!I84</f>
        <v>0</v>
      </c>
      <c r="I50" s="80">
        <f>'дод 3'!J84</f>
        <v>0</v>
      </c>
      <c r="J50" s="80">
        <f>'дод 3'!K84</f>
        <v>0</v>
      </c>
      <c r="K50" s="80">
        <f>'дод 3'!L84</f>
        <v>0</v>
      </c>
      <c r="L50" s="80">
        <f>'дод 3'!M84</f>
        <v>0</v>
      </c>
      <c r="M50" s="80">
        <f>'дод 3'!N84</f>
        <v>0</v>
      </c>
      <c r="N50" s="80">
        <f>'дод 3'!O84</f>
        <v>0</v>
      </c>
      <c r="O50" s="80">
        <f>'дод 3'!P84</f>
        <v>2079380</v>
      </c>
    </row>
    <row r="51" spans="1:15" ht="63.75" customHeight="1" x14ac:dyDescent="0.25">
      <c r="A51" s="59" t="s">
        <v>476</v>
      </c>
      <c r="B51" s="59" t="s">
        <v>55</v>
      </c>
      <c r="C51" s="60" t="s">
        <v>505</v>
      </c>
      <c r="D51" s="49">
        <f>'дод 3'!E85</f>
        <v>15808500</v>
      </c>
      <c r="E51" s="49">
        <f>'дод 3'!F85</f>
        <v>15808500</v>
      </c>
      <c r="F51" s="49">
        <f>'дод 3'!G85</f>
        <v>12969100</v>
      </c>
      <c r="G51" s="49">
        <f>'дод 3'!H85</f>
        <v>0</v>
      </c>
      <c r="H51" s="49">
        <f>'дод 3'!I85</f>
        <v>0</v>
      </c>
      <c r="I51" s="49">
        <f>'дод 3'!J85</f>
        <v>0</v>
      </c>
      <c r="J51" s="49">
        <f>'дод 3'!K85</f>
        <v>0</v>
      </c>
      <c r="K51" s="49">
        <f>'дод 3'!L85</f>
        <v>0</v>
      </c>
      <c r="L51" s="49">
        <f>'дод 3'!M85</f>
        <v>0</v>
      </c>
      <c r="M51" s="49">
        <f>'дод 3'!N85</f>
        <v>0</v>
      </c>
      <c r="N51" s="49">
        <f>'дод 3'!O85</f>
        <v>0</v>
      </c>
      <c r="O51" s="49">
        <f>'дод 3'!P85</f>
        <v>15808500</v>
      </c>
    </row>
    <row r="52" spans="1:15" ht="31.5" x14ac:dyDescent="0.25">
      <c r="A52" s="37"/>
      <c r="B52" s="37"/>
      <c r="C52" s="87" t="s">
        <v>389</v>
      </c>
      <c r="D52" s="80">
        <f>'дод 3'!E86</f>
        <v>15808500</v>
      </c>
      <c r="E52" s="80">
        <f>'дод 3'!F86</f>
        <v>15808500</v>
      </c>
      <c r="F52" s="80">
        <f>'дод 3'!G86</f>
        <v>12969100</v>
      </c>
      <c r="G52" s="80">
        <f>'дод 3'!H86</f>
        <v>0</v>
      </c>
      <c r="H52" s="80">
        <f>'дод 3'!I86</f>
        <v>0</v>
      </c>
      <c r="I52" s="80">
        <f>'дод 3'!J86</f>
        <v>0</v>
      </c>
      <c r="J52" s="80">
        <f>'дод 3'!K86</f>
        <v>0</v>
      </c>
      <c r="K52" s="80">
        <f>'дод 3'!L86</f>
        <v>0</v>
      </c>
      <c r="L52" s="80">
        <f>'дод 3'!M86</f>
        <v>0</v>
      </c>
      <c r="M52" s="80">
        <f>'дод 3'!N86</f>
        <v>0</v>
      </c>
      <c r="N52" s="80">
        <f>'дод 3'!O86</f>
        <v>0</v>
      </c>
      <c r="O52" s="80">
        <f>'дод 3'!P86</f>
        <v>15808500</v>
      </c>
    </row>
    <row r="53" spans="1:15" ht="66.75" customHeight="1" x14ac:dyDescent="0.25">
      <c r="A53" s="37">
        <v>1035</v>
      </c>
      <c r="B53" s="37" t="s">
        <v>55</v>
      </c>
      <c r="C53" s="36" t="s">
        <v>604</v>
      </c>
      <c r="D53" s="49">
        <f>'дод 3'!E87</f>
        <v>421121.46</v>
      </c>
      <c r="E53" s="49">
        <f>'дод 3'!F87</f>
        <v>421121.46</v>
      </c>
      <c r="F53" s="49">
        <f>'дод 3'!G87</f>
        <v>345761.65</v>
      </c>
      <c r="G53" s="49">
        <f>'дод 3'!H87</f>
        <v>0</v>
      </c>
      <c r="H53" s="49">
        <f>'дод 3'!I87</f>
        <v>0</v>
      </c>
      <c r="I53" s="49">
        <f>'дод 3'!J87</f>
        <v>0</v>
      </c>
      <c r="J53" s="49">
        <f>'дод 3'!K87</f>
        <v>0</v>
      </c>
      <c r="K53" s="49">
        <f>'дод 3'!L87</f>
        <v>0</v>
      </c>
      <c r="L53" s="49">
        <f>'дод 3'!M87</f>
        <v>0</v>
      </c>
      <c r="M53" s="49">
        <f>'дод 3'!N87</f>
        <v>0</v>
      </c>
      <c r="N53" s="49">
        <f>'дод 3'!O87</f>
        <v>0</v>
      </c>
      <c r="O53" s="49">
        <f>'дод 3'!P87</f>
        <v>421121.46</v>
      </c>
    </row>
    <row r="54" spans="1:15" ht="31.5" x14ac:dyDescent="0.25">
      <c r="A54" s="37"/>
      <c r="B54" s="37"/>
      <c r="C54" s="87" t="s">
        <v>389</v>
      </c>
      <c r="D54" s="80">
        <f>'дод 3'!E88</f>
        <v>421121.46</v>
      </c>
      <c r="E54" s="80">
        <f>'дод 3'!F88</f>
        <v>421121.46</v>
      </c>
      <c r="F54" s="80">
        <f>'дод 3'!G88</f>
        <v>345761.65</v>
      </c>
      <c r="G54" s="80">
        <f>'дод 3'!H88</f>
        <v>0</v>
      </c>
      <c r="H54" s="80">
        <f>'дод 3'!I88</f>
        <v>0</v>
      </c>
      <c r="I54" s="80">
        <f>'дод 3'!J88</f>
        <v>0</v>
      </c>
      <c r="J54" s="80">
        <f>'дод 3'!K88</f>
        <v>0</v>
      </c>
      <c r="K54" s="80">
        <f>'дод 3'!L88</f>
        <v>0</v>
      </c>
      <c r="L54" s="80">
        <f>'дод 3'!M88</f>
        <v>0</v>
      </c>
      <c r="M54" s="80">
        <f>'дод 3'!N88</f>
        <v>0</v>
      </c>
      <c r="N54" s="80">
        <f>'дод 3'!O88</f>
        <v>0</v>
      </c>
      <c r="O54" s="80">
        <f>'дод 3'!P88</f>
        <v>421121.46</v>
      </c>
    </row>
    <row r="55" spans="1:15" ht="31.5" x14ac:dyDescent="0.25">
      <c r="A55" s="37">
        <v>1061</v>
      </c>
      <c r="B55" s="59" t="s">
        <v>51</v>
      </c>
      <c r="C55" s="36" t="s">
        <v>533</v>
      </c>
      <c r="D55" s="49">
        <f>'дод 3'!E89</f>
        <v>947017.6</v>
      </c>
      <c r="E55" s="49">
        <f>'дод 3'!F89</f>
        <v>947017.6</v>
      </c>
      <c r="F55" s="49">
        <f>'дод 3'!G89</f>
        <v>0</v>
      </c>
      <c r="G55" s="49">
        <f>'дод 3'!H89</f>
        <v>0</v>
      </c>
      <c r="H55" s="49">
        <f>'дод 3'!I89</f>
        <v>0</v>
      </c>
      <c r="I55" s="49">
        <f>'дод 3'!J89</f>
        <v>6110725.1799999997</v>
      </c>
      <c r="J55" s="49">
        <f>'дод 3'!K89</f>
        <v>6110725.1799999997</v>
      </c>
      <c r="K55" s="49">
        <f>'дод 3'!L89</f>
        <v>0</v>
      </c>
      <c r="L55" s="49">
        <f>'дод 3'!M89</f>
        <v>0</v>
      </c>
      <c r="M55" s="49">
        <f>'дод 3'!N89</f>
        <v>0</v>
      </c>
      <c r="N55" s="49">
        <f>'дод 3'!O89</f>
        <v>6110725.1799999997</v>
      </c>
      <c r="O55" s="49">
        <f>'дод 3'!P89</f>
        <v>7057742.7799999993</v>
      </c>
    </row>
    <row r="56" spans="1:15" ht="48.75" customHeight="1" x14ac:dyDescent="0.25">
      <c r="A56" s="37"/>
      <c r="B56" s="59"/>
      <c r="C56" s="87" t="s">
        <v>544</v>
      </c>
      <c r="D56" s="80">
        <f>'дод 3'!E90</f>
        <v>246000</v>
      </c>
      <c r="E56" s="80">
        <f>'дод 3'!F90</f>
        <v>246000</v>
      </c>
      <c r="F56" s="80">
        <f>'дод 3'!G90</f>
        <v>0</v>
      </c>
      <c r="G56" s="80">
        <f>'дод 3'!H90</f>
        <v>0</v>
      </c>
      <c r="H56" s="80">
        <f>'дод 3'!I90</f>
        <v>0</v>
      </c>
      <c r="I56" s="80">
        <f>'дод 3'!J90</f>
        <v>1754000</v>
      </c>
      <c r="J56" s="80">
        <f>'дод 3'!K90</f>
        <v>1754000</v>
      </c>
      <c r="K56" s="80">
        <f>'дод 3'!L90</f>
        <v>0</v>
      </c>
      <c r="L56" s="80">
        <f>'дод 3'!M90</f>
        <v>0</v>
      </c>
      <c r="M56" s="80">
        <f>'дод 3'!N90</f>
        <v>0</v>
      </c>
      <c r="N56" s="80">
        <f>'дод 3'!O90</f>
        <v>1754000</v>
      </c>
      <c r="O56" s="80">
        <f>'дод 3'!P90</f>
        <v>2000000</v>
      </c>
    </row>
    <row r="57" spans="1:15" s="54" customFormat="1" ht="32.25" customHeight="1" x14ac:dyDescent="0.25">
      <c r="A57" s="78"/>
      <c r="B57" s="84"/>
      <c r="C57" s="87" t="s">
        <v>541</v>
      </c>
      <c r="D57" s="80">
        <f>'дод 3'!E91</f>
        <v>701017.59999999998</v>
      </c>
      <c r="E57" s="80">
        <f>'дод 3'!F91</f>
        <v>701017.59999999998</v>
      </c>
      <c r="F57" s="80">
        <f>'дод 3'!G91</f>
        <v>0</v>
      </c>
      <c r="G57" s="80">
        <f>'дод 3'!H91</f>
        <v>0</v>
      </c>
      <c r="H57" s="80">
        <f>'дод 3'!I91</f>
        <v>0</v>
      </c>
      <c r="I57" s="80">
        <f>'дод 3'!J91</f>
        <v>4356725.18</v>
      </c>
      <c r="J57" s="80">
        <f>'дод 3'!K91</f>
        <v>4356725.18</v>
      </c>
      <c r="K57" s="80">
        <f>'дод 3'!L91</f>
        <v>0</v>
      </c>
      <c r="L57" s="80">
        <f>'дод 3'!M91</f>
        <v>0</v>
      </c>
      <c r="M57" s="80">
        <f>'дод 3'!N91</f>
        <v>0</v>
      </c>
      <c r="N57" s="80">
        <f>'дод 3'!O91</f>
        <v>4356725.18</v>
      </c>
      <c r="O57" s="80">
        <f>'дод 3'!P91</f>
        <v>5057742.7799999993</v>
      </c>
    </row>
    <row r="58" spans="1:15" s="54" customFormat="1" ht="69" customHeight="1" x14ac:dyDescent="0.25">
      <c r="A58" s="37">
        <v>1062</v>
      </c>
      <c r="B58" s="59" t="s">
        <v>55</v>
      </c>
      <c r="C58" s="60" t="s">
        <v>505</v>
      </c>
      <c r="D58" s="49">
        <f>'дод 3'!E92</f>
        <v>40000</v>
      </c>
      <c r="E58" s="49">
        <f>'дод 3'!F92</f>
        <v>40000</v>
      </c>
      <c r="F58" s="49">
        <f>'дод 3'!G92</f>
        <v>0</v>
      </c>
      <c r="G58" s="49">
        <f>'дод 3'!H92</f>
        <v>0</v>
      </c>
      <c r="H58" s="49">
        <f>'дод 3'!I92</f>
        <v>0</v>
      </c>
      <c r="I58" s="49">
        <f>'дод 3'!J92</f>
        <v>0</v>
      </c>
      <c r="J58" s="49">
        <f>'дод 3'!K92</f>
        <v>0</v>
      </c>
      <c r="K58" s="49">
        <f>'дод 3'!L92</f>
        <v>0</v>
      </c>
      <c r="L58" s="49">
        <f>'дод 3'!M92</f>
        <v>0</v>
      </c>
      <c r="M58" s="49">
        <f>'дод 3'!N92</f>
        <v>0</v>
      </c>
      <c r="N58" s="49">
        <f>'дод 3'!O92</f>
        <v>0</v>
      </c>
      <c r="O58" s="49">
        <f>'дод 3'!P92</f>
        <v>40000</v>
      </c>
    </row>
    <row r="59" spans="1:15" s="54" customFormat="1" ht="32.25" customHeight="1" x14ac:dyDescent="0.25">
      <c r="A59" s="78"/>
      <c r="B59" s="84"/>
      <c r="C59" s="87" t="s">
        <v>541</v>
      </c>
      <c r="D59" s="80">
        <f>'дод 3'!E93</f>
        <v>40000</v>
      </c>
      <c r="E59" s="80">
        <f>'дод 3'!F93</f>
        <v>40000</v>
      </c>
      <c r="F59" s="80">
        <f>'дод 3'!G93</f>
        <v>0</v>
      </c>
      <c r="G59" s="80">
        <f>'дод 3'!H93</f>
        <v>0</v>
      </c>
      <c r="H59" s="80">
        <f>'дод 3'!I93</f>
        <v>0</v>
      </c>
      <c r="I59" s="80">
        <f>'дод 3'!J93</f>
        <v>0</v>
      </c>
      <c r="J59" s="80">
        <f>'дод 3'!K93</f>
        <v>0</v>
      </c>
      <c r="K59" s="80">
        <f>'дод 3'!L93</f>
        <v>0</v>
      </c>
      <c r="L59" s="80">
        <f>'дод 3'!M93</f>
        <v>0</v>
      </c>
      <c r="M59" s="80">
        <f>'дод 3'!N93</f>
        <v>0</v>
      </c>
      <c r="N59" s="80">
        <f>'дод 3'!O93</f>
        <v>0</v>
      </c>
      <c r="O59" s="80">
        <f>'дод 3'!P93</f>
        <v>40000</v>
      </c>
    </row>
    <row r="60" spans="1:15" s="54" customFormat="1" ht="38.25" customHeight="1" x14ac:dyDescent="0.25">
      <c r="A60" s="59" t="s">
        <v>54</v>
      </c>
      <c r="B60" s="59" t="s">
        <v>57</v>
      </c>
      <c r="C60" s="60" t="s">
        <v>365</v>
      </c>
      <c r="D60" s="49">
        <f>'дод 3'!E94</f>
        <v>36378495</v>
      </c>
      <c r="E60" s="49">
        <f>'дод 3'!F94</f>
        <v>36378495</v>
      </c>
      <c r="F60" s="49">
        <f>'дод 3'!G94</f>
        <v>26185400</v>
      </c>
      <c r="G60" s="49">
        <f>'дод 3'!H94</f>
        <v>3705945</v>
      </c>
      <c r="H60" s="49">
        <f>'дод 3'!I94</f>
        <v>0</v>
      </c>
      <c r="I60" s="49">
        <f>'дод 3'!J94</f>
        <v>112500</v>
      </c>
      <c r="J60" s="49">
        <f>'дод 3'!K94</f>
        <v>112500</v>
      </c>
      <c r="K60" s="49">
        <f>'дод 3'!L94</f>
        <v>0</v>
      </c>
      <c r="L60" s="49">
        <f>'дод 3'!M94</f>
        <v>0</v>
      </c>
      <c r="M60" s="49">
        <f>'дод 3'!N94</f>
        <v>0</v>
      </c>
      <c r="N60" s="49">
        <f>'дод 3'!O94</f>
        <v>112500</v>
      </c>
      <c r="O60" s="49">
        <f>'дод 3'!P94</f>
        <v>36490995</v>
      </c>
    </row>
    <row r="61" spans="1:15" s="54" customFormat="1" ht="16.5" customHeight="1" x14ac:dyDescent="0.25">
      <c r="A61" s="93">
        <v>1080</v>
      </c>
      <c r="B61" s="59" t="s">
        <v>57</v>
      </c>
      <c r="C61" s="60" t="s">
        <v>510</v>
      </c>
      <c r="D61" s="49">
        <f>'дод 3'!E213</f>
        <v>51114215</v>
      </c>
      <c r="E61" s="49">
        <f>'дод 3'!F213</f>
        <v>51114215</v>
      </c>
      <c r="F61" s="49">
        <f>'дод 3'!G213</f>
        <v>40594000</v>
      </c>
      <c r="G61" s="49">
        <f>'дод 3'!H213</f>
        <v>944015</v>
      </c>
      <c r="H61" s="49">
        <f>'дод 3'!I213</f>
        <v>0</v>
      </c>
      <c r="I61" s="49">
        <f>'дод 3'!J213</f>
        <v>2729100</v>
      </c>
      <c r="J61" s="49">
        <f>'дод 3'!K213</f>
        <v>0</v>
      </c>
      <c r="K61" s="49">
        <f>'дод 3'!L213</f>
        <v>2725970</v>
      </c>
      <c r="L61" s="49">
        <f>'дод 3'!M213</f>
        <v>2226904</v>
      </c>
      <c r="M61" s="49">
        <f>'дод 3'!N213</f>
        <v>0</v>
      </c>
      <c r="N61" s="49">
        <f>'дод 3'!O213</f>
        <v>3130</v>
      </c>
      <c r="O61" s="49">
        <f>'дод 3'!P213</f>
        <v>53843315</v>
      </c>
    </row>
    <row r="62" spans="1:15" s="54" customFormat="1" ht="21" customHeight="1" x14ac:dyDescent="0.25">
      <c r="A62" s="59" t="s">
        <v>479</v>
      </c>
      <c r="B62" s="59" t="s">
        <v>58</v>
      </c>
      <c r="C62" s="36" t="s">
        <v>511</v>
      </c>
      <c r="D62" s="49">
        <f>'дод 3'!E95</f>
        <v>11562450</v>
      </c>
      <c r="E62" s="49">
        <f>'дод 3'!F95</f>
        <v>11562450</v>
      </c>
      <c r="F62" s="49">
        <f>'дод 3'!G95</f>
        <v>8331500</v>
      </c>
      <c r="G62" s="49">
        <f>'дод 3'!H95</f>
        <v>760450</v>
      </c>
      <c r="H62" s="49">
        <f>'дод 3'!I95</f>
        <v>0</v>
      </c>
      <c r="I62" s="49">
        <f>'дод 3'!J95</f>
        <v>0</v>
      </c>
      <c r="J62" s="49">
        <f>'дод 3'!K95</f>
        <v>0</v>
      </c>
      <c r="K62" s="49">
        <f>'дод 3'!L95</f>
        <v>0</v>
      </c>
      <c r="L62" s="49">
        <f>'дод 3'!M95</f>
        <v>0</v>
      </c>
      <c r="M62" s="49">
        <f>'дод 3'!N95</f>
        <v>0</v>
      </c>
      <c r="N62" s="49">
        <f>'дод 3'!O95</f>
        <v>0</v>
      </c>
      <c r="O62" s="49">
        <f>'дод 3'!P95</f>
        <v>11562450</v>
      </c>
    </row>
    <row r="63" spans="1:15" x14ac:dyDescent="0.25">
      <c r="A63" s="59" t="s">
        <v>481</v>
      </c>
      <c r="B63" s="59" t="s">
        <v>58</v>
      </c>
      <c r="C63" s="36" t="s">
        <v>281</v>
      </c>
      <c r="D63" s="49">
        <f>'дод 3'!E96</f>
        <v>113000</v>
      </c>
      <c r="E63" s="49">
        <f>'дод 3'!F96</f>
        <v>113000</v>
      </c>
      <c r="F63" s="49">
        <f>'дод 3'!G96</f>
        <v>0</v>
      </c>
      <c r="G63" s="49">
        <f>'дод 3'!H96</f>
        <v>0</v>
      </c>
      <c r="H63" s="49">
        <f>'дод 3'!I96</f>
        <v>0</v>
      </c>
      <c r="I63" s="49">
        <f>'дод 3'!J96</f>
        <v>0</v>
      </c>
      <c r="J63" s="49">
        <f>'дод 3'!K96</f>
        <v>0</v>
      </c>
      <c r="K63" s="49">
        <f>'дод 3'!L96</f>
        <v>0</v>
      </c>
      <c r="L63" s="49">
        <f>'дод 3'!M96</f>
        <v>0</v>
      </c>
      <c r="M63" s="49">
        <f>'дод 3'!N96</f>
        <v>0</v>
      </c>
      <c r="N63" s="49">
        <f>'дод 3'!O96</f>
        <v>0</v>
      </c>
      <c r="O63" s="49">
        <f>'дод 3'!P96</f>
        <v>113000</v>
      </c>
    </row>
    <row r="64" spans="1:15" ht="31.5" x14ac:dyDescent="0.25">
      <c r="A64" s="59" t="s">
        <v>483</v>
      </c>
      <c r="B64" s="59" t="s">
        <v>58</v>
      </c>
      <c r="C64" s="60" t="s">
        <v>484</v>
      </c>
      <c r="D64" s="49">
        <f>'дод 3'!E97</f>
        <v>135033</v>
      </c>
      <c r="E64" s="49">
        <f>'дод 3'!F97</f>
        <v>135033</v>
      </c>
      <c r="F64" s="49">
        <f>'дод 3'!G97</f>
        <v>0</v>
      </c>
      <c r="G64" s="49">
        <f>'дод 3'!H97</f>
        <v>80633</v>
      </c>
      <c r="H64" s="49">
        <f>'дод 3'!I97</f>
        <v>0</v>
      </c>
      <c r="I64" s="49">
        <f>'дод 3'!J97</f>
        <v>0</v>
      </c>
      <c r="J64" s="49">
        <f>'дод 3'!K97</f>
        <v>0</v>
      </c>
      <c r="K64" s="49">
        <f>'дод 3'!L97</f>
        <v>0</v>
      </c>
      <c r="L64" s="49">
        <f>'дод 3'!M97</f>
        <v>0</v>
      </c>
      <c r="M64" s="49">
        <f>'дод 3'!N97</f>
        <v>0</v>
      </c>
      <c r="N64" s="49">
        <f>'дод 3'!O97</f>
        <v>0</v>
      </c>
      <c r="O64" s="49">
        <f>'дод 3'!P97</f>
        <v>135033</v>
      </c>
    </row>
    <row r="65" spans="1:15" ht="36.75" customHeight="1" x14ac:dyDescent="0.25">
      <c r="A65" s="59" t="s">
        <v>486</v>
      </c>
      <c r="B65" s="59" t="s">
        <v>58</v>
      </c>
      <c r="C65" s="60" t="s">
        <v>512</v>
      </c>
      <c r="D65" s="49">
        <f>'дод 3'!E98</f>
        <v>1499036</v>
      </c>
      <c r="E65" s="49">
        <f>'дод 3'!F98</f>
        <v>1499036</v>
      </c>
      <c r="F65" s="49">
        <f>'дод 3'!G98</f>
        <v>1228720</v>
      </c>
      <c r="G65" s="49">
        <f>'дод 3'!H98</f>
        <v>0</v>
      </c>
      <c r="H65" s="49">
        <f>'дод 3'!I98</f>
        <v>0</v>
      </c>
      <c r="I65" s="49">
        <f>'дод 3'!J98</f>
        <v>0</v>
      </c>
      <c r="J65" s="49">
        <f>'дод 3'!K98</f>
        <v>0</v>
      </c>
      <c r="K65" s="49">
        <f>'дод 3'!L98</f>
        <v>0</v>
      </c>
      <c r="L65" s="49">
        <f>'дод 3'!M98</f>
        <v>0</v>
      </c>
      <c r="M65" s="49">
        <f>'дод 3'!N98</f>
        <v>0</v>
      </c>
      <c r="N65" s="49">
        <f>'дод 3'!O98</f>
        <v>0</v>
      </c>
      <c r="O65" s="49">
        <f>'дод 3'!P98</f>
        <v>1499036</v>
      </c>
    </row>
    <row r="66" spans="1:15" ht="49.5" customHeight="1" x14ac:dyDescent="0.25">
      <c r="A66" s="37"/>
      <c r="B66" s="37"/>
      <c r="C66" s="87" t="s">
        <v>384</v>
      </c>
      <c r="D66" s="80">
        <f>'дод 3'!E99</f>
        <v>1499036</v>
      </c>
      <c r="E66" s="80">
        <f>'дод 3'!F99</f>
        <v>1499036</v>
      </c>
      <c r="F66" s="80">
        <f>'дод 3'!G99</f>
        <v>1228720</v>
      </c>
      <c r="G66" s="80">
        <f>'дод 3'!H99</f>
        <v>0</v>
      </c>
      <c r="H66" s="80">
        <f>'дод 3'!I99</f>
        <v>0</v>
      </c>
      <c r="I66" s="80">
        <f>'дод 3'!J99</f>
        <v>0</v>
      </c>
      <c r="J66" s="80">
        <f>'дод 3'!K99</f>
        <v>0</v>
      </c>
      <c r="K66" s="80">
        <f>'дод 3'!L99</f>
        <v>0</v>
      </c>
      <c r="L66" s="80">
        <f>'дод 3'!M99</f>
        <v>0</v>
      </c>
      <c r="M66" s="80">
        <f>'дод 3'!N99</f>
        <v>0</v>
      </c>
      <c r="N66" s="80">
        <f>'дод 3'!O99</f>
        <v>0</v>
      </c>
      <c r="O66" s="80">
        <f>'дод 3'!P99</f>
        <v>1499036</v>
      </c>
    </row>
    <row r="67" spans="1:15" s="54" customFormat="1" ht="31.5" x14ac:dyDescent="0.25">
      <c r="A67" s="59" t="s">
        <v>488</v>
      </c>
      <c r="B67" s="59" t="str">
        <f>'дод 8'!A19</f>
        <v>0160</v>
      </c>
      <c r="C67" s="60" t="s">
        <v>489</v>
      </c>
      <c r="D67" s="49">
        <f>'дод 3'!E100</f>
        <v>2552577</v>
      </c>
      <c r="E67" s="49">
        <f>'дод 3'!F100</f>
        <v>2552577</v>
      </c>
      <c r="F67" s="49">
        <f>'дод 3'!G100</f>
        <v>1877000</v>
      </c>
      <c r="G67" s="49">
        <f>'дод 3'!H100</f>
        <v>115177</v>
      </c>
      <c r="H67" s="49">
        <f>'дод 3'!I100</f>
        <v>0</v>
      </c>
      <c r="I67" s="49">
        <f>'дод 3'!J100</f>
        <v>41000</v>
      </c>
      <c r="J67" s="49">
        <f>'дод 3'!K100</f>
        <v>41000</v>
      </c>
      <c r="K67" s="49">
        <f>'дод 3'!L100</f>
        <v>0</v>
      </c>
      <c r="L67" s="49">
        <f>'дод 3'!M100</f>
        <v>0</v>
      </c>
      <c r="M67" s="49">
        <f>'дод 3'!N100</f>
        <v>0</v>
      </c>
      <c r="N67" s="49">
        <f>'дод 3'!O100</f>
        <v>41000</v>
      </c>
      <c r="O67" s="49">
        <f>'дод 3'!P100</f>
        <v>2593577</v>
      </c>
    </row>
    <row r="68" spans="1:15" s="54" customFormat="1" ht="66" customHeight="1" x14ac:dyDescent="0.25">
      <c r="A68" s="59" t="s">
        <v>570</v>
      </c>
      <c r="B68" s="59" t="s">
        <v>58</v>
      </c>
      <c r="C68" s="60" t="s">
        <v>573</v>
      </c>
      <c r="D68" s="49">
        <f>'дод 3'!E101</f>
        <v>0</v>
      </c>
      <c r="E68" s="49">
        <f>'дод 3'!F101</f>
        <v>0</v>
      </c>
      <c r="F68" s="49">
        <f>'дод 3'!G101</f>
        <v>0</v>
      </c>
      <c r="G68" s="49">
        <f>'дод 3'!H101</f>
        <v>0</v>
      </c>
      <c r="H68" s="49">
        <f>'дод 3'!I101</f>
        <v>0</v>
      </c>
      <c r="I68" s="49">
        <f>'дод 3'!J101</f>
        <v>1522670</v>
      </c>
      <c r="J68" s="49">
        <f>'дод 3'!K101</f>
        <v>1522670</v>
      </c>
      <c r="K68" s="49">
        <f>'дод 3'!L101</f>
        <v>0</v>
      </c>
      <c r="L68" s="49">
        <f>'дод 3'!M101</f>
        <v>0</v>
      </c>
      <c r="M68" s="49">
        <f>'дод 3'!N101</f>
        <v>0</v>
      </c>
      <c r="N68" s="49">
        <f>'дод 3'!O101</f>
        <v>1522670</v>
      </c>
      <c r="O68" s="49">
        <f>'дод 3'!P101</f>
        <v>1522670</v>
      </c>
    </row>
    <row r="69" spans="1:15" s="54" customFormat="1" ht="48" customHeight="1" x14ac:dyDescent="0.25">
      <c r="A69" s="59" t="s">
        <v>559</v>
      </c>
      <c r="B69" s="59" t="s">
        <v>58</v>
      </c>
      <c r="C69" s="60" t="s">
        <v>561</v>
      </c>
      <c r="D69" s="99">
        <f>'дод 3'!E102</f>
        <v>287772</v>
      </c>
      <c r="E69" s="99">
        <f>'дод 3'!F102</f>
        <v>287772</v>
      </c>
      <c r="F69" s="99">
        <f>'дод 3'!G102</f>
        <v>0</v>
      </c>
      <c r="G69" s="99">
        <f>'дод 3'!H102</f>
        <v>0</v>
      </c>
      <c r="H69" s="99">
        <f>'дод 3'!I102</f>
        <v>0</v>
      </c>
      <c r="I69" s="99">
        <f>'дод 3'!J102</f>
        <v>2859728</v>
      </c>
      <c r="J69" s="99">
        <f>'дод 3'!K102</f>
        <v>2859728</v>
      </c>
      <c r="K69" s="99">
        <f>'дод 3'!L102</f>
        <v>0</v>
      </c>
      <c r="L69" s="99">
        <f>'дод 3'!M102</f>
        <v>0</v>
      </c>
      <c r="M69" s="99">
        <f>'дод 3'!N102</f>
        <v>0</v>
      </c>
      <c r="N69" s="99">
        <f>'дод 3'!O102</f>
        <v>2859728</v>
      </c>
      <c r="O69" s="99">
        <f>'дод 3'!P102</f>
        <v>3147500</v>
      </c>
    </row>
    <row r="70" spans="1:15" s="54" customFormat="1" ht="47.25" x14ac:dyDescent="0.25">
      <c r="A70" s="84"/>
      <c r="B70" s="84"/>
      <c r="C70" s="87" t="s">
        <v>606</v>
      </c>
      <c r="D70" s="101">
        <f>'дод 3'!E103</f>
        <v>287772</v>
      </c>
      <c r="E70" s="101">
        <f>'дод 3'!F103</f>
        <v>287772</v>
      </c>
      <c r="F70" s="101">
        <f>'дод 3'!G103</f>
        <v>0</v>
      </c>
      <c r="G70" s="101">
        <f>'дод 3'!H103</f>
        <v>0</v>
      </c>
      <c r="H70" s="101">
        <f>'дод 3'!I103</f>
        <v>0</v>
      </c>
      <c r="I70" s="101">
        <f>'дод 3'!J103</f>
        <v>2859728</v>
      </c>
      <c r="J70" s="101">
        <f>'дод 3'!K103</f>
        <v>2859728</v>
      </c>
      <c r="K70" s="101">
        <f>'дод 3'!L103</f>
        <v>0</v>
      </c>
      <c r="L70" s="101">
        <f>'дод 3'!M103</f>
        <v>0</v>
      </c>
      <c r="M70" s="101">
        <f>'дод 3'!N103</f>
        <v>0</v>
      </c>
      <c r="N70" s="101">
        <f>'дод 3'!O103</f>
        <v>2859728</v>
      </c>
      <c r="O70" s="101">
        <f>'дод 3'!P103</f>
        <v>3147500</v>
      </c>
    </row>
    <row r="71" spans="1:15" s="54" customFormat="1" ht="78.75" x14ac:dyDescent="0.25">
      <c r="A71" s="59" t="s">
        <v>572</v>
      </c>
      <c r="B71" s="59" t="s">
        <v>58</v>
      </c>
      <c r="C71" s="60" t="s">
        <v>599</v>
      </c>
      <c r="D71" s="99">
        <f>'дод 3'!E104</f>
        <v>2092101</v>
      </c>
      <c r="E71" s="99">
        <f>'дод 3'!F104</f>
        <v>2092101</v>
      </c>
      <c r="F71" s="99">
        <f>'дод 3'!G104</f>
        <v>0</v>
      </c>
      <c r="G71" s="99">
        <f>'дод 3'!H104</f>
        <v>0</v>
      </c>
      <c r="H71" s="99">
        <f>'дод 3'!I104</f>
        <v>0</v>
      </c>
      <c r="I71" s="99">
        <f>'дод 3'!J104</f>
        <v>364151</v>
      </c>
      <c r="J71" s="99">
        <f>'дод 3'!K104</f>
        <v>364151</v>
      </c>
      <c r="K71" s="99">
        <f>'дод 3'!L104</f>
        <v>0</v>
      </c>
      <c r="L71" s="99">
        <f>'дод 3'!M104</f>
        <v>0</v>
      </c>
      <c r="M71" s="99">
        <f>'дод 3'!N104</f>
        <v>0</v>
      </c>
      <c r="N71" s="99">
        <f>'дод 3'!O104</f>
        <v>364151</v>
      </c>
      <c r="O71" s="99">
        <f>'дод 3'!P104</f>
        <v>2456252</v>
      </c>
    </row>
    <row r="72" spans="1:15" s="54" customFormat="1" x14ac:dyDescent="0.25">
      <c r="A72" s="84"/>
      <c r="B72" s="84"/>
      <c r="C72" s="87" t="s">
        <v>395</v>
      </c>
      <c r="D72" s="101">
        <f>'дод 3'!E105</f>
        <v>150000</v>
      </c>
      <c r="E72" s="101">
        <f>'дод 3'!F105</f>
        <v>150000</v>
      </c>
      <c r="F72" s="101">
        <f>'дод 3'!G105</f>
        <v>0</v>
      </c>
      <c r="G72" s="101">
        <f>'дод 3'!H105</f>
        <v>0</v>
      </c>
      <c r="H72" s="101">
        <f>'дод 3'!I105</f>
        <v>0</v>
      </c>
      <c r="I72" s="101">
        <f>'дод 3'!J105</f>
        <v>0</v>
      </c>
      <c r="J72" s="101">
        <f>'дод 3'!K105</f>
        <v>0</v>
      </c>
      <c r="K72" s="101">
        <f>'дод 3'!L105</f>
        <v>0</v>
      </c>
      <c r="L72" s="101">
        <f>'дод 3'!M105</f>
        <v>0</v>
      </c>
      <c r="M72" s="101">
        <f>'дод 3'!N105</f>
        <v>0</v>
      </c>
      <c r="N72" s="101">
        <f>'дод 3'!O105</f>
        <v>0</v>
      </c>
      <c r="O72" s="101">
        <f>'дод 3'!P105</f>
        <v>150000</v>
      </c>
    </row>
    <row r="73" spans="1:15" s="54" customFormat="1" ht="78.75" x14ac:dyDescent="0.25">
      <c r="A73" s="59" t="s">
        <v>560</v>
      </c>
      <c r="B73" s="59" t="s">
        <v>58</v>
      </c>
      <c r="C73" s="60" t="s">
        <v>607</v>
      </c>
      <c r="D73" s="49">
        <f>'дод 3'!E106</f>
        <v>6236344</v>
      </c>
      <c r="E73" s="49">
        <f>'дод 3'!F106</f>
        <v>6236344</v>
      </c>
      <c r="F73" s="49">
        <f>'дод 3'!G106</f>
        <v>57829</v>
      </c>
      <c r="G73" s="49">
        <f>'дод 3'!H106</f>
        <v>0</v>
      </c>
      <c r="H73" s="49">
        <f>'дод 3'!I106</f>
        <v>0</v>
      </c>
      <c r="I73" s="49">
        <f>'дод 3'!J106</f>
        <v>670719</v>
      </c>
      <c r="J73" s="49">
        <f>'дод 3'!K106</f>
        <v>670719</v>
      </c>
      <c r="K73" s="49">
        <f>'дод 3'!L106</f>
        <v>0</v>
      </c>
      <c r="L73" s="49">
        <f>'дод 3'!M106</f>
        <v>0</v>
      </c>
      <c r="M73" s="49">
        <f>'дод 3'!N106</f>
        <v>0</v>
      </c>
      <c r="N73" s="49">
        <f>'дод 3'!O106</f>
        <v>670719</v>
      </c>
      <c r="O73" s="49">
        <f>'дод 3'!P106</f>
        <v>6907063</v>
      </c>
    </row>
    <row r="74" spans="1:15" s="54" customFormat="1" ht="68.25" customHeight="1" x14ac:dyDescent="0.25">
      <c r="A74" s="84"/>
      <c r="B74" s="84"/>
      <c r="C74" s="87" t="s">
        <v>562</v>
      </c>
      <c r="D74" s="80">
        <f>'дод 3'!E107</f>
        <v>6236344</v>
      </c>
      <c r="E74" s="80">
        <f>'дод 3'!F107</f>
        <v>6236344</v>
      </c>
      <c r="F74" s="80">
        <f>'дод 3'!G107</f>
        <v>57829</v>
      </c>
      <c r="G74" s="80">
        <f>'дод 3'!H107</f>
        <v>0</v>
      </c>
      <c r="H74" s="80">
        <f>'дод 3'!I107</f>
        <v>0</v>
      </c>
      <c r="I74" s="80">
        <f>'дод 3'!J107</f>
        <v>670719</v>
      </c>
      <c r="J74" s="80">
        <f>'дод 3'!K107</f>
        <v>670719</v>
      </c>
      <c r="K74" s="80">
        <f>'дод 3'!L107</f>
        <v>0</v>
      </c>
      <c r="L74" s="80">
        <f>'дод 3'!M107</f>
        <v>0</v>
      </c>
      <c r="M74" s="80">
        <f>'дод 3'!N107</f>
        <v>0</v>
      </c>
      <c r="N74" s="80">
        <f>'дод 3'!O107</f>
        <v>670719</v>
      </c>
      <c r="O74" s="80">
        <f>'дод 3'!P107</f>
        <v>6907063</v>
      </c>
    </row>
    <row r="75" spans="1:15" s="54" customFormat="1" ht="63" x14ac:dyDescent="0.25">
      <c r="A75" s="59" t="s">
        <v>491</v>
      </c>
      <c r="B75" s="59" t="s">
        <v>58</v>
      </c>
      <c r="C75" s="94" t="s">
        <v>513</v>
      </c>
      <c r="D75" s="49">
        <f>'дод 3'!E108</f>
        <v>2612700</v>
      </c>
      <c r="E75" s="49">
        <f>'дод 3'!F108</f>
        <v>2612700</v>
      </c>
      <c r="F75" s="49">
        <f>'дод 3'!G108</f>
        <v>1459720</v>
      </c>
      <c r="G75" s="49">
        <f>'дод 3'!H108</f>
        <v>0</v>
      </c>
      <c r="H75" s="49">
        <f>'дод 3'!I108</f>
        <v>0</v>
      </c>
      <c r="I75" s="49">
        <f>'дод 3'!J108</f>
        <v>72000</v>
      </c>
      <c r="J75" s="49">
        <f>'дод 3'!K108</f>
        <v>72000</v>
      </c>
      <c r="K75" s="49">
        <f>'дод 3'!L108</f>
        <v>0</v>
      </c>
      <c r="L75" s="49">
        <f>'дод 3'!M108</f>
        <v>0</v>
      </c>
      <c r="M75" s="49">
        <f>'дод 3'!N108</f>
        <v>0</v>
      </c>
      <c r="N75" s="49">
        <f>'дод 3'!O108</f>
        <v>72000</v>
      </c>
      <c r="O75" s="49">
        <f>'дод 3'!P108</f>
        <v>2684700</v>
      </c>
    </row>
    <row r="76" spans="1:15" s="54" customFormat="1" ht="65.25" customHeight="1" x14ac:dyDescent="0.25">
      <c r="A76" s="59"/>
      <c r="B76" s="59"/>
      <c r="C76" s="87" t="s">
        <v>383</v>
      </c>
      <c r="D76" s="80">
        <f>'дод 3'!E109</f>
        <v>2612700</v>
      </c>
      <c r="E76" s="80">
        <f>'дод 3'!F109</f>
        <v>2612700</v>
      </c>
      <c r="F76" s="80">
        <f>'дод 3'!G109</f>
        <v>1459720</v>
      </c>
      <c r="G76" s="80">
        <f>'дод 3'!H109</f>
        <v>0</v>
      </c>
      <c r="H76" s="80">
        <f>'дод 3'!I109</f>
        <v>0</v>
      </c>
      <c r="I76" s="80">
        <f>'дод 3'!J109</f>
        <v>72000</v>
      </c>
      <c r="J76" s="80">
        <f>'дод 3'!K109</f>
        <v>72000</v>
      </c>
      <c r="K76" s="80">
        <f>'дод 3'!L109</f>
        <v>0</v>
      </c>
      <c r="L76" s="80">
        <f>'дод 3'!M109</f>
        <v>0</v>
      </c>
      <c r="M76" s="80">
        <f>'дод 3'!N109</f>
        <v>0</v>
      </c>
      <c r="N76" s="80">
        <f>'дод 3'!O109</f>
        <v>72000</v>
      </c>
      <c r="O76" s="80">
        <f>'дод 3'!P109</f>
        <v>2684700</v>
      </c>
    </row>
    <row r="77" spans="1:15" s="54" customFormat="1" ht="63" x14ac:dyDescent="0.25">
      <c r="A77" s="59" t="s">
        <v>525</v>
      </c>
      <c r="B77" s="59" t="s">
        <v>58</v>
      </c>
      <c r="C77" s="36" t="s">
        <v>523</v>
      </c>
      <c r="D77" s="49">
        <f>'дод 3'!E110</f>
        <v>1315285.79</v>
      </c>
      <c r="E77" s="49">
        <f>'дод 3'!F110</f>
        <v>1315285.79</v>
      </c>
      <c r="F77" s="49">
        <f>'дод 3'!G110</f>
        <v>1034620</v>
      </c>
      <c r="G77" s="49">
        <f>'дод 3'!H110</f>
        <v>0</v>
      </c>
      <c r="H77" s="49">
        <f>'дод 3'!I110</f>
        <v>0</v>
      </c>
      <c r="I77" s="49">
        <f>'дод 3'!J110</f>
        <v>0</v>
      </c>
      <c r="J77" s="49">
        <f>'дод 3'!K110</f>
        <v>0</v>
      </c>
      <c r="K77" s="49">
        <f>'дод 3'!L110</f>
        <v>0</v>
      </c>
      <c r="L77" s="49">
        <f>'дод 3'!M110</f>
        <v>0</v>
      </c>
      <c r="M77" s="49">
        <f>'дод 3'!N110</f>
        <v>0</v>
      </c>
      <c r="N77" s="49">
        <f>'дод 3'!O110</f>
        <v>0</v>
      </c>
      <c r="O77" s="49">
        <f>'дод 3'!P110</f>
        <v>1315285.79</v>
      </c>
    </row>
    <row r="78" spans="1:15" s="54" customFormat="1" ht="63" x14ac:dyDescent="0.25">
      <c r="A78" s="59"/>
      <c r="B78" s="59"/>
      <c r="C78" s="87" t="s">
        <v>524</v>
      </c>
      <c r="D78" s="80">
        <f>'дод 3'!E111</f>
        <v>1315285.79</v>
      </c>
      <c r="E78" s="80">
        <f>'дод 3'!F111</f>
        <v>1315285.79</v>
      </c>
      <c r="F78" s="80">
        <f>'дод 3'!G111</f>
        <v>1034620</v>
      </c>
      <c r="G78" s="80">
        <f>'дод 3'!H111</f>
        <v>0</v>
      </c>
      <c r="H78" s="80">
        <f>'дод 3'!I111</f>
        <v>0</v>
      </c>
      <c r="I78" s="80">
        <f>'дод 3'!J111</f>
        <v>0</v>
      </c>
      <c r="J78" s="80">
        <f>'дод 3'!K111</f>
        <v>0</v>
      </c>
      <c r="K78" s="80">
        <f>'дод 3'!L111</f>
        <v>0</v>
      </c>
      <c r="L78" s="80">
        <f>'дод 3'!M111</f>
        <v>0</v>
      </c>
      <c r="M78" s="80">
        <f>'дод 3'!N111</f>
        <v>0</v>
      </c>
      <c r="N78" s="80">
        <f>'дод 3'!O111</f>
        <v>0</v>
      </c>
      <c r="O78" s="80">
        <f>'дод 3'!P111</f>
        <v>1315285.79</v>
      </c>
    </row>
    <row r="79" spans="1:15" s="52" customFormat="1" ht="19.5" customHeight="1" x14ac:dyDescent="0.25">
      <c r="A79" s="38" t="s">
        <v>59</v>
      </c>
      <c r="B79" s="39"/>
      <c r="C79" s="9" t="s">
        <v>526</v>
      </c>
      <c r="D79" s="48">
        <f>D84+D89+D91+D93+D95+D98+D99+D88</f>
        <v>97040433.400000006</v>
      </c>
      <c r="E79" s="48">
        <f t="shared" ref="E79:O79" si="12">E84+E89+E91+E93+E95+E98+E99+E88</f>
        <v>97040433.400000006</v>
      </c>
      <c r="F79" s="48">
        <f t="shared" si="12"/>
        <v>2387600</v>
      </c>
      <c r="G79" s="48">
        <f t="shared" si="12"/>
        <v>68884</v>
      </c>
      <c r="H79" s="48">
        <f t="shared" si="12"/>
        <v>0</v>
      </c>
      <c r="I79" s="48">
        <f t="shared" si="12"/>
        <v>91537320.819999993</v>
      </c>
      <c r="J79" s="48">
        <f t="shared" si="12"/>
        <v>91537320.819999993</v>
      </c>
      <c r="K79" s="48">
        <f t="shared" si="12"/>
        <v>0</v>
      </c>
      <c r="L79" s="48">
        <f t="shared" si="12"/>
        <v>0</v>
      </c>
      <c r="M79" s="48">
        <f t="shared" si="12"/>
        <v>0</v>
      </c>
      <c r="N79" s="48">
        <f t="shared" si="12"/>
        <v>91537320.819999993</v>
      </c>
      <c r="O79" s="48">
        <f t="shared" si="12"/>
        <v>188577754.22</v>
      </c>
    </row>
    <row r="80" spans="1:15" s="53" customFormat="1" ht="31.5" hidden="1" x14ac:dyDescent="0.25">
      <c r="A80" s="71"/>
      <c r="B80" s="74"/>
      <c r="C80" s="75" t="s">
        <v>390</v>
      </c>
      <c r="D80" s="76">
        <f>D85+D90+D92</f>
        <v>0</v>
      </c>
      <c r="E80" s="76">
        <f t="shared" ref="E80:O80" si="13">E85+E90+E92</f>
        <v>0</v>
      </c>
      <c r="F80" s="76">
        <f t="shared" si="13"/>
        <v>0</v>
      </c>
      <c r="G80" s="76">
        <f t="shared" si="13"/>
        <v>0</v>
      </c>
      <c r="H80" s="76">
        <f t="shared" si="13"/>
        <v>0</v>
      </c>
      <c r="I80" s="76">
        <f t="shared" si="13"/>
        <v>0</v>
      </c>
      <c r="J80" s="76">
        <f t="shared" si="13"/>
        <v>0</v>
      </c>
      <c r="K80" s="76">
        <f t="shared" si="13"/>
        <v>0</v>
      </c>
      <c r="L80" s="76">
        <f t="shared" si="13"/>
        <v>0</v>
      </c>
      <c r="M80" s="76">
        <f t="shared" si="13"/>
        <v>0</v>
      </c>
      <c r="N80" s="76">
        <f t="shared" si="13"/>
        <v>0</v>
      </c>
      <c r="O80" s="76">
        <f t="shared" si="13"/>
        <v>0</v>
      </c>
    </row>
    <row r="81" spans="1:15" s="53" customFormat="1" ht="47.25" hidden="1" x14ac:dyDescent="0.25">
      <c r="A81" s="71"/>
      <c r="B81" s="74"/>
      <c r="C81" s="75" t="s">
        <v>391</v>
      </c>
      <c r="D81" s="76">
        <f>D86+D96</f>
        <v>0</v>
      </c>
      <c r="E81" s="76">
        <f t="shared" ref="E81:O81" si="14">E86+E96</f>
        <v>0</v>
      </c>
      <c r="F81" s="76">
        <f t="shared" si="14"/>
        <v>0</v>
      </c>
      <c r="G81" s="76">
        <f t="shared" si="14"/>
        <v>0</v>
      </c>
      <c r="H81" s="76">
        <f t="shared" si="14"/>
        <v>0</v>
      </c>
      <c r="I81" s="76">
        <f t="shared" si="14"/>
        <v>0</v>
      </c>
      <c r="J81" s="76">
        <f t="shared" si="14"/>
        <v>0</v>
      </c>
      <c r="K81" s="76">
        <f t="shared" si="14"/>
        <v>0</v>
      </c>
      <c r="L81" s="76">
        <f t="shared" si="14"/>
        <v>0</v>
      </c>
      <c r="M81" s="76">
        <f t="shared" si="14"/>
        <v>0</v>
      </c>
      <c r="N81" s="76">
        <f t="shared" si="14"/>
        <v>0</v>
      </c>
      <c r="O81" s="76">
        <f t="shared" si="14"/>
        <v>0</v>
      </c>
    </row>
    <row r="82" spans="1:15" s="53" customFormat="1" ht="66.75" customHeight="1" x14ac:dyDescent="0.25">
      <c r="A82" s="71"/>
      <c r="B82" s="74"/>
      <c r="C82" s="75" t="s">
        <v>392</v>
      </c>
      <c r="D82" s="76">
        <f>D94+D97</f>
        <v>11403700</v>
      </c>
      <c r="E82" s="76">
        <f t="shared" ref="E82:O82" si="15">E94+E97</f>
        <v>11403700</v>
      </c>
      <c r="F82" s="76">
        <f t="shared" si="15"/>
        <v>0</v>
      </c>
      <c r="G82" s="76">
        <f t="shared" si="15"/>
        <v>0</v>
      </c>
      <c r="H82" s="76">
        <f t="shared" si="15"/>
        <v>0</v>
      </c>
      <c r="I82" s="76">
        <f t="shared" si="15"/>
        <v>0</v>
      </c>
      <c r="J82" s="76">
        <f t="shared" si="15"/>
        <v>0</v>
      </c>
      <c r="K82" s="76">
        <f t="shared" si="15"/>
        <v>0</v>
      </c>
      <c r="L82" s="76">
        <f t="shared" si="15"/>
        <v>0</v>
      </c>
      <c r="M82" s="76">
        <f t="shared" si="15"/>
        <v>0</v>
      </c>
      <c r="N82" s="76">
        <f t="shared" si="15"/>
        <v>0</v>
      </c>
      <c r="O82" s="76">
        <f t="shared" si="15"/>
        <v>11403700</v>
      </c>
    </row>
    <row r="83" spans="1:15" s="53" customFormat="1" x14ac:dyDescent="0.25">
      <c r="A83" s="71"/>
      <c r="B83" s="74"/>
      <c r="C83" s="75" t="s">
        <v>393</v>
      </c>
      <c r="D83" s="76">
        <f>D87</f>
        <v>93426</v>
      </c>
      <c r="E83" s="76">
        <f t="shared" ref="E83:O83" si="16">E87</f>
        <v>93426</v>
      </c>
      <c r="F83" s="76">
        <f t="shared" si="16"/>
        <v>0</v>
      </c>
      <c r="G83" s="76">
        <f t="shared" si="16"/>
        <v>0</v>
      </c>
      <c r="H83" s="76">
        <f t="shared" si="16"/>
        <v>0</v>
      </c>
      <c r="I83" s="76">
        <f t="shared" si="16"/>
        <v>5750000</v>
      </c>
      <c r="J83" s="76">
        <f t="shared" si="16"/>
        <v>5750000</v>
      </c>
      <c r="K83" s="76">
        <f t="shared" si="16"/>
        <v>0</v>
      </c>
      <c r="L83" s="76">
        <f t="shared" si="16"/>
        <v>0</v>
      </c>
      <c r="M83" s="76">
        <f t="shared" si="16"/>
        <v>0</v>
      </c>
      <c r="N83" s="76">
        <f t="shared" si="16"/>
        <v>5750000</v>
      </c>
      <c r="O83" s="76">
        <f t="shared" si="16"/>
        <v>5843426</v>
      </c>
    </row>
    <row r="84" spans="1:15" ht="33" customHeight="1" x14ac:dyDescent="0.25">
      <c r="A84" s="37" t="s">
        <v>60</v>
      </c>
      <c r="B84" s="37" t="s">
        <v>61</v>
      </c>
      <c r="C84" s="6" t="s">
        <v>619</v>
      </c>
      <c r="D84" s="49">
        <f>'дод 3'!E137</f>
        <v>45832353.399999999</v>
      </c>
      <c r="E84" s="49">
        <f>'дод 3'!F137</f>
        <v>45832353.399999999</v>
      </c>
      <c r="F84" s="49">
        <f>'дод 3'!G137</f>
        <v>0</v>
      </c>
      <c r="G84" s="49">
        <f>'дод 3'!H137</f>
        <v>0</v>
      </c>
      <c r="H84" s="49">
        <f>'дод 3'!I137</f>
        <v>0</v>
      </c>
      <c r="I84" s="49">
        <f>'дод 3'!J137</f>
        <v>46545966.82</v>
      </c>
      <c r="J84" s="49">
        <f>'дод 3'!K137</f>
        <v>46545966.82</v>
      </c>
      <c r="K84" s="49">
        <f>'дод 3'!L137</f>
        <v>0</v>
      </c>
      <c r="L84" s="49">
        <f>'дод 3'!M137</f>
        <v>0</v>
      </c>
      <c r="M84" s="49">
        <f>'дод 3'!N137</f>
        <v>0</v>
      </c>
      <c r="N84" s="49">
        <f>'дод 3'!O137</f>
        <v>46545966.82</v>
      </c>
      <c r="O84" s="49">
        <f>'дод 3'!P137</f>
        <v>92378320.219999999</v>
      </c>
    </row>
    <row r="85" spans="1:15" s="54" customFormat="1" ht="31.5" hidden="1" customHeight="1" x14ac:dyDescent="0.25">
      <c r="A85" s="78"/>
      <c r="B85" s="78"/>
      <c r="C85" s="79" t="s">
        <v>390</v>
      </c>
      <c r="D85" s="80">
        <f>'дод 3'!E138</f>
        <v>0</v>
      </c>
      <c r="E85" s="80">
        <f>'дод 3'!F138</f>
        <v>0</v>
      </c>
      <c r="F85" s="80">
        <f>'дод 3'!G138</f>
        <v>0</v>
      </c>
      <c r="G85" s="80">
        <f>'дод 3'!H138</f>
        <v>0</v>
      </c>
      <c r="H85" s="80">
        <f>'дод 3'!I138</f>
        <v>0</v>
      </c>
      <c r="I85" s="80">
        <f>'дод 3'!J138</f>
        <v>0</v>
      </c>
      <c r="J85" s="80">
        <f>'дод 3'!K138</f>
        <v>0</v>
      </c>
      <c r="K85" s="80">
        <f>'дод 3'!L138</f>
        <v>0</v>
      </c>
      <c r="L85" s="80">
        <f>'дод 3'!M138</f>
        <v>0</v>
      </c>
      <c r="M85" s="80">
        <f>'дод 3'!N138</f>
        <v>0</v>
      </c>
      <c r="N85" s="80">
        <f>'дод 3'!O138</f>
        <v>0</v>
      </c>
      <c r="O85" s="80">
        <f>'дод 3'!P138</f>
        <v>0</v>
      </c>
    </row>
    <row r="86" spans="1:15" s="54" customFormat="1" ht="47.25" hidden="1" x14ac:dyDescent="0.25">
      <c r="A86" s="78"/>
      <c r="B86" s="78"/>
      <c r="C86" s="79" t="s">
        <v>391</v>
      </c>
      <c r="D86" s="80">
        <f>'дод 3'!E139</f>
        <v>0</v>
      </c>
      <c r="E86" s="80">
        <f>'дод 3'!F139</f>
        <v>0</v>
      </c>
      <c r="F86" s="80">
        <f>'дод 3'!G139</f>
        <v>0</v>
      </c>
      <c r="G86" s="80">
        <f>'дод 3'!H139</f>
        <v>0</v>
      </c>
      <c r="H86" s="80">
        <f>'дод 3'!I139</f>
        <v>0</v>
      </c>
      <c r="I86" s="80">
        <f>'дод 3'!J139</f>
        <v>0</v>
      </c>
      <c r="J86" s="80">
        <f>'дод 3'!K139</f>
        <v>0</v>
      </c>
      <c r="K86" s="80">
        <f>'дод 3'!L139</f>
        <v>0</v>
      </c>
      <c r="L86" s="80">
        <f>'дод 3'!M139</f>
        <v>0</v>
      </c>
      <c r="M86" s="80">
        <f>'дод 3'!N139</f>
        <v>0</v>
      </c>
      <c r="N86" s="80">
        <f>'дод 3'!O139</f>
        <v>0</v>
      </c>
      <c r="O86" s="80">
        <f>'дод 3'!P139</f>
        <v>0</v>
      </c>
    </row>
    <row r="87" spans="1:15" s="54" customFormat="1" x14ac:dyDescent="0.25">
      <c r="A87" s="78"/>
      <c r="B87" s="78"/>
      <c r="C87" s="79" t="s">
        <v>393</v>
      </c>
      <c r="D87" s="80">
        <f>'дод 3'!E140</f>
        <v>93426</v>
      </c>
      <c r="E87" s="80">
        <f>'дод 3'!F140</f>
        <v>93426</v>
      </c>
      <c r="F87" s="80">
        <f>'дод 3'!G140</f>
        <v>0</v>
      </c>
      <c r="G87" s="80">
        <f>'дод 3'!H140</f>
        <v>0</v>
      </c>
      <c r="H87" s="80">
        <f>'дод 3'!I140</f>
        <v>0</v>
      </c>
      <c r="I87" s="80">
        <f>'дод 3'!J140</f>
        <v>5750000</v>
      </c>
      <c r="J87" s="80">
        <f>'дод 3'!K140</f>
        <v>5750000</v>
      </c>
      <c r="K87" s="80">
        <f>'дод 3'!L140</f>
        <v>0</v>
      </c>
      <c r="L87" s="80">
        <f>'дод 3'!M140</f>
        <v>0</v>
      </c>
      <c r="M87" s="80">
        <f>'дод 3'!N140</f>
        <v>0</v>
      </c>
      <c r="N87" s="80">
        <f>'дод 3'!O140</f>
        <v>5750000</v>
      </c>
      <c r="O87" s="80">
        <f>'дод 3'!P140</f>
        <v>5843426</v>
      </c>
    </row>
    <row r="88" spans="1:15" ht="31.5" x14ac:dyDescent="0.25">
      <c r="A88" s="37">
        <v>2020</v>
      </c>
      <c r="B88" s="58" t="s">
        <v>448</v>
      </c>
      <c r="C88" s="6" t="s">
        <v>451</v>
      </c>
      <c r="D88" s="49">
        <f>'дод 3'!E141</f>
        <v>90000</v>
      </c>
      <c r="E88" s="49">
        <f>'дод 3'!F141</f>
        <v>90000</v>
      </c>
      <c r="F88" s="49">
        <f>'дод 3'!G141</f>
        <v>0</v>
      </c>
      <c r="G88" s="49">
        <f>'дод 3'!H141</f>
        <v>0</v>
      </c>
      <c r="H88" s="49">
        <f>'дод 3'!I141</f>
        <v>0</v>
      </c>
      <c r="I88" s="49">
        <f>'дод 3'!J141</f>
        <v>0</v>
      </c>
      <c r="J88" s="49">
        <f>'дод 3'!K141</f>
        <v>0</v>
      </c>
      <c r="K88" s="49">
        <f>'дод 3'!L141</f>
        <v>0</v>
      </c>
      <c r="L88" s="49">
        <f>'дод 3'!M141</f>
        <v>0</v>
      </c>
      <c r="M88" s="49">
        <f>'дод 3'!N141</f>
        <v>0</v>
      </c>
      <c r="N88" s="49">
        <f>'дод 3'!O141</f>
        <v>0</v>
      </c>
      <c r="O88" s="49">
        <f>'дод 3'!P141</f>
        <v>90000</v>
      </c>
    </row>
    <row r="89" spans="1:15" ht="36.75" customHeight="1" x14ac:dyDescent="0.25">
      <c r="A89" s="37" t="s">
        <v>120</v>
      </c>
      <c r="B89" s="37" t="s">
        <v>62</v>
      </c>
      <c r="C89" s="6" t="s">
        <v>464</v>
      </c>
      <c r="D89" s="49">
        <f>'дод 3'!E142</f>
        <v>4498159</v>
      </c>
      <c r="E89" s="49">
        <f>'дод 3'!F142</f>
        <v>4498159</v>
      </c>
      <c r="F89" s="49">
        <f>'дод 3'!G142</f>
        <v>0</v>
      </c>
      <c r="G89" s="49">
        <f>'дод 3'!H142</f>
        <v>0</v>
      </c>
      <c r="H89" s="49">
        <f>'дод 3'!I142</f>
        <v>0</v>
      </c>
      <c r="I89" s="49">
        <f>'дод 3'!J142</f>
        <v>5100000</v>
      </c>
      <c r="J89" s="49">
        <f>'дод 3'!K142</f>
        <v>5100000</v>
      </c>
      <c r="K89" s="49">
        <f>'дод 3'!L142</f>
        <v>0</v>
      </c>
      <c r="L89" s="49">
        <f>'дод 3'!M142</f>
        <v>0</v>
      </c>
      <c r="M89" s="49">
        <f>'дод 3'!N142</f>
        <v>0</v>
      </c>
      <c r="N89" s="49">
        <f>'дод 3'!O142</f>
        <v>5100000</v>
      </c>
      <c r="O89" s="49">
        <f>'дод 3'!P142</f>
        <v>9598159</v>
      </c>
    </row>
    <row r="90" spans="1:15" s="54" customFormat="1" ht="31.5" hidden="1" customHeight="1" x14ac:dyDescent="0.25">
      <c r="A90" s="78"/>
      <c r="B90" s="78"/>
      <c r="C90" s="79" t="s">
        <v>390</v>
      </c>
      <c r="D90" s="80">
        <f>'дод 3'!E143</f>
        <v>0</v>
      </c>
      <c r="E90" s="80">
        <f>'дод 3'!F143</f>
        <v>0</v>
      </c>
      <c r="F90" s="80">
        <f>'дод 3'!G143</f>
        <v>0</v>
      </c>
      <c r="G90" s="80">
        <f>'дод 3'!H143</f>
        <v>0</v>
      </c>
      <c r="H90" s="80">
        <f>'дод 3'!I143</f>
        <v>0</v>
      </c>
      <c r="I90" s="80">
        <f>'дод 3'!J143</f>
        <v>0</v>
      </c>
      <c r="J90" s="80">
        <f>'дод 3'!K143</f>
        <v>0</v>
      </c>
      <c r="K90" s="80">
        <f>'дод 3'!L143</f>
        <v>0</v>
      </c>
      <c r="L90" s="80">
        <f>'дод 3'!M143</f>
        <v>0</v>
      </c>
      <c r="M90" s="80">
        <f>'дод 3'!N143</f>
        <v>0</v>
      </c>
      <c r="N90" s="80">
        <f>'дод 3'!O143</f>
        <v>0</v>
      </c>
      <c r="O90" s="80">
        <f>'дод 3'!P143</f>
        <v>0</v>
      </c>
    </row>
    <row r="91" spans="1:15" ht="19.5" customHeight="1" x14ac:dyDescent="0.25">
      <c r="A91" s="37" t="s">
        <v>121</v>
      </c>
      <c r="B91" s="37" t="s">
        <v>63</v>
      </c>
      <c r="C91" s="6" t="s">
        <v>465</v>
      </c>
      <c r="D91" s="49">
        <f>'дод 3'!E144</f>
        <v>7745106</v>
      </c>
      <c r="E91" s="49">
        <f>'дод 3'!F144</f>
        <v>7745106</v>
      </c>
      <c r="F91" s="49">
        <f>'дод 3'!G144</f>
        <v>0</v>
      </c>
      <c r="G91" s="49">
        <f>'дод 3'!H144</f>
        <v>0</v>
      </c>
      <c r="H91" s="49">
        <f>'дод 3'!I144</f>
        <v>0</v>
      </c>
      <c r="I91" s="49">
        <f>'дод 3'!J144</f>
        <v>0</v>
      </c>
      <c r="J91" s="49">
        <f>'дод 3'!K144</f>
        <v>0</v>
      </c>
      <c r="K91" s="49">
        <f>'дод 3'!L144</f>
        <v>0</v>
      </c>
      <c r="L91" s="49">
        <f>'дод 3'!M144</f>
        <v>0</v>
      </c>
      <c r="M91" s="49">
        <f>'дод 3'!N144</f>
        <v>0</v>
      </c>
      <c r="N91" s="49">
        <f>'дод 3'!O144</f>
        <v>0</v>
      </c>
      <c r="O91" s="49">
        <f>'дод 3'!P144</f>
        <v>7745106</v>
      </c>
    </row>
    <row r="92" spans="1:15" s="54" customFormat="1" ht="31.5" hidden="1" customHeight="1" x14ac:dyDescent="0.25">
      <c r="A92" s="78"/>
      <c r="B92" s="78"/>
      <c r="C92" s="79" t="s">
        <v>390</v>
      </c>
      <c r="D92" s="80">
        <f>'дод 3'!E145</f>
        <v>0</v>
      </c>
      <c r="E92" s="80">
        <f>'дод 3'!F145</f>
        <v>0</v>
      </c>
      <c r="F92" s="80">
        <f>'дод 3'!G145</f>
        <v>0</v>
      </c>
      <c r="G92" s="80">
        <f>'дод 3'!H145</f>
        <v>0</v>
      </c>
      <c r="H92" s="80">
        <f>'дод 3'!I145</f>
        <v>0</v>
      </c>
      <c r="I92" s="80">
        <f>'дод 3'!J145</f>
        <v>0</v>
      </c>
      <c r="J92" s="80">
        <f>'дод 3'!K145</f>
        <v>0</v>
      </c>
      <c r="K92" s="80">
        <f>'дод 3'!L145</f>
        <v>0</v>
      </c>
      <c r="L92" s="80">
        <f>'дод 3'!M145</f>
        <v>0</v>
      </c>
      <c r="M92" s="80">
        <f>'дод 3'!N145</f>
        <v>0</v>
      </c>
      <c r="N92" s="80">
        <f>'дод 3'!O145</f>
        <v>0</v>
      </c>
      <c r="O92" s="80">
        <f>'дод 3'!P145</f>
        <v>0</v>
      </c>
    </row>
    <row r="93" spans="1:15" ht="48.75" customHeight="1" x14ac:dyDescent="0.25">
      <c r="A93" s="37" t="s">
        <v>122</v>
      </c>
      <c r="B93" s="37" t="s">
        <v>313</v>
      </c>
      <c r="C93" s="6" t="s">
        <v>466</v>
      </c>
      <c r="D93" s="49">
        <f>'дод 3'!E146</f>
        <v>3962831</v>
      </c>
      <c r="E93" s="49">
        <f>'дод 3'!F146</f>
        <v>3962831</v>
      </c>
      <c r="F93" s="49">
        <f>'дод 3'!G146</f>
        <v>0</v>
      </c>
      <c r="G93" s="49">
        <f>'дод 3'!H146</f>
        <v>0</v>
      </c>
      <c r="H93" s="49">
        <f>'дод 3'!I146</f>
        <v>0</v>
      </c>
      <c r="I93" s="49">
        <f>'дод 3'!J146</f>
        <v>0</v>
      </c>
      <c r="J93" s="49">
        <f>'дод 3'!K146</f>
        <v>0</v>
      </c>
      <c r="K93" s="49">
        <f>'дод 3'!L146</f>
        <v>0</v>
      </c>
      <c r="L93" s="49">
        <f>'дод 3'!M146</f>
        <v>0</v>
      </c>
      <c r="M93" s="49">
        <f>'дод 3'!N146</f>
        <v>0</v>
      </c>
      <c r="N93" s="49">
        <f>'дод 3'!O146</f>
        <v>0</v>
      </c>
      <c r="O93" s="49">
        <f>'дод 3'!P146</f>
        <v>3962831</v>
      </c>
    </row>
    <row r="94" spans="1:15" s="54" customFormat="1" ht="47.25" hidden="1" customHeight="1" x14ac:dyDescent="0.25">
      <c r="A94" s="78"/>
      <c r="B94" s="78"/>
      <c r="C94" s="81" t="s">
        <v>392</v>
      </c>
      <c r="D94" s="80">
        <f>'дод 3'!E147</f>
        <v>0</v>
      </c>
      <c r="E94" s="80">
        <f>'дод 3'!F147</f>
        <v>0</v>
      </c>
      <c r="F94" s="80">
        <f>'дод 3'!G147</f>
        <v>0</v>
      </c>
      <c r="G94" s="80">
        <f>'дод 3'!H147</f>
        <v>0</v>
      </c>
      <c r="H94" s="80">
        <f>'дод 3'!I147</f>
        <v>0</v>
      </c>
      <c r="I94" s="80">
        <f>'дод 3'!J147</f>
        <v>0</v>
      </c>
      <c r="J94" s="80">
        <f>'дод 3'!K147</f>
        <v>0</v>
      </c>
      <c r="K94" s="80">
        <f>'дод 3'!L147</f>
        <v>0</v>
      </c>
      <c r="L94" s="80">
        <f>'дод 3'!M147</f>
        <v>0</v>
      </c>
      <c r="M94" s="80">
        <f>'дод 3'!N147</f>
        <v>0</v>
      </c>
      <c r="N94" s="80">
        <f>'дод 3'!O147</f>
        <v>0</v>
      </c>
      <c r="O94" s="80">
        <f>'дод 3'!P147</f>
        <v>0</v>
      </c>
    </row>
    <row r="95" spans="1:15" ht="31.5" x14ac:dyDescent="0.25">
      <c r="A95" s="40">
        <v>2144</v>
      </c>
      <c r="B95" s="37" t="s">
        <v>64</v>
      </c>
      <c r="C95" s="6" t="s">
        <v>404</v>
      </c>
      <c r="D95" s="49">
        <f>'дод 3'!E148</f>
        <v>11403700</v>
      </c>
      <c r="E95" s="49">
        <f>'дод 3'!F148</f>
        <v>11403700</v>
      </c>
      <c r="F95" s="49">
        <f>'дод 3'!G148</f>
        <v>0</v>
      </c>
      <c r="G95" s="49">
        <f>'дод 3'!H148</f>
        <v>0</v>
      </c>
      <c r="H95" s="49">
        <f>'дод 3'!I148</f>
        <v>0</v>
      </c>
      <c r="I95" s="49">
        <f>'дод 3'!J148</f>
        <v>0</v>
      </c>
      <c r="J95" s="49">
        <f>'дод 3'!K148</f>
        <v>0</v>
      </c>
      <c r="K95" s="49">
        <f>'дод 3'!L148</f>
        <v>0</v>
      </c>
      <c r="L95" s="49">
        <f>'дод 3'!M148</f>
        <v>0</v>
      </c>
      <c r="M95" s="49">
        <f>'дод 3'!N148</f>
        <v>0</v>
      </c>
      <c r="N95" s="49">
        <f>'дод 3'!O148</f>
        <v>0</v>
      </c>
      <c r="O95" s="49">
        <f>'дод 3'!P148</f>
        <v>11403700</v>
      </c>
    </row>
    <row r="96" spans="1:15" s="54" customFormat="1" ht="47.25" hidden="1" customHeight="1" x14ac:dyDescent="0.25">
      <c r="A96" s="82"/>
      <c r="B96" s="78"/>
      <c r="C96" s="79" t="s">
        <v>391</v>
      </c>
      <c r="D96" s="80">
        <f>'дод 3'!E149</f>
        <v>0</v>
      </c>
      <c r="E96" s="80">
        <f>'дод 3'!F149</f>
        <v>0</v>
      </c>
      <c r="F96" s="80">
        <f>'дод 3'!G149</f>
        <v>0</v>
      </c>
      <c r="G96" s="80">
        <f>'дод 3'!H149</f>
        <v>0</v>
      </c>
      <c r="H96" s="80">
        <f>'дод 3'!I149</f>
        <v>0</v>
      </c>
      <c r="I96" s="80">
        <f>'дод 3'!J149</f>
        <v>0</v>
      </c>
      <c r="J96" s="80">
        <f>'дод 3'!K149</f>
        <v>0</v>
      </c>
      <c r="K96" s="80">
        <f>'дод 3'!L149</f>
        <v>0</v>
      </c>
      <c r="L96" s="80">
        <f>'дод 3'!M149</f>
        <v>0</v>
      </c>
      <c r="M96" s="80">
        <f>'дод 3'!N149</f>
        <v>0</v>
      </c>
      <c r="N96" s="80">
        <f>'дод 3'!O149</f>
        <v>0</v>
      </c>
      <c r="O96" s="80">
        <f>'дод 3'!P149</f>
        <v>0</v>
      </c>
    </row>
    <row r="97" spans="1:15" s="54" customFormat="1" ht="63" x14ac:dyDescent="0.25">
      <c r="A97" s="82"/>
      <c r="B97" s="78"/>
      <c r="C97" s="79" t="s">
        <v>392</v>
      </c>
      <c r="D97" s="80">
        <f>'дод 3'!E150</f>
        <v>11403700</v>
      </c>
      <c r="E97" s="80">
        <f>'дод 3'!F150</f>
        <v>11403700</v>
      </c>
      <c r="F97" s="80">
        <f>'дод 3'!G150</f>
        <v>0</v>
      </c>
      <c r="G97" s="80">
        <f>'дод 3'!H150</f>
        <v>0</v>
      </c>
      <c r="H97" s="80">
        <f>'дод 3'!I150</f>
        <v>0</v>
      </c>
      <c r="I97" s="80">
        <f>'дод 3'!J150</f>
        <v>0</v>
      </c>
      <c r="J97" s="80">
        <f>'дод 3'!K150</f>
        <v>0</v>
      </c>
      <c r="K97" s="80">
        <f>'дод 3'!L150</f>
        <v>0</v>
      </c>
      <c r="L97" s="80">
        <f>'дод 3'!M150</f>
        <v>0</v>
      </c>
      <c r="M97" s="80">
        <f>'дод 3'!N150</f>
        <v>0</v>
      </c>
      <c r="N97" s="80">
        <f>'дод 3'!O150</f>
        <v>0</v>
      </c>
      <c r="O97" s="80">
        <f>'дод 3'!P150</f>
        <v>11403700</v>
      </c>
    </row>
    <row r="98" spans="1:15" ht="33.75" customHeight="1" x14ac:dyDescent="0.25">
      <c r="A98" s="37" t="s">
        <v>282</v>
      </c>
      <c r="B98" s="37" t="s">
        <v>64</v>
      </c>
      <c r="C98" s="3" t="s">
        <v>284</v>
      </c>
      <c r="D98" s="49">
        <f>'дод 3'!E151</f>
        <v>3069484</v>
      </c>
      <c r="E98" s="49">
        <f>'дод 3'!F151</f>
        <v>3069484</v>
      </c>
      <c r="F98" s="49">
        <f>'дод 3'!G151</f>
        <v>2387600</v>
      </c>
      <c r="G98" s="49">
        <f>'дод 3'!H151</f>
        <v>68884</v>
      </c>
      <c r="H98" s="49">
        <f>'дод 3'!I151</f>
        <v>0</v>
      </c>
      <c r="I98" s="49">
        <f>'дод 3'!J151</f>
        <v>0</v>
      </c>
      <c r="J98" s="49">
        <f>'дод 3'!K151</f>
        <v>0</v>
      </c>
      <c r="K98" s="49">
        <f>'дод 3'!L151</f>
        <v>0</v>
      </c>
      <c r="L98" s="49">
        <f>'дод 3'!M151</f>
        <v>0</v>
      </c>
      <c r="M98" s="49">
        <f>'дод 3'!N151</f>
        <v>0</v>
      </c>
      <c r="N98" s="49">
        <f>'дод 3'!O151</f>
        <v>0</v>
      </c>
      <c r="O98" s="49">
        <f>'дод 3'!P151</f>
        <v>3069484</v>
      </c>
    </row>
    <row r="99" spans="1:15" ht="21.75" customHeight="1" x14ac:dyDescent="0.25">
      <c r="A99" s="37" t="s">
        <v>283</v>
      </c>
      <c r="B99" s="37" t="s">
        <v>64</v>
      </c>
      <c r="C99" s="3" t="s">
        <v>285</v>
      </c>
      <c r="D99" s="49">
        <f>'дод 3'!E152</f>
        <v>20438800</v>
      </c>
      <c r="E99" s="49">
        <f>'дод 3'!F152</f>
        <v>20438800</v>
      </c>
      <c r="F99" s="49">
        <f>'дод 3'!G152</f>
        <v>0</v>
      </c>
      <c r="G99" s="49">
        <f>'дод 3'!H152</f>
        <v>0</v>
      </c>
      <c r="H99" s="49">
        <f>'дод 3'!I152</f>
        <v>0</v>
      </c>
      <c r="I99" s="49">
        <f>'дод 3'!J152</f>
        <v>39891354</v>
      </c>
      <c r="J99" s="49">
        <f>'дод 3'!K152</f>
        <v>39891354</v>
      </c>
      <c r="K99" s="49">
        <f>'дод 3'!L152</f>
        <v>0</v>
      </c>
      <c r="L99" s="49">
        <f>'дод 3'!M152</f>
        <v>0</v>
      </c>
      <c r="M99" s="49">
        <f>'дод 3'!N152</f>
        <v>0</v>
      </c>
      <c r="N99" s="49">
        <f>'дод 3'!O152</f>
        <v>39891354</v>
      </c>
      <c r="O99" s="49">
        <f>'дод 3'!P152</f>
        <v>60330154</v>
      </c>
    </row>
    <row r="100" spans="1:15" s="52" customFormat="1" ht="33" customHeight="1" x14ac:dyDescent="0.25">
      <c r="A100" s="38" t="s">
        <v>65</v>
      </c>
      <c r="B100" s="41"/>
      <c r="C100" s="2" t="s">
        <v>514</v>
      </c>
      <c r="D100" s="48">
        <f>D106+D107+D108+D110+D111+D112+D114+D116+D117+D118+D119+D120+D121+D122+D123+D125+D127+D128+D129+D130+D131+D132+D134+D138+D139</f>
        <v>148672264.34999999</v>
      </c>
      <c r="E100" s="48">
        <f t="shared" ref="E100:O100" si="17">E106+E107+E108+E110+E111+E112+E114+E116+E117+E118+E119+E120+E121+E122+E123+E125+E127+E128+E129+E130+E131+E132+E134+E138+E139</f>
        <v>148672264.34999999</v>
      </c>
      <c r="F100" s="48">
        <f t="shared" si="17"/>
        <v>21152900</v>
      </c>
      <c r="G100" s="48">
        <f t="shared" si="17"/>
        <v>954791</v>
      </c>
      <c r="H100" s="48">
        <f t="shared" si="17"/>
        <v>0</v>
      </c>
      <c r="I100" s="48">
        <f t="shared" si="17"/>
        <v>2465611.0499999998</v>
      </c>
      <c r="J100" s="48">
        <f t="shared" si="17"/>
        <v>2369411.0499999998</v>
      </c>
      <c r="K100" s="48">
        <f t="shared" si="17"/>
        <v>96200</v>
      </c>
      <c r="L100" s="48">
        <f t="shared" si="17"/>
        <v>75000</v>
      </c>
      <c r="M100" s="48">
        <f t="shared" si="17"/>
        <v>0</v>
      </c>
      <c r="N100" s="48">
        <f t="shared" si="17"/>
        <v>2369411.0499999998</v>
      </c>
      <c r="O100" s="48">
        <f t="shared" si="17"/>
        <v>151137875.39999998</v>
      </c>
    </row>
    <row r="101" spans="1:15" s="53" customFormat="1" ht="262.5" hidden="1" customHeight="1" x14ac:dyDescent="0.25">
      <c r="A101" s="71"/>
      <c r="B101" s="72"/>
      <c r="C101" s="75" t="s">
        <v>444</v>
      </c>
      <c r="D101" s="76">
        <f>D133</f>
        <v>0</v>
      </c>
      <c r="E101" s="76">
        <f t="shared" ref="E101:O101" si="18">E133</f>
        <v>0</v>
      </c>
      <c r="F101" s="76">
        <f t="shared" si="18"/>
        <v>0</v>
      </c>
      <c r="G101" s="76">
        <f t="shared" si="18"/>
        <v>0</v>
      </c>
      <c r="H101" s="76">
        <f t="shared" si="18"/>
        <v>0</v>
      </c>
      <c r="I101" s="76">
        <f t="shared" si="18"/>
        <v>975480.06</v>
      </c>
      <c r="J101" s="76">
        <f t="shared" si="18"/>
        <v>975480.06</v>
      </c>
      <c r="K101" s="76">
        <f t="shared" si="18"/>
        <v>0</v>
      </c>
      <c r="L101" s="76">
        <f t="shared" si="18"/>
        <v>0</v>
      </c>
      <c r="M101" s="76">
        <f t="shared" si="18"/>
        <v>0</v>
      </c>
      <c r="N101" s="76">
        <f t="shared" si="18"/>
        <v>975480.06</v>
      </c>
      <c r="O101" s="76">
        <f t="shared" si="18"/>
        <v>975480.06</v>
      </c>
    </row>
    <row r="102" spans="1:15" s="53" customFormat="1" ht="231" hidden="1" customHeight="1" x14ac:dyDescent="0.25">
      <c r="A102" s="71"/>
      <c r="B102" s="72"/>
      <c r="C102" s="75" t="s">
        <v>443</v>
      </c>
      <c r="D102" s="76">
        <f>D137</f>
        <v>0</v>
      </c>
      <c r="E102" s="76">
        <f t="shared" ref="E102:O102" si="19">E137</f>
        <v>0</v>
      </c>
      <c r="F102" s="76">
        <f t="shared" si="19"/>
        <v>0</v>
      </c>
      <c r="G102" s="76">
        <f t="shared" si="19"/>
        <v>0</v>
      </c>
      <c r="H102" s="76">
        <f t="shared" si="19"/>
        <v>0</v>
      </c>
      <c r="I102" s="76">
        <f t="shared" si="19"/>
        <v>0</v>
      </c>
      <c r="J102" s="76">
        <f t="shared" si="19"/>
        <v>0</v>
      </c>
      <c r="K102" s="76">
        <f t="shared" si="19"/>
        <v>0</v>
      </c>
      <c r="L102" s="76">
        <f t="shared" si="19"/>
        <v>0</v>
      </c>
      <c r="M102" s="76">
        <f t="shared" si="19"/>
        <v>0</v>
      </c>
      <c r="N102" s="76">
        <f t="shared" si="19"/>
        <v>0</v>
      </c>
      <c r="O102" s="76">
        <f t="shared" si="19"/>
        <v>0</v>
      </c>
    </row>
    <row r="103" spans="1:15" s="53" customFormat="1" x14ac:dyDescent="0.25">
      <c r="A103" s="71"/>
      <c r="B103" s="72"/>
      <c r="C103" s="75" t="s">
        <v>395</v>
      </c>
      <c r="D103" s="76">
        <f>D109+D113+D115+D124+D126+D140</f>
        <v>5817068.2400000002</v>
      </c>
      <c r="E103" s="76">
        <f t="shared" ref="E103:O103" si="20">E109+E113+E115+E124+E126+E140</f>
        <v>5817068.2400000002</v>
      </c>
      <c r="F103" s="76">
        <f t="shared" si="20"/>
        <v>0</v>
      </c>
      <c r="G103" s="76">
        <f t="shared" si="20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6">
        <f t="shared" si="20"/>
        <v>0</v>
      </c>
      <c r="M103" s="76">
        <f t="shared" si="20"/>
        <v>0</v>
      </c>
      <c r="N103" s="76">
        <f t="shared" si="20"/>
        <v>0</v>
      </c>
      <c r="O103" s="76">
        <f t="shared" si="20"/>
        <v>5817068.2400000002</v>
      </c>
    </row>
    <row r="104" spans="1:15" s="53" customFormat="1" ht="283.5" x14ac:dyDescent="0.25">
      <c r="A104" s="71"/>
      <c r="B104" s="72"/>
      <c r="C104" s="77" t="s">
        <v>583</v>
      </c>
      <c r="D104" s="76">
        <f>D133</f>
        <v>0</v>
      </c>
      <c r="E104" s="76">
        <f t="shared" ref="E104:O104" si="21">E133</f>
        <v>0</v>
      </c>
      <c r="F104" s="76">
        <f t="shared" si="21"/>
        <v>0</v>
      </c>
      <c r="G104" s="76">
        <f t="shared" si="21"/>
        <v>0</v>
      </c>
      <c r="H104" s="76">
        <f t="shared" si="21"/>
        <v>0</v>
      </c>
      <c r="I104" s="76">
        <f t="shared" si="21"/>
        <v>975480.06</v>
      </c>
      <c r="J104" s="76">
        <f t="shared" si="21"/>
        <v>975480.06</v>
      </c>
      <c r="K104" s="76">
        <f t="shared" si="21"/>
        <v>0</v>
      </c>
      <c r="L104" s="76">
        <f t="shared" si="21"/>
        <v>0</v>
      </c>
      <c r="M104" s="76">
        <f t="shared" si="21"/>
        <v>0</v>
      </c>
      <c r="N104" s="76">
        <f t="shared" si="21"/>
        <v>975480.06</v>
      </c>
      <c r="O104" s="76">
        <f t="shared" si="21"/>
        <v>975480.06</v>
      </c>
    </row>
    <row r="105" spans="1:15" s="53" customFormat="1" ht="350.25" customHeight="1" x14ac:dyDescent="0.25">
      <c r="A105" s="71"/>
      <c r="B105" s="72"/>
      <c r="C105" s="77" t="s">
        <v>609</v>
      </c>
      <c r="D105" s="76">
        <f>D135</f>
        <v>0</v>
      </c>
      <c r="E105" s="76">
        <f t="shared" ref="E105:O105" si="22">E135</f>
        <v>0</v>
      </c>
      <c r="F105" s="76">
        <f t="shared" si="22"/>
        <v>0</v>
      </c>
      <c r="G105" s="76">
        <f t="shared" si="22"/>
        <v>0</v>
      </c>
      <c r="H105" s="76">
        <f t="shared" si="22"/>
        <v>0</v>
      </c>
      <c r="I105" s="76">
        <f t="shared" si="22"/>
        <v>1176130.99</v>
      </c>
      <c r="J105" s="76">
        <f t="shared" si="22"/>
        <v>1176130.99</v>
      </c>
      <c r="K105" s="76">
        <f t="shared" si="22"/>
        <v>0</v>
      </c>
      <c r="L105" s="76">
        <f t="shared" si="22"/>
        <v>0</v>
      </c>
      <c r="M105" s="76">
        <f t="shared" si="22"/>
        <v>0</v>
      </c>
      <c r="N105" s="76">
        <f t="shared" si="22"/>
        <v>1176130.99</v>
      </c>
      <c r="O105" s="76">
        <f t="shared" si="22"/>
        <v>1176130.99</v>
      </c>
    </row>
    <row r="106" spans="1:15" ht="38.25" customHeight="1" x14ac:dyDescent="0.25">
      <c r="A106" s="37" t="s">
        <v>98</v>
      </c>
      <c r="B106" s="37" t="s">
        <v>52</v>
      </c>
      <c r="C106" s="3" t="s">
        <v>123</v>
      </c>
      <c r="D106" s="49">
        <f>'дод 3'!E170</f>
        <v>806663</v>
      </c>
      <c r="E106" s="49">
        <f>'дод 3'!F170</f>
        <v>806663</v>
      </c>
      <c r="F106" s="49">
        <f>'дод 3'!G170</f>
        <v>0</v>
      </c>
      <c r="G106" s="49">
        <f>'дод 3'!H170</f>
        <v>0</v>
      </c>
      <c r="H106" s="49">
        <f>'дод 3'!I170</f>
        <v>0</v>
      </c>
      <c r="I106" s="49">
        <f>'дод 3'!J170</f>
        <v>0</v>
      </c>
      <c r="J106" s="49">
        <f>'дод 3'!K170</f>
        <v>0</v>
      </c>
      <c r="K106" s="49">
        <f>'дод 3'!L170</f>
        <v>0</v>
      </c>
      <c r="L106" s="49">
        <f>'дод 3'!M170</f>
        <v>0</v>
      </c>
      <c r="M106" s="49">
        <f>'дод 3'!N170</f>
        <v>0</v>
      </c>
      <c r="N106" s="49">
        <f>'дод 3'!O170</f>
        <v>0</v>
      </c>
      <c r="O106" s="49">
        <f>'дод 3'!P170</f>
        <v>806663</v>
      </c>
    </row>
    <row r="107" spans="1:15" ht="36.75" customHeight="1" x14ac:dyDescent="0.25">
      <c r="A107" s="37" t="s">
        <v>124</v>
      </c>
      <c r="B107" s="37" t="s">
        <v>54</v>
      </c>
      <c r="C107" s="3" t="s">
        <v>360</v>
      </c>
      <c r="D107" s="49">
        <f>'дод 3'!E171</f>
        <v>900230</v>
      </c>
      <c r="E107" s="49">
        <f>'дод 3'!F171</f>
        <v>900230</v>
      </c>
      <c r="F107" s="49">
        <f>'дод 3'!G171</f>
        <v>0</v>
      </c>
      <c r="G107" s="49">
        <f>'дод 3'!H171</f>
        <v>0</v>
      </c>
      <c r="H107" s="49">
        <f>'дод 3'!I171</f>
        <v>0</v>
      </c>
      <c r="I107" s="49">
        <f>'дод 3'!J171</f>
        <v>0</v>
      </c>
      <c r="J107" s="49">
        <f>'дод 3'!K171</f>
        <v>0</v>
      </c>
      <c r="K107" s="49">
        <f>'дод 3'!L171</f>
        <v>0</v>
      </c>
      <c r="L107" s="49">
        <f>'дод 3'!M171</f>
        <v>0</v>
      </c>
      <c r="M107" s="49">
        <f>'дод 3'!N171</f>
        <v>0</v>
      </c>
      <c r="N107" s="49">
        <f>'дод 3'!O171</f>
        <v>0</v>
      </c>
      <c r="O107" s="49">
        <f>'дод 3'!P171</f>
        <v>900230</v>
      </c>
    </row>
    <row r="108" spans="1:15" ht="47.25" x14ac:dyDescent="0.25">
      <c r="A108" s="37" t="s">
        <v>99</v>
      </c>
      <c r="B108" s="37" t="s">
        <v>54</v>
      </c>
      <c r="C108" s="3" t="s">
        <v>598</v>
      </c>
      <c r="D108" s="49">
        <f>'дод 3'!E172+'дод 3'!E26</f>
        <v>20988329.240000002</v>
      </c>
      <c r="E108" s="49">
        <f>'дод 3'!F172+'дод 3'!F26</f>
        <v>20988329.240000002</v>
      </c>
      <c r="F108" s="49">
        <f>'дод 3'!G172+'дод 3'!G26</f>
        <v>0</v>
      </c>
      <c r="G108" s="49">
        <f>'дод 3'!H172+'дод 3'!H26</f>
        <v>0</v>
      </c>
      <c r="H108" s="49">
        <f>'дод 3'!I172+'дод 3'!I26</f>
        <v>0</v>
      </c>
      <c r="I108" s="49">
        <f>'дод 3'!J172+'дод 3'!J26</f>
        <v>0</v>
      </c>
      <c r="J108" s="49">
        <f>'дод 3'!K172+'дод 3'!K26</f>
        <v>0</v>
      </c>
      <c r="K108" s="49">
        <f>'дод 3'!L172+'дод 3'!L26</f>
        <v>0</v>
      </c>
      <c r="L108" s="49">
        <f>'дод 3'!M172+'дод 3'!M26</f>
        <v>0</v>
      </c>
      <c r="M108" s="49">
        <f>'дод 3'!N172+'дод 3'!N26</f>
        <v>0</v>
      </c>
      <c r="N108" s="49">
        <f>'дод 3'!O172+'дод 3'!O26</f>
        <v>0</v>
      </c>
      <c r="O108" s="49">
        <f>'дод 3'!P172+'дод 3'!P26</f>
        <v>20988329.240000002</v>
      </c>
    </row>
    <row r="109" spans="1:15" s="54" customFormat="1" ht="21.75" customHeight="1" x14ac:dyDescent="0.25">
      <c r="A109" s="78"/>
      <c r="B109" s="78"/>
      <c r="C109" s="79" t="s">
        <v>393</v>
      </c>
      <c r="D109" s="80">
        <f>'дод 3'!E173</f>
        <v>4358269.24</v>
      </c>
      <c r="E109" s="80">
        <f>'дод 3'!F173</f>
        <v>4358269.24</v>
      </c>
      <c r="F109" s="80">
        <f>'дод 3'!G173</f>
        <v>0</v>
      </c>
      <c r="G109" s="80">
        <f>'дод 3'!H173</f>
        <v>0</v>
      </c>
      <c r="H109" s="80">
        <f>'дод 3'!I173</f>
        <v>0</v>
      </c>
      <c r="I109" s="80">
        <f>'дод 3'!J173</f>
        <v>0</v>
      </c>
      <c r="J109" s="80">
        <f>'дод 3'!K173</f>
        <v>0</v>
      </c>
      <c r="K109" s="80">
        <f>'дод 3'!L173</f>
        <v>0</v>
      </c>
      <c r="L109" s="80">
        <f>'дод 3'!M173</f>
        <v>0</v>
      </c>
      <c r="M109" s="80">
        <f>'дод 3'!N173</f>
        <v>0</v>
      </c>
      <c r="N109" s="80">
        <f>'дод 3'!O173</f>
        <v>0</v>
      </c>
      <c r="O109" s="80">
        <f>'дод 3'!P173</f>
        <v>4358269.24</v>
      </c>
    </row>
    <row r="110" spans="1:15" ht="36" customHeight="1" x14ac:dyDescent="0.25">
      <c r="A110" s="37" t="s">
        <v>323</v>
      </c>
      <c r="B110" s="37" t="s">
        <v>54</v>
      </c>
      <c r="C110" s="3" t="s">
        <v>322</v>
      </c>
      <c r="D110" s="49">
        <f>'дод 3'!E174</f>
        <v>2000000</v>
      </c>
      <c r="E110" s="49">
        <f>'дод 3'!F174</f>
        <v>2000000</v>
      </c>
      <c r="F110" s="49">
        <f>'дод 3'!G174</f>
        <v>0</v>
      </c>
      <c r="G110" s="49">
        <f>'дод 3'!H174</f>
        <v>0</v>
      </c>
      <c r="H110" s="49">
        <f>'дод 3'!I174</f>
        <v>0</v>
      </c>
      <c r="I110" s="49">
        <f>'дод 3'!J174</f>
        <v>0</v>
      </c>
      <c r="J110" s="49">
        <f>'дод 3'!K174</f>
        <v>0</v>
      </c>
      <c r="K110" s="49">
        <f>'дод 3'!L174</f>
        <v>0</v>
      </c>
      <c r="L110" s="49">
        <f>'дод 3'!M174</f>
        <v>0</v>
      </c>
      <c r="M110" s="49">
        <f>'дод 3'!N174</f>
        <v>0</v>
      </c>
      <c r="N110" s="49">
        <f>'дод 3'!O174</f>
        <v>0</v>
      </c>
      <c r="O110" s="49">
        <f>'дод 3'!P174</f>
        <v>2000000</v>
      </c>
    </row>
    <row r="111" spans="1:15" ht="44.25" customHeight="1" x14ac:dyDescent="0.25">
      <c r="A111" s="37" t="s">
        <v>125</v>
      </c>
      <c r="B111" s="37" t="s">
        <v>54</v>
      </c>
      <c r="C111" s="3" t="s">
        <v>19</v>
      </c>
      <c r="D111" s="49">
        <f>'дод 3'!E175+'дод 3'!E27</f>
        <v>36042686</v>
      </c>
      <c r="E111" s="49">
        <f>'дод 3'!F175+'дод 3'!F27</f>
        <v>36042686</v>
      </c>
      <c r="F111" s="49">
        <f>'дод 3'!G175+'дод 3'!G27</f>
        <v>0</v>
      </c>
      <c r="G111" s="49">
        <f>'дод 3'!H175+'дод 3'!H27</f>
        <v>0</v>
      </c>
      <c r="H111" s="49">
        <f>'дод 3'!I175+'дод 3'!I27</f>
        <v>0</v>
      </c>
      <c r="I111" s="49">
        <f>'дод 3'!J175+'дод 3'!J27</f>
        <v>0</v>
      </c>
      <c r="J111" s="49">
        <f>'дод 3'!K175+'дод 3'!K27</f>
        <v>0</v>
      </c>
      <c r="K111" s="49">
        <f>'дод 3'!L175+'дод 3'!L27</f>
        <v>0</v>
      </c>
      <c r="L111" s="49">
        <f>'дод 3'!M175+'дод 3'!M27</f>
        <v>0</v>
      </c>
      <c r="M111" s="49">
        <f>'дод 3'!N175+'дод 3'!N27</f>
        <v>0</v>
      </c>
      <c r="N111" s="49">
        <f>'дод 3'!O175+'дод 3'!O27</f>
        <v>0</v>
      </c>
      <c r="O111" s="49">
        <f>'дод 3'!P175+'дод 3'!P27</f>
        <v>36042686</v>
      </c>
    </row>
    <row r="112" spans="1:15" ht="45" customHeight="1" x14ac:dyDescent="0.25">
      <c r="A112" s="37" t="s">
        <v>101</v>
      </c>
      <c r="B112" s="37" t="s">
        <v>54</v>
      </c>
      <c r="C112" s="3" t="s">
        <v>409</v>
      </c>
      <c r="D112" s="49">
        <f>'дод 3'!E176</f>
        <v>667500</v>
      </c>
      <c r="E112" s="49">
        <f>'дод 3'!F176</f>
        <v>667500</v>
      </c>
      <c r="F112" s="49">
        <f>'дод 3'!G176</f>
        <v>0</v>
      </c>
      <c r="G112" s="49">
        <f>'дод 3'!H176</f>
        <v>0</v>
      </c>
      <c r="H112" s="49">
        <f>'дод 3'!I176</f>
        <v>0</v>
      </c>
      <c r="I112" s="49">
        <f>'дод 3'!J176</f>
        <v>0</v>
      </c>
      <c r="J112" s="49">
        <f>'дод 3'!K176</f>
        <v>0</v>
      </c>
      <c r="K112" s="49">
        <f>'дод 3'!L176</f>
        <v>0</v>
      </c>
      <c r="L112" s="49">
        <f>'дод 3'!M176</f>
        <v>0</v>
      </c>
      <c r="M112" s="49">
        <f>'дод 3'!N176</f>
        <v>0</v>
      </c>
      <c r="N112" s="49">
        <f>'дод 3'!O176</f>
        <v>0</v>
      </c>
      <c r="O112" s="49">
        <f>'дод 3'!P176</f>
        <v>667500</v>
      </c>
    </row>
    <row r="113" spans="1:15" s="54" customFormat="1" x14ac:dyDescent="0.25">
      <c r="A113" s="78"/>
      <c r="B113" s="78"/>
      <c r="C113" s="79" t="s">
        <v>393</v>
      </c>
      <c r="D113" s="80">
        <f>'дод 3'!E177</f>
        <v>667500</v>
      </c>
      <c r="E113" s="80">
        <f>'дод 3'!F177</f>
        <v>667500</v>
      </c>
      <c r="F113" s="80">
        <f>'дод 3'!G177</f>
        <v>0</v>
      </c>
      <c r="G113" s="80">
        <f>'дод 3'!H177</f>
        <v>0</v>
      </c>
      <c r="H113" s="80">
        <f>'дод 3'!I177</f>
        <v>0</v>
      </c>
      <c r="I113" s="80">
        <f>'дод 3'!J177</f>
        <v>0</v>
      </c>
      <c r="J113" s="80">
        <f>'дод 3'!K177</f>
        <v>0</v>
      </c>
      <c r="K113" s="80">
        <f>'дод 3'!L177</f>
        <v>0</v>
      </c>
      <c r="L113" s="80">
        <f>'дод 3'!M177</f>
        <v>0</v>
      </c>
      <c r="M113" s="80">
        <f>'дод 3'!N177</f>
        <v>0</v>
      </c>
      <c r="N113" s="80">
        <f>'дод 3'!O177</f>
        <v>0</v>
      </c>
      <c r="O113" s="80">
        <f>'дод 3'!P177</f>
        <v>667500</v>
      </c>
    </row>
    <row r="114" spans="1:15" ht="40.5" customHeight="1" x14ac:dyDescent="0.25">
      <c r="A114" s="37" t="s">
        <v>315</v>
      </c>
      <c r="B114" s="37" t="s">
        <v>52</v>
      </c>
      <c r="C114" s="3" t="s">
        <v>410</v>
      </c>
      <c r="D114" s="49">
        <f>'дод 3'!E178</f>
        <v>245000</v>
      </c>
      <c r="E114" s="49">
        <f>'дод 3'!F178</f>
        <v>245000</v>
      </c>
      <c r="F114" s="49">
        <f>'дод 3'!G178</f>
        <v>0</v>
      </c>
      <c r="G114" s="49">
        <f>'дод 3'!H178</f>
        <v>0</v>
      </c>
      <c r="H114" s="49">
        <f>'дод 3'!I178</f>
        <v>0</v>
      </c>
      <c r="I114" s="49">
        <f>'дод 3'!J178</f>
        <v>0</v>
      </c>
      <c r="J114" s="49">
        <f>'дод 3'!K178</f>
        <v>0</v>
      </c>
      <c r="K114" s="49">
        <f>'дод 3'!L178</f>
        <v>0</v>
      </c>
      <c r="L114" s="49">
        <f>'дод 3'!M178</f>
        <v>0</v>
      </c>
      <c r="M114" s="49">
        <f>'дод 3'!N178</f>
        <v>0</v>
      </c>
      <c r="N114" s="49">
        <f>'дод 3'!O178</f>
        <v>0</v>
      </c>
      <c r="O114" s="49">
        <f>'дод 3'!P178</f>
        <v>245000</v>
      </c>
    </row>
    <row r="115" spans="1:15" s="54" customFormat="1" x14ac:dyDescent="0.25">
      <c r="A115" s="78"/>
      <c r="B115" s="78"/>
      <c r="C115" s="79" t="s">
        <v>393</v>
      </c>
      <c r="D115" s="80">
        <f>'дод 3'!E179</f>
        <v>245000</v>
      </c>
      <c r="E115" s="80">
        <f>'дод 3'!F179</f>
        <v>245000</v>
      </c>
      <c r="F115" s="80">
        <f>'дод 3'!G179</f>
        <v>0</v>
      </c>
      <c r="G115" s="80">
        <f>'дод 3'!H179</f>
        <v>0</v>
      </c>
      <c r="H115" s="80">
        <f>'дод 3'!I179</f>
        <v>0</v>
      </c>
      <c r="I115" s="80">
        <f>'дод 3'!J179</f>
        <v>0</v>
      </c>
      <c r="J115" s="80">
        <f>'дод 3'!K179</f>
        <v>0</v>
      </c>
      <c r="K115" s="80">
        <f>'дод 3'!L179</f>
        <v>0</v>
      </c>
      <c r="L115" s="80">
        <f>'дод 3'!M179</f>
        <v>0</v>
      </c>
      <c r="M115" s="80">
        <f>'дод 3'!N179</f>
        <v>0</v>
      </c>
      <c r="N115" s="80">
        <f>'дод 3'!O179</f>
        <v>0</v>
      </c>
      <c r="O115" s="80">
        <f>'дод 3'!P179</f>
        <v>245000</v>
      </c>
    </row>
    <row r="116" spans="1:15" ht="58.5" customHeight="1" x14ac:dyDescent="0.25">
      <c r="A116" s="37" t="s">
        <v>102</v>
      </c>
      <c r="B116" s="37" t="s">
        <v>50</v>
      </c>
      <c r="C116" s="3" t="s">
        <v>30</v>
      </c>
      <c r="D116" s="49">
        <f>'дод 3'!E180</f>
        <v>18389917.48</v>
      </c>
      <c r="E116" s="49">
        <f>'дод 3'!F180</f>
        <v>18389917.48</v>
      </c>
      <c r="F116" s="49">
        <f>'дод 3'!G180</f>
        <v>14027514.66</v>
      </c>
      <c r="G116" s="49">
        <f>'дод 3'!H180</f>
        <v>396874.4</v>
      </c>
      <c r="H116" s="49">
        <f>'дод 3'!I180</f>
        <v>0</v>
      </c>
      <c r="I116" s="49">
        <f>'дод 3'!J180</f>
        <v>96200</v>
      </c>
      <c r="J116" s="49">
        <f>'дод 3'!K180</f>
        <v>0</v>
      </c>
      <c r="K116" s="49">
        <f>'дод 3'!L180</f>
        <v>96200</v>
      </c>
      <c r="L116" s="49">
        <f>'дод 3'!M180</f>
        <v>75000</v>
      </c>
      <c r="M116" s="49">
        <f>'дод 3'!N180</f>
        <v>0</v>
      </c>
      <c r="N116" s="49">
        <f>'дод 3'!O180</f>
        <v>0</v>
      </c>
      <c r="O116" s="49">
        <f>'дод 3'!P180</f>
        <v>18486117.48</v>
      </c>
    </row>
    <row r="117" spans="1:15" ht="69.75" customHeight="1" x14ac:dyDescent="0.25">
      <c r="A117" s="37" t="s">
        <v>332</v>
      </c>
      <c r="B117" s="37" t="s">
        <v>100</v>
      </c>
      <c r="C117" s="36" t="s">
        <v>333</v>
      </c>
      <c r="D117" s="49">
        <f>SUM('дод 3'!E206)</f>
        <v>91140</v>
      </c>
      <c r="E117" s="49">
        <f>SUM('дод 3'!F206)</f>
        <v>91140</v>
      </c>
      <c r="F117" s="49">
        <f>SUM('дод 3'!G206)</f>
        <v>0</v>
      </c>
      <c r="G117" s="49">
        <f>SUM('дод 3'!H206)</f>
        <v>0</v>
      </c>
      <c r="H117" s="49">
        <f>SUM('дод 3'!I206)</f>
        <v>0</v>
      </c>
      <c r="I117" s="49">
        <f>SUM('дод 3'!J206)</f>
        <v>0</v>
      </c>
      <c r="J117" s="49">
        <f>SUM('дод 3'!K206)</f>
        <v>0</v>
      </c>
      <c r="K117" s="49">
        <f>SUM('дод 3'!L206)</f>
        <v>0</v>
      </c>
      <c r="L117" s="49">
        <f>SUM('дод 3'!M206)</f>
        <v>0</v>
      </c>
      <c r="M117" s="49">
        <f>SUM('дод 3'!N206)</f>
        <v>0</v>
      </c>
      <c r="N117" s="49">
        <f>SUM('дод 3'!O206)</f>
        <v>0</v>
      </c>
      <c r="O117" s="49">
        <f>SUM('дод 3'!P206)</f>
        <v>91140</v>
      </c>
    </row>
    <row r="118" spans="1:15" s="54" customFormat="1" ht="36" customHeight="1" x14ac:dyDescent="0.25">
      <c r="A118" s="37" t="s">
        <v>103</v>
      </c>
      <c r="B118" s="37" t="s">
        <v>100</v>
      </c>
      <c r="C118" s="3" t="s">
        <v>31</v>
      </c>
      <c r="D118" s="49">
        <f>'дод 3'!E207</f>
        <v>93040</v>
      </c>
      <c r="E118" s="49">
        <f>'дод 3'!F207</f>
        <v>93040</v>
      </c>
      <c r="F118" s="49">
        <f>'дод 3'!G207</f>
        <v>0</v>
      </c>
      <c r="G118" s="49">
        <f>'дод 3'!H207</f>
        <v>0</v>
      </c>
      <c r="H118" s="49">
        <f>'дод 3'!I207</f>
        <v>0</v>
      </c>
      <c r="I118" s="49">
        <f>'дод 3'!J207</f>
        <v>0</v>
      </c>
      <c r="J118" s="49">
        <f>'дод 3'!K207</f>
        <v>0</v>
      </c>
      <c r="K118" s="49">
        <f>'дод 3'!L207</f>
        <v>0</v>
      </c>
      <c r="L118" s="49">
        <f>'дод 3'!M207</f>
        <v>0</v>
      </c>
      <c r="M118" s="49">
        <f>'дод 3'!N207</f>
        <v>0</v>
      </c>
      <c r="N118" s="49">
        <f>'дод 3'!O207</f>
        <v>0</v>
      </c>
      <c r="O118" s="49">
        <f>'дод 3'!P207</f>
        <v>93040</v>
      </c>
    </row>
    <row r="119" spans="1:15" s="54" customFormat="1" ht="38.25" customHeight="1" x14ac:dyDescent="0.25">
      <c r="A119" s="37" t="s">
        <v>126</v>
      </c>
      <c r="B119" s="37" t="s">
        <v>100</v>
      </c>
      <c r="C119" s="3" t="s">
        <v>501</v>
      </c>
      <c r="D119" s="49">
        <f>'дод 3'!E28</f>
        <v>3220140</v>
      </c>
      <c r="E119" s="49">
        <f>'дод 3'!F28</f>
        <v>3220140</v>
      </c>
      <c r="F119" s="49">
        <f>'дод 3'!G28</f>
        <v>2407050</v>
      </c>
      <c r="G119" s="49">
        <f>'дод 3'!H28</f>
        <v>53330</v>
      </c>
      <c r="H119" s="49">
        <f>'дод 3'!I28</f>
        <v>0</v>
      </c>
      <c r="I119" s="49">
        <f>'дод 3'!J28</f>
        <v>0</v>
      </c>
      <c r="J119" s="49">
        <f>'дод 3'!K28</f>
        <v>0</v>
      </c>
      <c r="K119" s="49">
        <f>'дод 3'!L28</f>
        <v>0</v>
      </c>
      <c r="L119" s="49">
        <f>'дод 3'!M28</f>
        <v>0</v>
      </c>
      <c r="M119" s="49">
        <f>'дод 3'!N28</f>
        <v>0</v>
      </c>
      <c r="N119" s="49">
        <f>'дод 3'!O28</f>
        <v>0</v>
      </c>
      <c r="O119" s="49">
        <f>'дод 3'!P28</f>
        <v>3220140</v>
      </c>
    </row>
    <row r="120" spans="1:15" s="54" customFormat="1" ht="43.5" customHeight="1" x14ac:dyDescent="0.25">
      <c r="A120" s="40" t="s">
        <v>107</v>
      </c>
      <c r="B120" s="40" t="s">
        <v>100</v>
      </c>
      <c r="C120" s="3" t="s">
        <v>340</v>
      </c>
      <c r="D120" s="49">
        <f>'дод 3'!E29</f>
        <v>783850</v>
      </c>
      <c r="E120" s="49">
        <f>'дод 3'!F29</f>
        <v>783850</v>
      </c>
      <c r="F120" s="49">
        <f>'дод 3'!G29</f>
        <v>0</v>
      </c>
      <c r="G120" s="49">
        <f>'дод 3'!H29</f>
        <v>0</v>
      </c>
      <c r="H120" s="49">
        <f>'дод 3'!I29</f>
        <v>0</v>
      </c>
      <c r="I120" s="49">
        <f>'дод 3'!J29</f>
        <v>0</v>
      </c>
      <c r="J120" s="49">
        <f>'дод 3'!K29</f>
        <v>0</v>
      </c>
      <c r="K120" s="49">
        <f>'дод 3'!L29</f>
        <v>0</v>
      </c>
      <c r="L120" s="49">
        <f>'дод 3'!M29</f>
        <v>0</v>
      </c>
      <c r="M120" s="49">
        <f>'дод 3'!N29</f>
        <v>0</v>
      </c>
      <c r="N120" s="49">
        <f>'дод 3'!O29</f>
        <v>0</v>
      </c>
      <c r="O120" s="49">
        <f>'дод 3'!P29</f>
        <v>783850</v>
      </c>
    </row>
    <row r="121" spans="1:15" ht="69" customHeight="1" x14ac:dyDescent="0.25">
      <c r="A121" s="37" t="s">
        <v>108</v>
      </c>
      <c r="B121" s="37" t="s">
        <v>100</v>
      </c>
      <c r="C121" s="6" t="s">
        <v>20</v>
      </c>
      <c r="D121" s="49">
        <f>'дод 3'!E30+'дод 3'!E112</f>
        <v>5780000</v>
      </c>
      <c r="E121" s="49">
        <f>'дод 3'!F30+'дод 3'!F112</f>
        <v>5780000</v>
      </c>
      <c r="F121" s="49">
        <f>'дод 3'!G30+'дод 3'!G112</f>
        <v>0</v>
      </c>
      <c r="G121" s="49">
        <f>'дод 3'!H30+'дод 3'!H112</f>
        <v>0</v>
      </c>
      <c r="H121" s="49">
        <f>'дод 3'!I30+'дод 3'!I112</f>
        <v>0</v>
      </c>
      <c r="I121" s="49">
        <f>'дод 3'!J30+'дод 3'!J112</f>
        <v>0</v>
      </c>
      <c r="J121" s="49">
        <f>'дод 3'!K30+'дод 3'!K112</f>
        <v>0</v>
      </c>
      <c r="K121" s="49">
        <f>'дод 3'!L30+'дод 3'!L112</f>
        <v>0</v>
      </c>
      <c r="L121" s="49">
        <f>'дод 3'!M30+'дод 3'!M112</f>
        <v>0</v>
      </c>
      <c r="M121" s="49">
        <f>'дод 3'!N30+'дод 3'!N112</f>
        <v>0</v>
      </c>
      <c r="N121" s="49">
        <f>'дод 3'!O30+'дод 3'!O112</f>
        <v>0</v>
      </c>
      <c r="O121" s="49">
        <f>'дод 3'!P30+'дод 3'!P112</f>
        <v>5780000</v>
      </c>
    </row>
    <row r="122" spans="1:15" ht="78.75" x14ac:dyDescent="0.25">
      <c r="A122" s="37" t="s">
        <v>109</v>
      </c>
      <c r="B122" s="37">
        <v>1010</v>
      </c>
      <c r="C122" s="3" t="s">
        <v>286</v>
      </c>
      <c r="D122" s="49">
        <f>'дод 3'!E181</f>
        <v>3956000</v>
      </c>
      <c r="E122" s="49">
        <f>'дод 3'!F181</f>
        <v>3956000</v>
      </c>
      <c r="F122" s="49">
        <f>'дод 3'!G181</f>
        <v>0</v>
      </c>
      <c r="G122" s="49">
        <f>'дод 3'!H181</f>
        <v>0</v>
      </c>
      <c r="H122" s="49">
        <f>'дод 3'!I181</f>
        <v>0</v>
      </c>
      <c r="I122" s="49">
        <f>'дод 3'!J181</f>
        <v>0</v>
      </c>
      <c r="J122" s="49">
        <f>'дод 3'!K181</f>
        <v>0</v>
      </c>
      <c r="K122" s="49">
        <f>'дод 3'!L181</f>
        <v>0</v>
      </c>
      <c r="L122" s="49">
        <f>'дод 3'!M181</f>
        <v>0</v>
      </c>
      <c r="M122" s="49">
        <f>'дод 3'!N181</f>
        <v>0</v>
      </c>
      <c r="N122" s="49">
        <f>'дод 3'!O181</f>
        <v>0</v>
      </c>
      <c r="O122" s="49">
        <f>'дод 3'!P181</f>
        <v>3956000</v>
      </c>
    </row>
    <row r="123" spans="1:15" s="54" customFormat="1" ht="63" x14ac:dyDescent="0.25">
      <c r="A123" s="37" t="s">
        <v>316</v>
      </c>
      <c r="B123" s="37">
        <v>1010</v>
      </c>
      <c r="C123" s="3" t="s">
        <v>405</v>
      </c>
      <c r="D123" s="49">
        <f>'дод 3'!E182</f>
        <v>198209</v>
      </c>
      <c r="E123" s="49">
        <f>'дод 3'!F182</f>
        <v>198209</v>
      </c>
      <c r="F123" s="49">
        <f>'дод 3'!G182</f>
        <v>0</v>
      </c>
      <c r="G123" s="49">
        <f>'дод 3'!H182</f>
        <v>0</v>
      </c>
      <c r="H123" s="49">
        <f>'дод 3'!I182</f>
        <v>0</v>
      </c>
      <c r="I123" s="49">
        <f>'дод 3'!J182</f>
        <v>0</v>
      </c>
      <c r="J123" s="49">
        <f>'дод 3'!K182</f>
        <v>0</v>
      </c>
      <c r="K123" s="49">
        <f>'дод 3'!L182</f>
        <v>0</v>
      </c>
      <c r="L123" s="49">
        <f>'дод 3'!M182</f>
        <v>0</v>
      </c>
      <c r="M123" s="49">
        <f>'дод 3'!N182</f>
        <v>0</v>
      </c>
      <c r="N123" s="49">
        <f>'дод 3'!O182</f>
        <v>0</v>
      </c>
      <c r="O123" s="49">
        <f>'дод 3'!P182</f>
        <v>198209</v>
      </c>
    </row>
    <row r="124" spans="1:15" s="54" customFormat="1" x14ac:dyDescent="0.25">
      <c r="A124" s="78"/>
      <c r="B124" s="78"/>
      <c r="C124" s="79" t="s">
        <v>393</v>
      </c>
      <c r="D124" s="80">
        <f>'дод 3'!E183</f>
        <v>198209</v>
      </c>
      <c r="E124" s="80">
        <f>'дод 3'!F183</f>
        <v>198209</v>
      </c>
      <c r="F124" s="80">
        <f>'дод 3'!G183</f>
        <v>0</v>
      </c>
      <c r="G124" s="80">
        <f>'дод 3'!H183</f>
        <v>0</v>
      </c>
      <c r="H124" s="80">
        <f>'дод 3'!I183</f>
        <v>0</v>
      </c>
      <c r="I124" s="80">
        <f>'дод 3'!J183</f>
        <v>0</v>
      </c>
      <c r="J124" s="80">
        <f>'дод 3'!K183</f>
        <v>0</v>
      </c>
      <c r="K124" s="80">
        <f>'дод 3'!L183</f>
        <v>0</v>
      </c>
      <c r="L124" s="80">
        <f>'дод 3'!M183</f>
        <v>0</v>
      </c>
      <c r="M124" s="80">
        <f>'дод 3'!N183</f>
        <v>0</v>
      </c>
      <c r="N124" s="80">
        <f>'дод 3'!O183</f>
        <v>0</v>
      </c>
      <c r="O124" s="80">
        <f>'дод 3'!P183</f>
        <v>198209</v>
      </c>
    </row>
    <row r="125" spans="1:15" s="54" customFormat="1" ht="36" customHeight="1" x14ac:dyDescent="0.25">
      <c r="A125" s="37" t="s">
        <v>317</v>
      </c>
      <c r="B125" s="37">
        <v>1010</v>
      </c>
      <c r="C125" s="3" t="s">
        <v>406</v>
      </c>
      <c r="D125" s="49">
        <f>'дод 3'!E184</f>
        <v>90</v>
      </c>
      <c r="E125" s="49">
        <f>'дод 3'!F184</f>
        <v>90</v>
      </c>
      <c r="F125" s="49">
        <f>'дод 3'!G184</f>
        <v>0</v>
      </c>
      <c r="G125" s="49">
        <f>'дод 3'!H184</f>
        <v>0</v>
      </c>
      <c r="H125" s="49">
        <f>'дод 3'!I184</f>
        <v>0</v>
      </c>
      <c r="I125" s="49">
        <f>'дод 3'!J184</f>
        <v>0</v>
      </c>
      <c r="J125" s="49">
        <f>'дод 3'!K184</f>
        <v>0</v>
      </c>
      <c r="K125" s="49">
        <f>'дод 3'!L184</f>
        <v>0</v>
      </c>
      <c r="L125" s="49">
        <f>'дод 3'!M184</f>
        <v>0</v>
      </c>
      <c r="M125" s="49">
        <f>'дод 3'!N184</f>
        <v>0</v>
      </c>
      <c r="N125" s="49">
        <f>'дод 3'!O184</f>
        <v>0</v>
      </c>
      <c r="O125" s="49">
        <f>'дод 3'!P184</f>
        <v>90</v>
      </c>
    </row>
    <row r="126" spans="1:15" s="54" customFormat="1" x14ac:dyDescent="0.25">
      <c r="A126" s="78"/>
      <c r="B126" s="78"/>
      <c r="C126" s="79" t="s">
        <v>393</v>
      </c>
      <c r="D126" s="80">
        <f>'дод 3'!E185</f>
        <v>90</v>
      </c>
      <c r="E126" s="80">
        <f>'дод 3'!F185</f>
        <v>90</v>
      </c>
      <c r="F126" s="80">
        <f>'дод 3'!G185</f>
        <v>0</v>
      </c>
      <c r="G126" s="80">
        <f>'дод 3'!H185</f>
        <v>0</v>
      </c>
      <c r="H126" s="80">
        <f>'дод 3'!I185</f>
        <v>0</v>
      </c>
      <c r="I126" s="80">
        <f>'дод 3'!J185</f>
        <v>0</v>
      </c>
      <c r="J126" s="80">
        <f>'дод 3'!K185</f>
        <v>0</v>
      </c>
      <c r="K126" s="80">
        <f>'дод 3'!L185</f>
        <v>0</v>
      </c>
      <c r="L126" s="80">
        <f>'дод 3'!M185</f>
        <v>0</v>
      </c>
      <c r="M126" s="80">
        <f>'дод 3'!N185</f>
        <v>0</v>
      </c>
      <c r="N126" s="80">
        <f>'дод 3'!O185</f>
        <v>0</v>
      </c>
      <c r="O126" s="80">
        <f>'дод 3'!P185</f>
        <v>90</v>
      </c>
    </row>
    <row r="127" spans="1:15" ht="72.75" customHeight="1" x14ac:dyDescent="0.25">
      <c r="A127" s="37" t="s">
        <v>104</v>
      </c>
      <c r="B127" s="37" t="s">
        <v>53</v>
      </c>
      <c r="C127" s="3" t="s">
        <v>341</v>
      </c>
      <c r="D127" s="49">
        <f>'дод 3'!E186</f>
        <v>2452811</v>
      </c>
      <c r="E127" s="49">
        <f>'дод 3'!F186</f>
        <v>2452811</v>
      </c>
      <c r="F127" s="49">
        <f>'дод 3'!G186</f>
        <v>0</v>
      </c>
      <c r="G127" s="49">
        <f>'дод 3'!H186</f>
        <v>0</v>
      </c>
      <c r="H127" s="49">
        <f>'дод 3'!I186</f>
        <v>0</v>
      </c>
      <c r="I127" s="49">
        <f>'дод 3'!J186</f>
        <v>0</v>
      </c>
      <c r="J127" s="49">
        <f>'дод 3'!K186</f>
        <v>0</v>
      </c>
      <c r="K127" s="49">
        <f>'дод 3'!L186</f>
        <v>0</v>
      </c>
      <c r="L127" s="49">
        <f>'дод 3'!M186</f>
        <v>0</v>
      </c>
      <c r="M127" s="49">
        <f>'дод 3'!N186</f>
        <v>0</v>
      </c>
      <c r="N127" s="49">
        <f>'дод 3'!O186</f>
        <v>0</v>
      </c>
      <c r="O127" s="49">
        <f>'дод 3'!P186</f>
        <v>2452811</v>
      </c>
    </row>
    <row r="128" spans="1:15" s="54" customFormat="1" ht="19.5" customHeight="1" x14ac:dyDescent="0.25">
      <c r="A128" s="37" t="s">
        <v>287</v>
      </c>
      <c r="B128" s="37" t="s">
        <v>52</v>
      </c>
      <c r="C128" s="3" t="s">
        <v>18</v>
      </c>
      <c r="D128" s="49">
        <f>'дод 3'!E187</f>
        <v>1952159</v>
      </c>
      <c r="E128" s="49">
        <f>'дод 3'!F187</f>
        <v>1952159</v>
      </c>
      <c r="F128" s="49">
        <f>'дод 3'!G187</f>
        <v>0</v>
      </c>
      <c r="G128" s="49">
        <f>'дод 3'!H187</f>
        <v>0</v>
      </c>
      <c r="H128" s="49">
        <f>'дод 3'!I187</f>
        <v>0</v>
      </c>
      <c r="I128" s="49">
        <f>'дод 3'!J187</f>
        <v>0</v>
      </c>
      <c r="J128" s="49">
        <f>'дод 3'!K187</f>
        <v>0</v>
      </c>
      <c r="K128" s="49">
        <f>'дод 3'!L187</f>
        <v>0</v>
      </c>
      <c r="L128" s="49">
        <f>'дод 3'!M187</f>
        <v>0</v>
      </c>
      <c r="M128" s="49">
        <f>'дод 3'!N187</f>
        <v>0</v>
      </c>
      <c r="N128" s="49">
        <f>'дод 3'!O187</f>
        <v>0</v>
      </c>
      <c r="O128" s="49">
        <f>'дод 3'!P187</f>
        <v>1952159</v>
      </c>
    </row>
    <row r="129" spans="1:15" s="54" customFormat="1" ht="51" customHeight="1" x14ac:dyDescent="0.25">
      <c r="A129" s="37" t="s">
        <v>288</v>
      </c>
      <c r="B129" s="37" t="s">
        <v>52</v>
      </c>
      <c r="C129" s="60" t="s">
        <v>502</v>
      </c>
      <c r="D129" s="49">
        <f>'дод 3'!E188</f>
        <v>2250688</v>
      </c>
      <c r="E129" s="49">
        <f>'дод 3'!F188</f>
        <v>2250688</v>
      </c>
      <c r="F129" s="49">
        <f>'дод 3'!G188</f>
        <v>0</v>
      </c>
      <c r="G129" s="49">
        <f>'дод 3'!H188</f>
        <v>0</v>
      </c>
      <c r="H129" s="49">
        <f>'дод 3'!I188</f>
        <v>0</v>
      </c>
      <c r="I129" s="49">
        <f>'дод 3'!J188</f>
        <v>0</v>
      </c>
      <c r="J129" s="49">
        <f>'дод 3'!K188</f>
        <v>0</v>
      </c>
      <c r="K129" s="49">
        <f>'дод 3'!L188</f>
        <v>0</v>
      </c>
      <c r="L129" s="49">
        <f>'дод 3'!M188</f>
        <v>0</v>
      </c>
      <c r="M129" s="49">
        <f>'дод 3'!N188</f>
        <v>0</v>
      </c>
      <c r="N129" s="49">
        <f>'дод 3'!O188</f>
        <v>0</v>
      </c>
      <c r="O129" s="49">
        <f>'дод 3'!P188</f>
        <v>2250688</v>
      </c>
    </row>
    <row r="130" spans="1:15" ht="36.75" customHeight="1" x14ac:dyDescent="0.25">
      <c r="A130" s="37" t="s">
        <v>105</v>
      </c>
      <c r="B130" s="37" t="s">
        <v>56</v>
      </c>
      <c r="C130" s="3" t="s">
        <v>342</v>
      </c>
      <c r="D130" s="49">
        <f>'дод 3'!E189</f>
        <v>92000</v>
      </c>
      <c r="E130" s="49">
        <f>'дод 3'!F189</f>
        <v>92000</v>
      </c>
      <c r="F130" s="49">
        <f>'дод 3'!G189</f>
        <v>0</v>
      </c>
      <c r="G130" s="49">
        <f>'дод 3'!H189</f>
        <v>0</v>
      </c>
      <c r="H130" s="49">
        <f>'дод 3'!I189</f>
        <v>0</v>
      </c>
      <c r="I130" s="49">
        <f>'дод 3'!J189</f>
        <v>0</v>
      </c>
      <c r="J130" s="49">
        <f>'дод 3'!K189</f>
        <v>0</v>
      </c>
      <c r="K130" s="49">
        <f>'дод 3'!L189</f>
        <v>0</v>
      </c>
      <c r="L130" s="49">
        <f>'дод 3'!M189</f>
        <v>0</v>
      </c>
      <c r="M130" s="49">
        <f>'дод 3'!N189</f>
        <v>0</v>
      </c>
      <c r="N130" s="49">
        <f>'дод 3'!O189</f>
        <v>0</v>
      </c>
      <c r="O130" s="49">
        <f>'дод 3'!P189</f>
        <v>92000</v>
      </c>
    </row>
    <row r="131" spans="1:15" ht="20.25" customHeight="1" x14ac:dyDescent="0.25">
      <c r="A131" s="37" t="s">
        <v>289</v>
      </c>
      <c r="B131" s="37" t="s">
        <v>106</v>
      </c>
      <c r="C131" s="3" t="s">
        <v>37</v>
      </c>
      <c r="D131" s="49">
        <f>'дод 3'!E190+'дод 3'!E231</f>
        <v>210000</v>
      </c>
      <c r="E131" s="49">
        <f>'дод 3'!F190+'дод 3'!F231</f>
        <v>210000</v>
      </c>
      <c r="F131" s="49">
        <f>'дод 3'!G190+'дод 3'!G231</f>
        <v>40900</v>
      </c>
      <c r="G131" s="49">
        <f>'дод 3'!H190+'дод 3'!H231</f>
        <v>0</v>
      </c>
      <c r="H131" s="49">
        <f>'дод 3'!I190+'дод 3'!I231</f>
        <v>0</v>
      </c>
      <c r="I131" s="49">
        <f>'дод 3'!J190+'дод 3'!J231</f>
        <v>0</v>
      </c>
      <c r="J131" s="49">
        <f>'дод 3'!K190+'дод 3'!K231</f>
        <v>0</v>
      </c>
      <c r="K131" s="49">
        <f>'дод 3'!L190+'дод 3'!L231</f>
        <v>0</v>
      </c>
      <c r="L131" s="49">
        <f>'дод 3'!M190+'дод 3'!M231</f>
        <v>0</v>
      </c>
      <c r="M131" s="49">
        <f>'дод 3'!N190+'дод 3'!N231</f>
        <v>0</v>
      </c>
      <c r="N131" s="49">
        <f>'дод 3'!O190+'дод 3'!O231</f>
        <v>0</v>
      </c>
      <c r="O131" s="49">
        <f>'дод 3'!P190+'дод 3'!P231</f>
        <v>210000</v>
      </c>
    </row>
    <row r="132" spans="1:15" ht="240.75" customHeight="1" x14ac:dyDescent="0.25">
      <c r="A132" s="37">
        <v>3221</v>
      </c>
      <c r="B132" s="58" t="s">
        <v>53</v>
      </c>
      <c r="C132" s="36" t="s">
        <v>585</v>
      </c>
      <c r="D132" s="49">
        <f>'дод 3'!E191</f>
        <v>0</v>
      </c>
      <c r="E132" s="49">
        <f>'дод 3'!F191</f>
        <v>0</v>
      </c>
      <c r="F132" s="49">
        <f>'дод 3'!G191</f>
        <v>0</v>
      </c>
      <c r="G132" s="49">
        <f>'дод 3'!H191</f>
        <v>0</v>
      </c>
      <c r="H132" s="49">
        <f>'дод 3'!I191</f>
        <v>0</v>
      </c>
      <c r="I132" s="49">
        <f>'дод 3'!J191</f>
        <v>975480.06</v>
      </c>
      <c r="J132" s="49">
        <f>'дод 3'!K191</f>
        <v>975480.06</v>
      </c>
      <c r="K132" s="49">
        <f>'дод 3'!L191</f>
        <v>0</v>
      </c>
      <c r="L132" s="49">
        <f>'дод 3'!M191</f>
        <v>0</v>
      </c>
      <c r="M132" s="49">
        <f>'дод 3'!N191</f>
        <v>0</v>
      </c>
      <c r="N132" s="49">
        <f>'дод 3'!O191</f>
        <v>975480.06</v>
      </c>
      <c r="O132" s="49">
        <f>'дод 3'!P191</f>
        <v>975480.06</v>
      </c>
    </row>
    <row r="133" spans="1:15" s="54" customFormat="1" ht="267.75" customHeight="1" x14ac:dyDescent="0.25">
      <c r="A133" s="78"/>
      <c r="B133" s="89"/>
      <c r="C133" s="87" t="s">
        <v>583</v>
      </c>
      <c r="D133" s="80">
        <f>'дод 3'!E192</f>
        <v>0</v>
      </c>
      <c r="E133" s="80">
        <f>'дод 3'!F192</f>
        <v>0</v>
      </c>
      <c r="F133" s="80">
        <f>'дод 3'!G192</f>
        <v>0</v>
      </c>
      <c r="G133" s="80">
        <f>'дод 3'!H192</f>
        <v>0</v>
      </c>
      <c r="H133" s="80">
        <f>'дод 3'!I192</f>
        <v>0</v>
      </c>
      <c r="I133" s="80">
        <f>'дод 3'!J192</f>
        <v>975480.06</v>
      </c>
      <c r="J133" s="80">
        <f>'дод 3'!K192</f>
        <v>975480.06</v>
      </c>
      <c r="K133" s="80">
        <f>'дод 3'!L192</f>
        <v>0</v>
      </c>
      <c r="L133" s="80">
        <f>'дод 3'!M192</f>
        <v>0</v>
      </c>
      <c r="M133" s="80">
        <f>'дод 3'!N192</f>
        <v>0</v>
      </c>
      <c r="N133" s="80">
        <f>'дод 3'!O192</f>
        <v>975480.06</v>
      </c>
      <c r="O133" s="80">
        <f>'дод 3'!P192</f>
        <v>975480.06</v>
      </c>
    </row>
    <row r="134" spans="1:15" s="54" customFormat="1" ht="293.25" customHeight="1" x14ac:dyDescent="0.25">
      <c r="A134" s="42">
        <v>3222</v>
      </c>
      <c r="B134" s="103" t="s">
        <v>53</v>
      </c>
      <c r="C134" s="36" t="s">
        <v>608</v>
      </c>
      <c r="D134" s="49">
        <f>'дод 3'!E193</f>
        <v>0</v>
      </c>
      <c r="E134" s="49">
        <f>'дод 3'!F193</f>
        <v>0</v>
      </c>
      <c r="F134" s="49">
        <f>'дод 3'!G193</f>
        <v>0</v>
      </c>
      <c r="G134" s="49">
        <f>'дод 3'!H193</f>
        <v>0</v>
      </c>
      <c r="H134" s="49">
        <f>'дод 3'!I193</f>
        <v>0</v>
      </c>
      <c r="I134" s="49">
        <f>'дод 3'!J193</f>
        <v>1176130.99</v>
      </c>
      <c r="J134" s="49">
        <f>'дод 3'!K193</f>
        <v>1176130.99</v>
      </c>
      <c r="K134" s="49">
        <f>'дод 3'!L193</f>
        <v>0</v>
      </c>
      <c r="L134" s="49">
        <f>'дод 3'!M193</f>
        <v>0</v>
      </c>
      <c r="M134" s="49">
        <f>'дод 3'!N193</f>
        <v>0</v>
      </c>
      <c r="N134" s="49">
        <f>'дод 3'!O193</f>
        <v>1176130.99</v>
      </c>
      <c r="O134" s="49">
        <f>'дод 3'!P193</f>
        <v>1176130.99</v>
      </c>
    </row>
    <row r="135" spans="1:15" s="54" customFormat="1" ht="333.75" customHeight="1" x14ac:dyDescent="0.25">
      <c r="A135" s="78"/>
      <c r="B135" s="89"/>
      <c r="C135" s="87" t="s">
        <v>609</v>
      </c>
      <c r="D135" s="80">
        <f>'дод 3'!E194</f>
        <v>0</v>
      </c>
      <c r="E135" s="80">
        <f>'дод 3'!F194</f>
        <v>0</v>
      </c>
      <c r="F135" s="80">
        <f>'дод 3'!G194</f>
        <v>0</v>
      </c>
      <c r="G135" s="80">
        <f>'дод 3'!H194</f>
        <v>0</v>
      </c>
      <c r="H135" s="80">
        <f>'дод 3'!I194</f>
        <v>0</v>
      </c>
      <c r="I135" s="80">
        <f>'дод 3'!J194</f>
        <v>1176130.99</v>
      </c>
      <c r="J135" s="80">
        <f>'дод 3'!K194</f>
        <v>1176130.99</v>
      </c>
      <c r="K135" s="80">
        <f>'дод 3'!L194</f>
        <v>0</v>
      </c>
      <c r="L135" s="80">
        <f>'дод 3'!M194</f>
        <v>0</v>
      </c>
      <c r="M135" s="80">
        <f>'дод 3'!N194</f>
        <v>0</v>
      </c>
      <c r="N135" s="80">
        <f>'дод 3'!O194</f>
        <v>1176130.99</v>
      </c>
      <c r="O135" s="80">
        <f>'дод 3'!P194</f>
        <v>1176130.99</v>
      </c>
    </row>
    <row r="136" spans="1:15" ht="204.75" hidden="1" x14ac:dyDescent="0.25">
      <c r="A136" s="37">
        <v>3223</v>
      </c>
      <c r="B136" s="58" t="s">
        <v>53</v>
      </c>
      <c r="C136" s="36" t="s">
        <v>442</v>
      </c>
      <c r="D136" s="49">
        <f>'дод 3'!E195</f>
        <v>0</v>
      </c>
      <c r="E136" s="49">
        <f>'дод 3'!F195</f>
        <v>0</v>
      </c>
      <c r="F136" s="49">
        <f>'дод 3'!G195</f>
        <v>0</v>
      </c>
      <c r="G136" s="49">
        <f>'дод 3'!H195</f>
        <v>0</v>
      </c>
      <c r="H136" s="49">
        <f>'дод 3'!I195</f>
        <v>0</v>
      </c>
      <c r="I136" s="49">
        <f>'дод 3'!J195</f>
        <v>0</v>
      </c>
      <c r="J136" s="49">
        <f>'дод 3'!K195</f>
        <v>0</v>
      </c>
      <c r="K136" s="49">
        <f>'дод 3'!L195</f>
        <v>0</v>
      </c>
      <c r="L136" s="49">
        <f>'дод 3'!M195</f>
        <v>0</v>
      </c>
      <c r="M136" s="49">
        <f>'дод 3'!N195</f>
        <v>0</v>
      </c>
      <c r="N136" s="49">
        <f>'дод 3'!O195</f>
        <v>0</v>
      </c>
      <c r="O136" s="49">
        <f>'дод 3'!P195</f>
        <v>0</v>
      </c>
    </row>
    <row r="137" spans="1:15" s="54" customFormat="1" ht="236.25" hidden="1" x14ac:dyDescent="0.25">
      <c r="A137" s="78"/>
      <c r="B137" s="89"/>
      <c r="C137" s="87" t="s">
        <v>443</v>
      </c>
      <c r="D137" s="80">
        <f>'дод 3'!E196</f>
        <v>0</v>
      </c>
      <c r="E137" s="80">
        <f>'дод 3'!F196</f>
        <v>0</v>
      </c>
      <c r="F137" s="80">
        <f>'дод 3'!G196</f>
        <v>0</v>
      </c>
      <c r="G137" s="80">
        <f>'дод 3'!H196</f>
        <v>0</v>
      </c>
      <c r="H137" s="80">
        <f>'дод 3'!I196</f>
        <v>0</v>
      </c>
      <c r="I137" s="80">
        <f>'дод 3'!J196</f>
        <v>0</v>
      </c>
      <c r="J137" s="80">
        <f>'дод 3'!K196</f>
        <v>0</v>
      </c>
      <c r="K137" s="80">
        <f>'дод 3'!L196</f>
        <v>0</v>
      </c>
      <c r="L137" s="80">
        <f>'дод 3'!M196</f>
        <v>0</v>
      </c>
      <c r="M137" s="80">
        <f>'дод 3'!N196</f>
        <v>0</v>
      </c>
      <c r="N137" s="80">
        <f>'дод 3'!O196</f>
        <v>0</v>
      </c>
      <c r="O137" s="80">
        <f>'дод 3'!P196</f>
        <v>0</v>
      </c>
    </row>
    <row r="138" spans="1:15" s="54" customFormat="1" ht="32.25" customHeight="1" x14ac:dyDescent="0.25">
      <c r="A138" s="37" t="s">
        <v>290</v>
      </c>
      <c r="B138" s="37" t="s">
        <v>56</v>
      </c>
      <c r="C138" s="3" t="s">
        <v>292</v>
      </c>
      <c r="D138" s="49">
        <f>'дод 3'!E197+'дод 3'!E31</f>
        <v>7724562.0800000001</v>
      </c>
      <c r="E138" s="49">
        <f>'дод 3'!F197+'дод 3'!F31</f>
        <v>7724562.0800000001</v>
      </c>
      <c r="F138" s="49">
        <f>'дод 3'!G197+'дод 3'!G31</f>
        <v>4677435.34</v>
      </c>
      <c r="G138" s="49">
        <f>'дод 3'!H197+'дод 3'!H31</f>
        <v>504586.6</v>
      </c>
      <c r="H138" s="49">
        <f>'дод 3'!I197+'дод 3'!I31</f>
        <v>0</v>
      </c>
      <c r="I138" s="49">
        <f>'дод 3'!J197+'дод 3'!J31</f>
        <v>160800</v>
      </c>
      <c r="J138" s="49">
        <f>'дод 3'!K197+'дод 3'!K31</f>
        <v>160800</v>
      </c>
      <c r="K138" s="49">
        <f>'дод 3'!L197+'дод 3'!L31</f>
        <v>0</v>
      </c>
      <c r="L138" s="49">
        <f>'дод 3'!M197+'дод 3'!M31</f>
        <v>0</v>
      </c>
      <c r="M138" s="49">
        <f>'дод 3'!N197+'дод 3'!N31</f>
        <v>0</v>
      </c>
      <c r="N138" s="49">
        <f>'дод 3'!O197+'дод 3'!O31</f>
        <v>160800</v>
      </c>
      <c r="O138" s="49">
        <f>'дод 3'!P197+'дод 3'!P31</f>
        <v>7885362.0800000001</v>
      </c>
    </row>
    <row r="139" spans="1:15" s="54" customFormat="1" ht="31.5" customHeight="1" x14ac:dyDescent="0.25">
      <c r="A139" s="37" t="s">
        <v>291</v>
      </c>
      <c r="B139" s="37" t="s">
        <v>56</v>
      </c>
      <c r="C139" s="3" t="s">
        <v>515</v>
      </c>
      <c r="D139" s="49">
        <f>'дод 3'!E32+'дод 3'!E113+'дод 3'!E198</f>
        <v>39827249.549999997</v>
      </c>
      <c r="E139" s="49">
        <f>'дод 3'!F32+'дод 3'!F113+'дод 3'!F198</f>
        <v>39827249.549999997</v>
      </c>
      <c r="F139" s="49">
        <f>'дод 3'!G32+'дод 3'!G113+'дод 3'!G198</f>
        <v>0</v>
      </c>
      <c r="G139" s="49">
        <f>'дод 3'!H32+'дод 3'!H113+'дод 3'!H198</f>
        <v>0</v>
      </c>
      <c r="H139" s="49">
        <f>'дод 3'!I32+'дод 3'!I113+'дод 3'!I198</f>
        <v>0</v>
      </c>
      <c r="I139" s="49">
        <f>'дод 3'!J32+'дод 3'!J113+'дод 3'!J198</f>
        <v>57000</v>
      </c>
      <c r="J139" s="49">
        <f>'дод 3'!K32+'дод 3'!K113+'дод 3'!K198</f>
        <v>57000</v>
      </c>
      <c r="K139" s="49">
        <f>'дод 3'!L32+'дод 3'!L113+'дод 3'!L198</f>
        <v>0</v>
      </c>
      <c r="L139" s="49">
        <f>'дод 3'!M32+'дод 3'!M113+'дод 3'!M198</f>
        <v>0</v>
      </c>
      <c r="M139" s="49">
        <f>'дод 3'!N32+'дод 3'!N113+'дод 3'!N198</f>
        <v>0</v>
      </c>
      <c r="N139" s="49">
        <f>'дод 3'!O32+'дод 3'!O113+'дод 3'!O198</f>
        <v>57000</v>
      </c>
      <c r="O139" s="49">
        <f>'дод 3'!P32+'дод 3'!P113+'дод 3'!P198</f>
        <v>39884249.549999997</v>
      </c>
    </row>
    <row r="140" spans="1:15" s="54" customFormat="1" x14ac:dyDescent="0.25">
      <c r="A140" s="78"/>
      <c r="B140" s="78"/>
      <c r="C140" s="79" t="s">
        <v>393</v>
      </c>
      <c r="D140" s="80">
        <f>'дод 3'!E199</f>
        <v>348000</v>
      </c>
      <c r="E140" s="80">
        <f>'дод 3'!F199</f>
        <v>348000</v>
      </c>
      <c r="F140" s="80">
        <f>'дод 3'!G199</f>
        <v>0</v>
      </c>
      <c r="G140" s="80">
        <f>'дод 3'!H199</f>
        <v>0</v>
      </c>
      <c r="H140" s="80">
        <f>'дод 3'!I199</f>
        <v>0</v>
      </c>
      <c r="I140" s="80">
        <f>'дод 3'!J199</f>
        <v>0</v>
      </c>
      <c r="J140" s="80">
        <f>'дод 3'!K199</f>
        <v>0</v>
      </c>
      <c r="K140" s="80">
        <f>'дод 3'!L199</f>
        <v>0</v>
      </c>
      <c r="L140" s="80">
        <f>'дод 3'!M199</f>
        <v>0</v>
      </c>
      <c r="M140" s="80">
        <f>'дод 3'!N199</f>
        <v>0</v>
      </c>
      <c r="N140" s="80">
        <f>'дод 3'!O199</f>
        <v>0</v>
      </c>
      <c r="O140" s="80">
        <f>'дод 3'!P199</f>
        <v>348000</v>
      </c>
    </row>
    <row r="141" spans="1:15" s="52" customFormat="1" ht="19.5" customHeight="1" x14ac:dyDescent="0.25">
      <c r="A141" s="38" t="s">
        <v>71</v>
      </c>
      <c r="B141" s="41"/>
      <c r="C141" s="2" t="s">
        <v>72</v>
      </c>
      <c r="D141" s="48">
        <f t="shared" ref="D141:O141" si="23">D142+D143+D144+D145</f>
        <v>37999308</v>
      </c>
      <c r="E141" s="48">
        <f t="shared" si="23"/>
        <v>37999308</v>
      </c>
      <c r="F141" s="48">
        <f t="shared" si="23"/>
        <v>24275500</v>
      </c>
      <c r="G141" s="48">
        <f t="shared" si="23"/>
        <v>2688297</v>
      </c>
      <c r="H141" s="48">
        <f t="shared" si="23"/>
        <v>0</v>
      </c>
      <c r="I141" s="48">
        <f t="shared" si="23"/>
        <v>346500</v>
      </c>
      <c r="J141" s="48">
        <f t="shared" si="23"/>
        <v>315500</v>
      </c>
      <c r="K141" s="48">
        <f t="shared" si="23"/>
        <v>31000</v>
      </c>
      <c r="L141" s="48">
        <f t="shared" si="23"/>
        <v>12100</v>
      </c>
      <c r="M141" s="48">
        <f t="shared" si="23"/>
        <v>3300</v>
      </c>
      <c r="N141" s="48">
        <f t="shared" si="23"/>
        <v>315500</v>
      </c>
      <c r="O141" s="48">
        <f t="shared" si="23"/>
        <v>38345808</v>
      </c>
    </row>
    <row r="142" spans="1:15" ht="22.5" customHeight="1" x14ac:dyDescent="0.25">
      <c r="A142" s="37" t="s">
        <v>73</v>
      </c>
      <c r="B142" s="37" t="s">
        <v>74</v>
      </c>
      <c r="C142" s="3" t="s">
        <v>15</v>
      </c>
      <c r="D142" s="49">
        <f>'дод 3'!E214</f>
        <v>23708364</v>
      </c>
      <c r="E142" s="49">
        <f>'дод 3'!F214</f>
        <v>23708364</v>
      </c>
      <c r="F142" s="49">
        <f>'дод 3'!G214</f>
        <v>16852700</v>
      </c>
      <c r="G142" s="49">
        <f>'дод 3'!H214</f>
        <v>1700964</v>
      </c>
      <c r="H142" s="49">
        <f>'дод 3'!I214</f>
        <v>0</v>
      </c>
      <c r="I142" s="49">
        <f>'дод 3'!J214</f>
        <v>252500</v>
      </c>
      <c r="J142" s="49">
        <f>'дод 3'!K214</f>
        <v>227500</v>
      </c>
      <c r="K142" s="49">
        <f>'дод 3'!L214</f>
        <v>25000</v>
      </c>
      <c r="L142" s="49">
        <f>'дод 3'!M214</f>
        <v>12100</v>
      </c>
      <c r="M142" s="49">
        <f>'дод 3'!N214</f>
        <v>0</v>
      </c>
      <c r="N142" s="49">
        <f>'дод 3'!O214</f>
        <v>227500</v>
      </c>
      <c r="O142" s="49">
        <f>'дод 3'!P214</f>
        <v>23960864</v>
      </c>
    </row>
    <row r="143" spans="1:15" ht="33.75" customHeight="1" x14ac:dyDescent="0.25">
      <c r="A143" s="37" t="s">
        <v>319</v>
      </c>
      <c r="B143" s="37" t="s">
        <v>320</v>
      </c>
      <c r="C143" s="3" t="s">
        <v>321</v>
      </c>
      <c r="D143" s="49">
        <f>'дод 3'!E33+'дод 3'!E215</f>
        <v>7201925</v>
      </c>
      <c r="E143" s="49">
        <f>'дод 3'!F33+'дод 3'!F215</f>
        <v>7201925</v>
      </c>
      <c r="F143" s="49">
        <f>'дод 3'!G33+'дод 3'!G215</f>
        <v>4057800</v>
      </c>
      <c r="G143" s="49">
        <f>'дод 3'!H33+'дод 3'!H215</f>
        <v>829525</v>
      </c>
      <c r="H143" s="49">
        <f>'дод 3'!I33+'дод 3'!I215</f>
        <v>0</v>
      </c>
      <c r="I143" s="49">
        <f>'дод 3'!J33+'дод 3'!J215</f>
        <v>6000</v>
      </c>
      <c r="J143" s="49">
        <f>'дод 3'!K33+'дод 3'!K215</f>
        <v>0</v>
      </c>
      <c r="K143" s="49">
        <f>'дод 3'!L33+'дод 3'!L215</f>
        <v>6000</v>
      </c>
      <c r="L143" s="49">
        <f>'дод 3'!M33+'дод 3'!M215</f>
        <v>0</v>
      </c>
      <c r="M143" s="49">
        <f>'дод 3'!N33+'дод 3'!N215</f>
        <v>3300</v>
      </c>
      <c r="N143" s="49">
        <f>'дод 3'!O33+'дод 3'!O215</f>
        <v>0</v>
      </c>
      <c r="O143" s="49">
        <f>'дод 3'!P33+'дод 3'!P215</f>
        <v>7207925</v>
      </c>
    </row>
    <row r="144" spans="1:15" s="54" customFormat="1" ht="37.5" customHeight="1" x14ac:dyDescent="0.25">
      <c r="A144" s="37" t="s">
        <v>293</v>
      </c>
      <c r="B144" s="37" t="s">
        <v>75</v>
      </c>
      <c r="C144" s="3" t="s">
        <v>343</v>
      </c>
      <c r="D144" s="49">
        <f>'дод 3'!E34+'дод 3'!E216</f>
        <v>5291508</v>
      </c>
      <c r="E144" s="49">
        <f>'дод 3'!F34+'дод 3'!F216</f>
        <v>5291508</v>
      </c>
      <c r="F144" s="49">
        <f>'дод 3'!G34+'дод 3'!G216</f>
        <v>3365000</v>
      </c>
      <c r="G144" s="49">
        <f>'дод 3'!H34+'дод 3'!H216</f>
        <v>157808</v>
      </c>
      <c r="H144" s="49">
        <f>'дод 3'!I34+'дод 3'!I216</f>
        <v>0</v>
      </c>
      <c r="I144" s="49">
        <f>'дод 3'!J34+'дод 3'!J216</f>
        <v>88000</v>
      </c>
      <c r="J144" s="49">
        <f>'дод 3'!K34+'дод 3'!K216</f>
        <v>88000</v>
      </c>
      <c r="K144" s="49">
        <f>'дод 3'!L34+'дод 3'!L216</f>
        <v>0</v>
      </c>
      <c r="L144" s="49">
        <f>'дод 3'!M34+'дод 3'!M216</f>
        <v>0</v>
      </c>
      <c r="M144" s="49">
        <f>'дод 3'!N34+'дод 3'!N216</f>
        <v>0</v>
      </c>
      <c r="N144" s="49">
        <f>'дод 3'!O34+'дод 3'!O216</f>
        <v>88000</v>
      </c>
      <c r="O144" s="49">
        <f>'дод 3'!P34+'дод 3'!P216</f>
        <v>5379508</v>
      </c>
    </row>
    <row r="145" spans="1:15" s="54" customFormat="1" ht="22.5" customHeight="1" x14ac:dyDescent="0.25">
      <c r="A145" s="37" t="s">
        <v>294</v>
      </c>
      <c r="B145" s="37" t="s">
        <v>75</v>
      </c>
      <c r="C145" s="3" t="s">
        <v>295</v>
      </c>
      <c r="D145" s="49">
        <f>'дод 3'!E35+'дод 3'!E217</f>
        <v>1797511</v>
      </c>
      <c r="E145" s="49">
        <f>'дод 3'!F35+'дод 3'!F217</f>
        <v>1797511</v>
      </c>
      <c r="F145" s="49">
        <f>'дод 3'!G35+'дод 3'!G217</f>
        <v>0</v>
      </c>
      <c r="G145" s="49">
        <f>'дод 3'!H35+'дод 3'!H217</f>
        <v>0</v>
      </c>
      <c r="H145" s="49">
        <f>'дод 3'!I35+'дод 3'!I217</f>
        <v>0</v>
      </c>
      <c r="I145" s="49">
        <f>'дод 3'!J35+'дод 3'!J217</f>
        <v>0</v>
      </c>
      <c r="J145" s="49">
        <f>'дод 3'!K35+'дод 3'!K217</f>
        <v>0</v>
      </c>
      <c r="K145" s="49">
        <f>'дод 3'!L35+'дод 3'!L217</f>
        <v>0</v>
      </c>
      <c r="L145" s="49">
        <f>'дод 3'!M35+'дод 3'!M217</f>
        <v>0</v>
      </c>
      <c r="M145" s="49">
        <f>'дод 3'!N35+'дод 3'!N217</f>
        <v>0</v>
      </c>
      <c r="N145" s="49">
        <f>'дод 3'!O35+'дод 3'!O217</f>
        <v>0</v>
      </c>
      <c r="O145" s="49">
        <f>'дод 3'!P35+'дод 3'!P217</f>
        <v>1797511</v>
      </c>
    </row>
    <row r="146" spans="1:15" s="52" customFormat="1" ht="21.75" customHeight="1" x14ac:dyDescent="0.25">
      <c r="A146" s="38" t="s">
        <v>78</v>
      </c>
      <c r="B146" s="41"/>
      <c r="C146" s="2" t="s">
        <v>593</v>
      </c>
      <c r="D146" s="48">
        <f t="shared" ref="D146:O146" si="24">D148+D149+D150+D152+D153+D154</f>
        <v>64456239</v>
      </c>
      <c r="E146" s="48">
        <f t="shared" si="24"/>
        <v>64456239</v>
      </c>
      <c r="F146" s="48">
        <f t="shared" si="24"/>
        <v>22530635</v>
      </c>
      <c r="G146" s="48">
        <f t="shared" si="24"/>
        <v>1607179</v>
      </c>
      <c r="H146" s="48">
        <f t="shared" si="24"/>
        <v>0</v>
      </c>
      <c r="I146" s="48">
        <f t="shared" si="24"/>
        <v>2315794</v>
      </c>
      <c r="J146" s="48">
        <f t="shared" si="24"/>
        <v>2102800</v>
      </c>
      <c r="K146" s="48">
        <f t="shared" si="24"/>
        <v>212994</v>
      </c>
      <c r="L146" s="48">
        <f t="shared" si="24"/>
        <v>119291</v>
      </c>
      <c r="M146" s="48">
        <f t="shared" si="24"/>
        <v>50432</v>
      </c>
      <c r="N146" s="48">
        <f t="shared" si="24"/>
        <v>2102800</v>
      </c>
      <c r="O146" s="48">
        <f t="shared" si="24"/>
        <v>66772033</v>
      </c>
    </row>
    <row r="147" spans="1:15" s="52" customFormat="1" ht="21.75" customHeight="1" x14ac:dyDescent="0.25">
      <c r="A147" s="38"/>
      <c r="B147" s="41"/>
      <c r="C147" s="77" t="s">
        <v>395</v>
      </c>
      <c r="D147" s="76">
        <f>D151</f>
        <v>134064</v>
      </c>
      <c r="E147" s="76">
        <f t="shared" ref="E147:O147" si="25">E151</f>
        <v>134064</v>
      </c>
      <c r="F147" s="76">
        <f t="shared" si="25"/>
        <v>0</v>
      </c>
      <c r="G147" s="76">
        <f t="shared" si="25"/>
        <v>0</v>
      </c>
      <c r="H147" s="76">
        <f t="shared" si="25"/>
        <v>0</v>
      </c>
      <c r="I147" s="76">
        <f t="shared" si="25"/>
        <v>0</v>
      </c>
      <c r="J147" s="76">
        <f t="shared" si="25"/>
        <v>0</v>
      </c>
      <c r="K147" s="76">
        <f t="shared" si="25"/>
        <v>0</v>
      </c>
      <c r="L147" s="76">
        <f t="shared" si="25"/>
        <v>0</v>
      </c>
      <c r="M147" s="76">
        <f t="shared" si="25"/>
        <v>0</v>
      </c>
      <c r="N147" s="76">
        <f t="shared" si="25"/>
        <v>0</v>
      </c>
      <c r="O147" s="76">
        <f t="shared" si="25"/>
        <v>134064</v>
      </c>
    </row>
    <row r="148" spans="1:15" s="54" customFormat="1" ht="37.5" customHeight="1" x14ac:dyDescent="0.25">
      <c r="A148" s="37" t="s">
        <v>79</v>
      </c>
      <c r="B148" s="37" t="s">
        <v>80</v>
      </c>
      <c r="C148" s="3" t="s">
        <v>21</v>
      </c>
      <c r="D148" s="49">
        <f>'дод 3'!E36</f>
        <v>710000</v>
      </c>
      <c r="E148" s="49">
        <f>'дод 3'!F36</f>
        <v>710000</v>
      </c>
      <c r="F148" s="49">
        <f>'дод 3'!G36</f>
        <v>0</v>
      </c>
      <c r="G148" s="49">
        <f>'дод 3'!H36</f>
        <v>0</v>
      </c>
      <c r="H148" s="49">
        <f>'дод 3'!I36</f>
        <v>0</v>
      </c>
      <c r="I148" s="49">
        <f>'дод 3'!J36</f>
        <v>0</v>
      </c>
      <c r="J148" s="49">
        <f>'дод 3'!K36</f>
        <v>0</v>
      </c>
      <c r="K148" s="49">
        <f>'дод 3'!L36</f>
        <v>0</v>
      </c>
      <c r="L148" s="49">
        <f>'дод 3'!M36</f>
        <v>0</v>
      </c>
      <c r="M148" s="49">
        <f>'дод 3'!N36</f>
        <v>0</v>
      </c>
      <c r="N148" s="49">
        <f>'дод 3'!O36</f>
        <v>0</v>
      </c>
      <c r="O148" s="49">
        <f>'дод 3'!P36</f>
        <v>710000</v>
      </c>
    </row>
    <row r="149" spans="1:15" s="54" customFormat="1" ht="34.5" customHeight="1" x14ac:dyDescent="0.25">
      <c r="A149" s="37" t="s">
        <v>81</v>
      </c>
      <c r="B149" s="37" t="s">
        <v>80</v>
      </c>
      <c r="C149" s="3" t="s">
        <v>16</v>
      </c>
      <c r="D149" s="49">
        <f>'дод 3'!E37</f>
        <v>1031480</v>
      </c>
      <c r="E149" s="49">
        <f>'дод 3'!F37</f>
        <v>1031480</v>
      </c>
      <c r="F149" s="49">
        <f>'дод 3'!G37</f>
        <v>0</v>
      </c>
      <c r="G149" s="49">
        <f>'дод 3'!H37</f>
        <v>0</v>
      </c>
      <c r="H149" s="49">
        <f>'дод 3'!I37</f>
        <v>0</v>
      </c>
      <c r="I149" s="49">
        <f>'дод 3'!J37</f>
        <v>0</v>
      </c>
      <c r="J149" s="49">
        <f>'дод 3'!K37</f>
        <v>0</v>
      </c>
      <c r="K149" s="49">
        <f>'дод 3'!L37</f>
        <v>0</v>
      </c>
      <c r="L149" s="49">
        <f>'дод 3'!M37</f>
        <v>0</v>
      </c>
      <c r="M149" s="49">
        <f>'дод 3'!N37</f>
        <v>0</v>
      </c>
      <c r="N149" s="49">
        <f>'дод 3'!O37</f>
        <v>0</v>
      </c>
      <c r="O149" s="49">
        <f>'дод 3'!P37</f>
        <v>1031480</v>
      </c>
    </row>
    <row r="150" spans="1:15" s="54" customFormat="1" ht="47.25" x14ac:dyDescent="0.25">
      <c r="A150" s="37" t="s">
        <v>116</v>
      </c>
      <c r="B150" s="37" t="s">
        <v>80</v>
      </c>
      <c r="C150" s="3" t="s">
        <v>594</v>
      </c>
      <c r="D150" s="49">
        <f>'дод 3'!E38+'дод 3'!E114</f>
        <v>27079638</v>
      </c>
      <c r="E150" s="49">
        <f>'дод 3'!F38+'дод 3'!F114</f>
        <v>27079638</v>
      </c>
      <c r="F150" s="49">
        <f>'дод 3'!G38+'дод 3'!G114</f>
        <v>19543235</v>
      </c>
      <c r="G150" s="49">
        <f>'дод 3'!H38+'дод 3'!H114</f>
        <v>1182540</v>
      </c>
      <c r="H150" s="49">
        <f>'дод 3'!I38+'дод 3'!I114</f>
        <v>0</v>
      </c>
      <c r="I150" s="49">
        <f>'дод 3'!J38+'дод 3'!J114</f>
        <v>200700</v>
      </c>
      <c r="J150" s="49">
        <f>'дод 3'!K38+'дод 3'!K114</f>
        <v>200700</v>
      </c>
      <c r="K150" s="49">
        <f>'дод 3'!L38+'дод 3'!L114</f>
        <v>0</v>
      </c>
      <c r="L150" s="49">
        <f>'дод 3'!M38+'дод 3'!M114</f>
        <v>0</v>
      </c>
      <c r="M150" s="49">
        <f>'дод 3'!N38+'дод 3'!N114</f>
        <v>0</v>
      </c>
      <c r="N150" s="49">
        <f>'дод 3'!O38+'дод 3'!O114</f>
        <v>200700</v>
      </c>
      <c r="O150" s="49">
        <f>'дод 3'!P38+'дод 3'!P114</f>
        <v>27280338</v>
      </c>
    </row>
    <row r="151" spans="1:15" s="54" customFormat="1" ht="25.5" customHeight="1" x14ac:dyDescent="0.25">
      <c r="A151" s="37"/>
      <c r="B151" s="37"/>
      <c r="C151" s="87" t="s">
        <v>395</v>
      </c>
      <c r="D151" s="80">
        <f>'дод 3'!E115</f>
        <v>134064</v>
      </c>
      <c r="E151" s="80">
        <f>'дод 3'!F115</f>
        <v>134064</v>
      </c>
      <c r="F151" s="80">
        <f>'дод 3'!G115</f>
        <v>0</v>
      </c>
      <c r="G151" s="80">
        <f>'дод 3'!H115</f>
        <v>0</v>
      </c>
      <c r="H151" s="80">
        <f>'дод 3'!I115</f>
        <v>0</v>
      </c>
      <c r="I151" s="80">
        <f>'дод 3'!J115</f>
        <v>0</v>
      </c>
      <c r="J151" s="80">
        <f>'дод 3'!K115</f>
        <v>0</v>
      </c>
      <c r="K151" s="80">
        <f>'дод 3'!L115</f>
        <v>0</v>
      </c>
      <c r="L151" s="80">
        <f>'дод 3'!M115</f>
        <v>0</v>
      </c>
      <c r="M151" s="80">
        <f>'дод 3'!N115</f>
        <v>0</v>
      </c>
      <c r="N151" s="80">
        <f>'дод 3'!O115</f>
        <v>0</v>
      </c>
      <c r="O151" s="80">
        <f>'дод 3'!P115</f>
        <v>134064</v>
      </c>
    </row>
    <row r="152" spans="1:15" s="54" customFormat="1" ht="31.5" customHeight="1" x14ac:dyDescent="0.25">
      <c r="A152" s="37" t="s">
        <v>117</v>
      </c>
      <c r="B152" s="37" t="s">
        <v>80</v>
      </c>
      <c r="C152" s="3" t="s">
        <v>22</v>
      </c>
      <c r="D152" s="49">
        <f>'дод 3'!E39</f>
        <v>14979942</v>
      </c>
      <c r="E152" s="49">
        <f>'дод 3'!F39</f>
        <v>14979942</v>
      </c>
      <c r="F152" s="49">
        <f>'дод 3'!G39</f>
        <v>0</v>
      </c>
      <c r="G152" s="49">
        <f>'дод 3'!H39</f>
        <v>0</v>
      </c>
      <c r="H152" s="49">
        <f>'дод 3'!I39</f>
        <v>0</v>
      </c>
      <c r="I152" s="49">
        <f>'дод 3'!J39</f>
        <v>372100</v>
      </c>
      <c r="J152" s="49">
        <f>'дод 3'!K39</f>
        <v>372100</v>
      </c>
      <c r="K152" s="49">
        <f>'дод 3'!L39</f>
        <v>0</v>
      </c>
      <c r="L152" s="49">
        <f>'дод 3'!M39</f>
        <v>0</v>
      </c>
      <c r="M152" s="49">
        <f>'дод 3'!N39</f>
        <v>0</v>
      </c>
      <c r="N152" s="49">
        <f>'дод 3'!O39</f>
        <v>372100</v>
      </c>
      <c r="O152" s="49">
        <f>'дод 3'!P39</f>
        <v>15352042</v>
      </c>
    </row>
    <row r="153" spans="1:15" s="54" customFormat="1" ht="54" customHeight="1" x14ac:dyDescent="0.25">
      <c r="A153" s="37" t="s">
        <v>112</v>
      </c>
      <c r="B153" s="37" t="s">
        <v>80</v>
      </c>
      <c r="C153" s="3" t="s">
        <v>113</v>
      </c>
      <c r="D153" s="49">
        <f>'дод 3'!E40</f>
        <v>5088784</v>
      </c>
      <c r="E153" s="49">
        <f>'дод 3'!F40</f>
        <v>5088784</v>
      </c>
      <c r="F153" s="49">
        <f>'дод 3'!G40</f>
        <v>2987400</v>
      </c>
      <c r="G153" s="49">
        <f>'дод 3'!H40</f>
        <v>424639</v>
      </c>
      <c r="H153" s="49">
        <f>'дод 3'!I40</f>
        <v>0</v>
      </c>
      <c r="I153" s="49">
        <f>'дод 3'!J40</f>
        <v>1742994</v>
      </c>
      <c r="J153" s="49">
        <f>'дод 3'!K40</f>
        <v>1530000</v>
      </c>
      <c r="K153" s="49">
        <f>'дод 3'!L40</f>
        <v>212994</v>
      </c>
      <c r="L153" s="49">
        <f>'дод 3'!M40</f>
        <v>119291</v>
      </c>
      <c r="M153" s="49">
        <f>'дод 3'!N40</f>
        <v>50432</v>
      </c>
      <c r="N153" s="49">
        <f>'дод 3'!O40</f>
        <v>1530000</v>
      </c>
      <c r="O153" s="49">
        <f>'дод 3'!P40</f>
        <v>6831778</v>
      </c>
    </row>
    <row r="154" spans="1:15" s="54" customFormat="1" ht="37.5" customHeight="1" x14ac:dyDescent="0.25">
      <c r="A154" s="37" t="s">
        <v>115</v>
      </c>
      <c r="B154" s="37" t="s">
        <v>80</v>
      </c>
      <c r="C154" s="3" t="s">
        <v>114</v>
      </c>
      <c r="D154" s="49">
        <f>'дод 3'!E41</f>
        <v>15566395</v>
      </c>
      <c r="E154" s="49">
        <f>'дод 3'!F41</f>
        <v>15566395</v>
      </c>
      <c r="F154" s="49">
        <f>'дод 3'!G41</f>
        <v>0</v>
      </c>
      <c r="G154" s="49">
        <f>'дод 3'!H41</f>
        <v>0</v>
      </c>
      <c r="H154" s="49">
        <f>'дод 3'!I41</f>
        <v>0</v>
      </c>
      <c r="I154" s="49">
        <f>'дод 3'!J41</f>
        <v>0</v>
      </c>
      <c r="J154" s="49">
        <f>'дод 3'!K41</f>
        <v>0</v>
      </c>
      <c r="K154" s="49">
        <f>'дод 3'!L41</f>
        <v>0</v>
      </c>
      <c r="L154" s="49">
        <f>'дод 3'!M41</f>
        <v>0</v>
      </c>
      <c r="M154" s="49">
        <f>'дод 3'!N41</f>
        <v>0</v>
      </c>
      <c r="N154" s="49">
        <f>'дод 3'!O41</f>
        <v>0</v>
      </c>
      <c r="O154" s="49">
        <f>'дод 3'!P41</f>
        <v>15566395</v>
      </c>
    </row>
    <row r="155" spans="1:15" s="52" customFormat="1" ht="18" customHeight="1" x14ac:dyDescent="0.25">
      <c r="A155" s="38" t="s">
        <v>66</v>
      </c>
      <c r="B155" s="41"/>
      <c r="C155" s="2" t="s">
        <v>67</v>
      </c>
      <c r="D155" s="48">
        <f>D157+D158+D159+D160+D161+D162+D163+D165+D166</f>
        <v>283072483.26999998</v>
      </c>
      <c r="E155" s="48">
        <f t="shared" ref="E155:O155" si="26">E157+E158+E159+E160+E161+E162+E163+E165+E166</f>
        <v>252386224.78999999</v>
      </c>
      <c r="F155" s="48">
        <f t="shared" si="26"/>
        <v>0</v>
      </c>
      <c r="G155" s="48">
        <f t="shared" si="26"/>
        <v>35040050</v>
      </c>
      <c r="H155" s="48">
        <f t="shared" si="26"/>
        <v>30686258.48</v>
      </c>
      <c r="I155" s="48">
        <f t="shared" si="26"/>
        <v>157106522.22999999</v>
      </c>
      <c r="J155" s="48">
        <f t="shared" si="26"/>
        <v>155163693.57999998</v>
      </c>
      <c r="K155" s="48">
        <f t="shared" si="26"/>
        <v>1785000</v>
      </c>
      <c r="L155" s="48">
        <f t="shared" si="26"/>
        <v>0</v>
      </c>
      <c r="M155" s="48">
        <f t="shared" si="26"/>
        <v>0</v>
      </c>
      <c r="N155" s="48">
        <f t="shared" si="26"/>
        <v>155321522.22999999</v>
      </c>
      <c r="O155" s="48">
        <f t="shared" si="26"/>
        <v>440179005.5</v>
      </c>
    </row>
    <row r="156" spans="1:15" s="52" customFormat="1" ht="110.25" hidden="1" customHeight="1" x14ac:dyDescent="0.25">
      <c r="A156" s="38"/>
      <c r="B156" s="41"/>
      <c r="C156" s="2" t="s">
        <v>445</v>
      </c>
      <c r="D156" s="48">
        <f>D164</f>
        <v>0</v>
      </c>
      <c r="E156" s="48">
        <f t="shared" ref="E156:O156" si="27">E164</f>
        <v>0</v>
      </c>
      <c r="F156" s="48">
        <f t="shared" si="27"/>
        <v>0</v>
      </c>
      <c r="G156" s="48">
        <f t="shared" si="27"/>
        <v>0</v>
      </c>
      <c r="H156" s="48">
        <f t="shared" si="27"/>
        <v>0</v>
      </c>
      <c r="I156" s="48">
        <f t="shared" si="27"/>
        <v>9689741</v>
      </c>
      <c r="J156" s="48">
        <f t="shared" si="27"/>
        <v>9689741</v>
      </c>
      <c r="K156" s="48">
        <f t="shared" si="27"/>
        <v>0</v>
      </c>
      <c r="L156" s="48">
        <f t="shared" si="27"/>
        <v>0</v>
      </c>
      <c r="M156" s="48">
        <f t="shared" si="27"/>
        <v>0</v>
      </c>
      <c r="N156" s="48">
        <f t="shared" si="27"/>
        <v>9689741</v>
      </c>
      <c r="O156" s="48">
        <f t="shared" si="27"/>
        <v>9689741</v>
      </c>
    </row>
    <row r="157" spans="1:15" s="54" customFormat="1" ht="31.5" x14ac:dyDescent="0.25">
      <c r="A157" s="37" t="s">
        <v>127</v>
      </c>
      <c r="B157" s="37" t="s">
        <v>68</v>
      </c>
      <c r="C157" s="3" t="s">
        <v>128</v>
      </c>
      <c r="D157" s="49">
        <f>'дод 3'!E232</f>
        <v>0</v>
      </c>
      <c r="E157" s="49">
        <f>'дод 3'!F232</f>
        <v>0</v>
      </c>
      <c r="F157" s="49">
        <f>'дод 3'!G232</f>
        <v>0</v>
      </c>
      <c r="G157" s="49">
        <f>'дод 3'!H232</f>
        <v>0</v>
      </c>
      <c r="H157" s="49">
        <f>'дод 3'!I232</f>
        <v>0</v>
      </c>
      <c r="I157" s="49">
        <f>'дод 3'!J232</f>
        <v>9271809</v>
      </c>
      <c r="J157" s="49">
        <f>'дод 3'!K232</f>
        <v>9235329</v>
      </c>
      <c r="K157" s="49">
        <f>'дод 3'!L232</f>
        <v>0</v>
      </c>
      <c r="L157" s="49">
        <f>'дод 3'!M232</f>
        <v>0</v>
      </c>
      <c r="M157" s="49">
        <f>'дод 3'!N232</f>
        <v>0</v>
      </c>
      <c r="N157" s="49">
        <f>'дод 3'!O232</f>
        <v>9271809</v>
      </c>
      <c r="O157" s="49">
        <f>'дод 3'!P232</f>
        <v>9271809</v>
      </c>
    </row>
    <row r="158" spans="1:15" s="54" customFormat="1" ht="36.75" customHeight="1" x14ac:dyDescent="0.25">
      <c r="A158" s="37" t="s">
        <v>129</v>
      </c>
      <c r="B158" s="37" t="s">
        <v>70</v>
      </c>
      <c r="C158" s="3" t="s">
        <v>147</v>
      </c>
      <c r="D158" s="49">
        <f>'дод 3'!E233</f>
        <v>29375568</v>
      </c>
      <c r="E158" s="49">
        <f>'дод 3'!F233</f>
        <v>875568</v>
      </c>
      <c r="F158" s="49">
        <f>'дод 3'!G233</f>
        <v>0</v>
      </c>
      <c r="G158" s="49">
        <f>'дод 3'!H233</f>
        <v>0</v>
      </c>
      <c r="H158" s="49">
        <f>'дод 3'!I233</f>
        <v>28500000</v>
      </c>
      <c r="I158" s="49">
        <f>'дод 3'!J233</f>
        <v>200000</v>
      </c>
      <c r="J158" s="49">
        <f>'дод 3'!K233</f>
        <v>200000</v>
      </c>
      <c r="K158" s="49">
        <f>'дод 3'!L233</f>
        <v>0</v>
      </c>
      <c r="L158" s="49">
        <f>'дод 3'!M233</f>
        <v>0</v>
      </c>
      <c r="M158" s="49">
        <f>'дод 3'!N233</f>
        <v>0</v>
      </c>
      <c r="N158" s="49">
        <f>'дод 3'!O233</f>
        <v>200000</v>
      </c>
      <c r="O158" s="49">
        <f>'дод 3'!P233</f>
        <v>29575568</v>
      </c>
    </row>
    <row r="159" spans="1:15" s="54" customFormat="1" ht="33" customHeight="1" x14ac:dyDescent="0.25">
      <c r="A159" s="40" t="s">
        <v>260</v>
      </c>
      <c r="B159" s="40" t="s">
        <v>70</v>
      </c>
      <c r="C159" s="3" t="s">
        <v>261</v>
      </c>
      <c r="D159" s="49">
        <f>'дод 3'!E234</f>
        <v>155980</v>
      </c>
      <c r="E159" s="49">
        <f>'дод 3'!F234</f>
        <v>155980</v>
      </c>
      <c r="F159" s="49">
        <f>'дод 3'!G234</f>
        <v>0</v>
      </c>
      <c r="G159" s="49">
        <f>'дод 3'!H234</f>
        <v>0</v>
      </c>
      <c r="H159" s="49">
        <f>'дод 3'!I234</f>
        <v>0</v>
      </c>
      <c r="I159" s="49">
        <f>'дод 3'!J234</f>
        <v>33240150</v>
      </c>
      <c r="J159" s="49">
        <f>'дод 3'!K234</f>
        <v>33190150</v>
      </c>
      <c r="K159" s="49">
        <f>'дод 3'!L234</f>
        <v>0</v>
      </c>
      <c r="L159" s="49">
        <f>'дод 3'!M234</f>
        <v>0</v>
      </c>
      <c r="M159" s="49">
        <f>'дод 3'!N234</f>
        <v>0</v>
      </c>
      <c r="N159" s="49">
        <f>'дод 3'!O234</f>
        <v>33240150</v>
      </c>
      <c r="O159" s="49">
        <f>'дод 3'!P234</f>
        <v>33396130</v>
      </c>
    </row>
    <row r="160" spans="1:15" s="54" customFormat="1" ht="33" customHeight="1" x14ac:dyDescent="0.25">
      <c r="A160" s="37" t="s">
        <v>263</v>
      </c>
      <c r="B160" s="37" t="s">
        <v>70</v>
      </c>
      <c r="C160" s="3" t="s">
        <v>344</v>
      </c>
      <c r="D160" s="49">
        <f>'дод 3'!E235</f>
        <v>100000</v>
      </c>
      <c r="E160" s="49">
        <f>'дод 3'!F235</f>
        <v>100000</v>
      </c>
      <c r="F160" s="49">
        <f>'дод 3'!G235</f>
        <v>0</v>
      </c>
      <c r="G160" s="49">
        <f>'дод 3'!H235</f>
        <v>0</v>
      </c>
      <c r="H160" s="49">
        <f>'дод 3'!I235</f>
        <v>0</v>
      </c>
      <c r="I160" s="49">
        <f>'дод 3'!J235</f>
        <v>0</v>
      </c>
      <c r="J160" s="49">
        <f>'дод 3'!K235</f>
        <v>0</v>
      </c>
      <c r="K160" s="49">
        <f>'дод 3'!L235</f>
        <v>0</v>
      </c>
      <c r="L160" s="49">
        <f>'дод 3'!M235</f>
        <v>0</v>
      </c>
      <c r="M160" s="49">
        <f>'дод 3'!N235</f>
        <v>0</v>
      </c>
      <c r="N160" s="49">
        <f>'дод 3'!O235</f>
        <v>0</v>
      </c>
      <c r="O160" s="49">
        <f>'дод 3'!P235</f>
        <v>100000</v>
      </c>
    </row>
    <row r="161" spans="1:15" s="54" customFormat="1" ht="52.5" customHeight="1" x14ac:dyDescent="0.25">
      <c r="A161" s="37" t="s">
        <v>69</v>
      </c>
      <c r="B161" s="37" t="s">
        <v>70</v>
      </c>
      <c r="C161" s="3" t="s">
        <v>132</v>
      </c>
      <c r="D161" s="49">
        <f>'дод 3'!E236</f>
        <v>1786258.4800000004</v>
      </c>
      <c r="E161" s="49">
        <f>'дод 3'!F236</f>
        <v>0</v>
      </c>
      <c r="F161" s="49">
        <f>'дод 3'!G236</f>
        <v>0</v>
      </c>
      <c r="G161" s="49">
        <f>'дод 3'!H236</f>
        <v>0</v>
      </c>
      <c r="H161" s="49">
        <f>'дод 3'!I236</f>
        <v>1786258.4800000004</v>
      </c>
      <c r="I161" s="49">
        <f>'дод 3'!J236</f>
        <v>85000</v>
      </c>
      <c r="J161" s="49">
        <f>'дод 3'!K236</f>
        <v>85000</v>
      </c>
      <c r="K161" s="49">
        <f>'дод 3'!L236</f>
        <v>0</v>
      </c>
      <c r="L161" s="49">
        <f>'дод 3'!M236</f>
        <v>0</v>
      </c>
      <c r="M161" s="49">
        <f>'дод 3'!N236</f>
        <v>0</v>
      </c>
      <c r="N161" s="49">
        <f>'дод 3'!O236</f>
        <v>85000</v>
      </c>
      <c r="O161" s="49">
        <f>'дод 3'!P236</f>
        <v>1871258.4800000004</v>
      </c>
    </row>
    <row r="162" spans="1:15" ht="24" customHeight="1" x14ac:dyDescent="0.25">
      <c r="A162" s="37" t="s">
        <v>130</v>
      </c>
      <c r="B162" s="37" t="s">
        <v>70</v>
      </c>
      <c r="C162" s="3" t="s">
        <v>131</v>
      </c>
      <c r="D162" s="49">
        <f>'дод 3'!E237+'дод 3'!E272</f>
        <v>243940773.78</v>
      </c>
      <c r="E162" s="49">
        <f>'дод 3'!F237+'дод 3'!F272</f>
        <v>243840773.78</v>
      </c>
      <c r="F162" s="49">
        <f>'дод 3'!G237+'дод 3'!G272</f>
        <v>0</v>
      </c>
      <c r="G162" s="49">
        <f>'дод 3'!H237+'дод 3'!H272</f>
        <v>34990460</v>
      </c>
      <c r="H162" s="49">
        <f>'дод 3'!I237+'дод 3'!I272</f>
        <v>100000</v>
      </c>
      <c r="I162" s="49">
        <f>'дод 3'!J237+'дод 3'!J272</f>
        <v>101424929.57999998</v>
      </c>
      <c r="J162" s="49">
        <f>'дод 3'!K237+'дод 3'!K272</f>
        <v>101424929.57999998</v>
      </c>
      <c r="K162" s="49">
        <f>'дод 3'!L237+'дод 3'!L272</f>
        <v>0</v>
      </c>
      <c r="L162" s="49">
        <f>'дод 3'!M237+'дод 3'!M272</f>
        <v>0</v>
      </c>
      <c r="M162" s="49">
        <f>'дод 3'!N237+'дод 3'!N272</f>
        <v>0</v>
      </c>
      <c r="N162" s="49">
        <f>'дод 3'!O237+'дод 3'!O272</f>
        <v>101424929.57999998</v>
      </c>
      <c r="O162" s="49">
        <f>'дод 3'!P237+'дод 3'!P272</f>
        <v>345365703.36000001</v>
      </c>
    </row>
    <row r="163" spans="1:15" ht="83.25" customHeight="1" x14ac:dyDescent="0.25">
      <c r="A163" s="37">
        <v>6083</v>
      </c>
      <c r="B163" s="58" t="s">
        <v>68</v>
      </c>
      <c r="C163" s="11" t="s">
        <v>438</v>
      </c>
      <c r="D163" s="49">
        <f>'дод 3'!E208+'дод 3'!E238</f>
        <v>0</v>
      </c>
      <c r="E163" s="49">
        <f>'дод 3'!F208+'дод 3'!F238</f>
        <v>0</v>
      </c>
      <c r="F163" s="49">
        <f>'дод 3'!G208+'дод 3'!G238</f>
        <v>0</v>
      </c>
      <c r="G163" s="49">
        <f>'дод 3'!H208+'дод 3'!H238</f>
        <v>0</v>
      </c>
      <c r="H163" s="49">
        <f>'дод 3'!I208+'дод 3'!I238</f>
        <v>0</v>
      </c>
      <c r="I163" s="49">
        <f>'дод 3'!J208+'дод 3'!J238</f>
        <v>11028285</v>
      </c>
      <c r="J163" s="49">
        <f>'дод 3'!K208+'дод 3'!K238</f>
        <v>11028285</v>
      </c>
      <c r="K163" s="49">
        <f>'дод 3'!L208+'дод 3'!L238</f>
        <v>0</v>
      </c>
      <c r="L163" s="49">
        <f>'дод 3'!M208+'дод 3'!M238</f>
        <v>0</v>
      </c>
      <c r="M163" s="49">
        <f>'дод 3'!N208+'дод 3'!N238</f>
        <v>0</v>
      </c>
      <c r="N163" s="49">
        <f>'дод 3'!O208+'дод 3'!O238</f>
        <v>11028285</v>
      </c>
      <c r="O163" s="49">
        <f>'дод 3'!P208+'дод 3'!P238</f>
        <v>11028285</v>
      </c>
    </row>
    <row r="164" spans="1:15" s="54" customFormat="1" ht="110.25" x14ac:dyDescent="0.25">
      <c r="A164" s="78"/>
      <c r="B164" s="89"/>
      <c r="C164" s="90" t="s">
        <v>445</v>
      </c>
      <c r="D164" s="80">
        <f>'дод 3'!E209+'дод 3'!E239</f>
        <v>0</v>
      </c>
      <c r="E164" s="80">
        <f>'дод 3'!F209+'дод 3'!F239</f>
        <v>0</v>
      </c>
      <c r="F164" s="80">
        <f>'дод 3'!G209+'дод 3'!G239</f>
        <v>0</v>
      </c>
      <c r="G164" s="80">
        <f>'дод 3'!H209+'дод 3'!H239</f>
        <v>0</v>
      </c>
      <c r="H164" s="80">
        <f>'дод 3'!I209+'дод 3'!I239</f>
        <v>0</v>
      </c>
      <c r="I164" s="80">
        <f>'дод 3'!J209+'дод 3'!J239</f>
        <v>9689741</v>
      </c>
      <c r="J164" s="80">
        <f>'дод 3'!K209+'дод 3'!K239</f>
        <v>9689741</v>
      </c>
      <c r="K164" s="80">
        <f>'дод 3'!L209+'дод 3'!L239</f>
        <v>0</v>
      </c>
      <c r="L164" s="80">
        <f>'дод 3'!M209+'дод 3'!M239</f>
        <v>0</v>
      </c>
      <c r="M164" s="80">
        <f>'дод 3'!N209+'дод 3'!N239</f>
        <v>0</v>
      </c>
      <c r="N164" s="80">
        <f>'дод 3'!O209+'дод 3'!O239</f>
        <v>9689741</v>
      </c>
      <c r="O164" s="80">
        <f>'дод 3'!P209+'дод 3'!P239</f>
        <v>9689741</v>
      </c>
    </row>
    <row r="165" spans="1:15" s="54" customFormat="1" ht="54.75" customHeight="1" x14ac:dyDescent="0.25">
      <c r="A165" s="37" t="s">
        <v>134</v>
      </c>
      <c r="B165" s="42" t="s">
        <v>68</v>
      </c>
      <c r="C165" s="3" t="s">
        <v>135</v>
      </c>
      <c r="D165" s="49">
        <f>'дод 3'!E273</f>
        <v>0</v>
      </c>
      <c r="E165" s="49">
        <f>'дод 3'!F273</f>
        <v>0</v>
      </c>
      <c r="F165" s="49">
        <f>'дод 3'!G273</f>
        <v>0</v>
      </c>
      <c r="G165" s="49">
        <f>'дод 3'!H273</f>
        <v>0</v>
      </c>
      <c r="H165" s="49">
        <f>'дод 3'!I273</f>
        <v>0</v>
      </c>
      <c r="I165" s="49">
        <f>'дод 3'!J273</f>
        <v>71348.649999999994</v>
      </c>
      <c r="J165" s="49">
        <f>'дод 3'!K273</f>
        <v>0</v>
      </c>
      <c r="K165" s="49">
        <f>'дод 3'!L273</f>
        <v>0</v>
      </c>
      <c r="L165" s="49">
        <f>'дод 3'!M273</f>
        <v>0</v>
      </c>
      <c r="M165" s="49">
        <f>'дод 3'!N273</f>
        <v>0</v>
      </c>
      <c r="N165" s="49">
        <f>'дод 3'!O273</f>
        <v>71348.649999999994</v>
      </c>
      <c r="O165" s="49">
        <f>'дод 3'!P273</f>
        <v>71348.649999999994</v>
      </c>
    </row>
    <row r="166" spans="1:15" ht="36" customHeight="1" x14ac:dyDescent="0.25">
      <c r="A166" s="37" t="s">
        <v>141</v>
      </c>
      <c r="B166" s="42" t="s">
        <v>312</v>
      </c>
      <c r="C166" s="3" t="s">
        <v>142</v>
      </c>
      <c r="D166" s="49">
        <f>'дод 3'!E240+'дод 3'!E291</f>
        <v>7713903.0100000016</v>
      </c>
      <c r="E166" s="49">
        <f>'дод 3'!F240+'дод 3'!F291</f>
        <v>7413903.0100000016</v>
      </c>
      <c r="F166" s="49">
        <f>'дод 3'!G240+'дод 3'!G291</f>
        <v>0</v>
      </c>
      <c r="G166" s="49">
        <f>'дод 3'!H240+'дод 3'!H291</f>
        <v>49590</v>
      </c>
      <c r="H166" s="49">
        <f>'дод 3'!I240+'дод 3'!I291</f>
        <v>300000</v>
      </c>
      <c r="I166" s="49">
        <f>'дод 3'!J240+'дод 3'!J291</f>
        <v>1785000</v>
      </c>
      <c r="J166" s="49">
        <f>'дод 3'!K240+'дод 3'!K291</f>
        <v>0</v>
      </c>
      <c r="K166" s="49">
        <f>'дод 3'!L240+'дод 3'!L291</f>
        <v>1785000</v>
      </c>
      <c r="L166" s="49">
        <f>'дод 3'!M240+'дод 3'!M291</f>
        <v>0</v>
      </c>
      <c r="M166" s="49">
        <f>'дод 3'!N240+'дод 3'!N291</f>
        <v>0</v>
      </c>
      <c r="N166" s="49">
        <f>'дод 3'!O240+'дод 3'!O291</f>
        <v>0</v>
      </c>
      <c r="O166" s="49">
        <f>'дод 3'!P240+'дод 3'!P291</f>
        <v>9498903.0100000016</v>
      </c>
    </row>
    <row r="167" spans="1:15" s="52" customFormat="1" ht="21.75" customHeight="1" x14ac:dyDescent="0.25">
      <c r="A167" s="38" t="s">
        <v>136</v>
      </c>
      <c r="B167" s="41"/>
      <c r="C167" s="2" t="s">
        <v>407</v>
      </c>
      <c r="D167" s="48">
        <f>D172+D174+D194+D210+D212+D224</f>
        <v>79926762.149999991</v>
      </c>
      <c r="E167" s="48">
        <f>E172+E174+E194+E210+E212+E224</f>
        <v>15850156.149999999</v>
      </c>
      <c r="F167" s="48">
        <f t="shared" ref="F167:O167" si="28">F172+F174+F194+F210+F212+F224</f>
        <v>0</v>
      </c>
      <c r="G167" s="48">
        <f t="shared" si="28"/>
        <v>0</v>
      </c>
      <c r="H167" s="48">
        <f t="shared" si="28"/>
        <v>64076606</v>
      </c>
      <c r="I167" s="48">
        <f t="shared" si="28"/>
        <v>451714449.49000001</v>
      </c>
      <c r="J167" s="48">
        <f t="shared" si="28"/>
        <v>431261527.62</v>
      </c>
      <c r="K167" s="48">
        <f t="shared" si="28"/>
        <v>2948437.8699999996</v>
      </c>
      <c r="L167" s="48">
        <f t="shared" si="28"/>
        <v>0</v>
      </c>
      <c r="M167" s="48">
        <f t="shared" si="28"/>
        <v>0</v>
      </c>
      <c r="N167" s="48">
        <f t="shared" si="28"/>
        <v>448766011.62</v>
      </c>
      <c r="O167" s="48">
        <f t="shared" si="28"/>
        <v>531641211.63999999</v>
      </c>
    </row>
    <row r="168" spans="1:15" s="53" customFormat="1" ht="47.25" x14ac:dyDescent="0.25">
      <c r="A168" s="71"/>
      <c r="B168" s="72"/>
      <c r="C168" s="75" t="s">
        <v>388</v>
      </c>
      <c r="D168" s="76">
        <f>D175</f>
        <v>0</v>
      </c>
      <c r="E168" s="76">
        <f t="shared" ref="E168:O168" si="29">E175</f>
        <v>0</v>
      </c>
      <c r="F168" s="76">
        <f t="shared" si="29"/>
        <v>0</v>
      </c>
      <c r="G168" s="76">
        <f t="shared" si="29"/>
        <v>0</v>
      </c>
      <c r="H168" s="76">
        <f t="shared" si="29"/>
        <v>0</v>
      </c>
      <c r="I168" s="76">
        <f t="shared" si="29"/>
        <v>20015420</v>
      </c>
      <c r="J168" s="76">
        <f t="shared" si="29"/>
        <v>16522470</v>
      </c>
      <c r="K168" s="76">
        <f t="shared" si="29"/>
        <v>0</v>
      </c>
      <c r="L168" s="76">
        <f t="shared" si="29"/>
        <v>0</v>
      </c>
      <c r="M168" s="76">
        <f t="shared" si="29"/>
        <v>0</v>
      </c>
      <c r="N168" s="76">
        <f t="shared" si="29"/>
        <v>20015420</v>
      </c>
      <c r="O168" s="76">
        <f t="shared" si="29"/>
        <v>20015420</v>
      </c>
    </row>
    <row r="169" spans="1:15" s="53" customFormat="1" ht="94.5" hidden="1" x14ac:dyDescent="0.25">
      <c r="A169" s="71"/>
      <c r="B169" s="72"/>
      <c r="C169" s="75" t="s">
        <v>397</v>
      </c>
      <c r="D169" s="76">
        <f>D195</f>
        <v>0</v>
      </c>
      <c r="E169" s="76">
        <f t="shared" ref="E169:N169" si="30">E195</f>
        <v>0</v>
      </c>
      <c r="F169" s="76">
        <f t="shared" si="30"/>
        <v>0</v>
      </c>
      <c r="G169" s="76">
        <f t="shared" si="30"/>
        <v>0</v>
      </c>
      <c r="H169" s="76">
        <f t="shared" si="30"/>
        <v>0</v>
      </c>
      <c r="I169" s="76">
        <f t="shared" si="30"/>
        <v>0</v>
      </c>
      <c r="J169" s="76">
        <f t="shared" si="30"/>
        <v>0</v>
      </c>
      <c r="K169" s="76">
        <f t="shared" si="30"/>
        <v>0</v>
      </c>
      <c r="L169" s="76">
        <f t="shared" si="30"/>
        <v>0</v>
      </c>
      <c r="M169" s="76">
        <f t="shared" si="30"/>
        <v>0</v>
      </c>
      <c r="N169" s="76">
        <f t="shared" si="30"/>
        <v>0</v>
      </c>
      <c r="O169" s="76">
        <f t="shared" ref="O169" si="31">O195</f>
        <v>0</v>
      </c>
    </row>
    <row r="170" spans="1:15" s="53" customFormat="1" x14ac:dyDescent="0.25">
      <c r="A170" s="71"/>
      <c r="B170" s="72"/>
      <c r="C170" s="77" t="s">
        <v>395</v>
      </c>
      <c r="D170" s="76">
        <f>D176+D197</f>
        <v>200000</v>
      </c>
      <c r="E170" s="76">
        <f t="shared" ref="E170:O170" si="32">E176+E197</f>
        <v>200000</v>
      </c>
      <c r="F170" s="76">
        <f t="shared" si="32"/>
        <v>0</v>
      </c>
      <c r="G170" s="76">
        <f t="shared" si="32"/>
        <v>0</v>
      </c>
      <c r="H170" s="76">
        <f t="shared" si="32"/>
        <v>0</v>
      </c>
      <c r="I170" s="76">
        <f t="shared" si="32"/>
        <v>450000</v>
      </c>
      <c r="J170" s="76">
        <f t="shared" si="32"/>
        <v>450000</v>
      </c>
      <c r="K170" s="76">
        <f t="shared" si="32"/>
        <v>0</v>
      </c>
      <c r="L170" s="76">
        <f t="shared" si="32"/>
        <v>0</v>
      </c>
      <c r="M170" s="76">
        <f t="shared" si="32"/>
        <v>0</v>
      </c>
      <c r="N170" s="76">
        <f t="shared" si="32"/>
        <v>450000</v>
      </c>
      <c r="O170" s="76">
        <f t="shared" si="32"/>
        <v>650000</v>
      </c>
    </row>
    <row r="171" spans="1:15" s="53" customFormat="1" ht="18" customHeight="1" x14ac:dyDescent="0.25">
      <c r="A171" s="71"/>
      <c r="B171" s="71"/>
      <c r="C171" s="83" t="s">
        <v>419</v>
      </c>
      <c r="D171" s="76">
        <f>D213</f>
        <v>0</v>
      </c>
      <c r="E171" s="76">
        <f t="shared" ref="E171:O171" si="33">E213</f>
        <v>0</v>
      </c>
      <c r="F171" s="76">
        <f t="shared" si="33"/>
        <v>0</v>
      </c>
      <c r="G171" s="76">
        <f t="shared" si="33"/>
        <v>0</v>
      </c>
      <c r="H171" s="76">
        <f t="shared" si="33"/>
        <v>0</v>
      </c>
      <c r="I171" s="76">
        <f t="shared" si="33"/>
        <v>127771665.12</v>
      </c>
      <c r="J171" s="76">
        <f t="shared" si="33"/>
        <v>127771665.12</v>
      </c>
      <c r="K171" s="76">
        <f t="shared" si="33"/>
        <v>0</v>
      </c>
      <c r="L171" s="76">
        <f t="shared" si="33"/>
        <v>0</v>
      </c>
      <c r="M171" s="76">
        <f t="shared" si="33"/>
        <v>0</v>
      </c>
      <c r="N171" s="76">
        <f t="shared" si="33"/>
        <v>127771665.12</v>
      </c>
      <c r="O171" s="76">
        <f t="shared" si="33"/>
        <v>127771665.12</v>
      </c>
    </row>
    <row r="172" spans="1:15" s="52" customFormat="1" x14ac:dyDescent="0.25">
      <c r="A172" s="38" t="s">
        <v>143</v>
      </c>
      <c r="B172" s="41"/>
      <c r="C172" s="2" t="s">
        <v>144</v>
      </c>
      <c r="D172" s="48">
        <f t="shared" ref="D172:O172" si="34">D173</f>
        <v>450000</v>
      </c>
      <c r="E172" s="48">
        <f t="shared" si="34"/>
        <v>450000</v>
      </c>
      <c r="F172" s="48">
        <f t="shared" si="34"/>
        <v>0</v>
      </c>
      <c r="G172" s="48">
        <f t="shared" si="34"/>
        <v>0</v>
      </c>
      <c r="H172" s="48">
        <f t="shared" si="34"/>
        <v>0</v>
      </c>
      <c r="I172" s="48">
        <f t="shared" si="34"/>
        <v>0</v>
      </c>
      <c r="J172" s="48">
        <f t="shared" si="34"/>
        <v>0</v>
      </c>
      <c r="K172" s="48">
        <f t="shared" si="34"/>
        <v>0</v>
      </c>
      <c r="L172" s="48">
        <f t="shared" si="34"/>
        <v>0</v>
      </c>
      <c r="M172" s="48">
        <f t="shared" si="34"/>
        <v>0</v>
      </c>
      <c r="N172" s="48">
        <f t="shared" si="34"/>
        <v>0</v>
      </c>
      <c r="O172" s="48">
        <f t="shared" si="34"/>
        <v>450000</v>
      </c>
    </row>
    <row r="173" spans="1:15" ht="24" customHeight="1" x14ac:dyDescent="0.25">
      <c r="A173" s="37" t="s">
        <v>137</v>
      </c>
      <c r="B173" s="37" t="s">
        <v>83</v>
      </c>
      <c r="C173" s="3" t="s">
        <v>345</v>
      </c>
      <c r="D173" s="49">
        <f>'дод 3'!E301</f>
        <v>450000</v>
      </c>
      <c r="E173" s="49">
        <f>'дод 3'!F301</f>
        <v>450000</v>
      </c>
      <c r="F173" s="49">
        <f>'дод 3'!G301</f>
        <v>0</v>
      </c>
      <c r="G173" s="49">
        <f>'дод 3'!H301</f>
        <v>0</v>
      </c>
      <c r="H173" s="49">
        <f>'дод 3'!I301</f>
        <v>0</v>
      </c>
      <c r="I173" s="49">
        <f>'дод 3'!J301</f>
        <v>0</v>
      </c>
      <c r="J173" s="49">
        <f>'дод 3'!K301</f>
        <v>0</v>
      </c>
      <c r="K173" s="49">
        <f>'дод 3'!L301</f>
        <v>0</v>
      </c>
      <c r="L173" s="49">
        <f>'дод 3'!M301</f>
        <v>0</v>
      </c>
      <c r="M173" s="49">
        <f>'дод 3'!N301</f>
        <v>0</v>
      </c>
      <c r="N173" s="49">
        <f>'дод 3'!O301</f>
        <v>0</v>
      </c>
      <c r="O173" s="49">
        <f>'дод 3'!P301</f>
        <v>450000</v>
      </c>
    </row>
    <row r="174" spans="1:15" s="52" customFormat="1" ht="31.5" x14ac:dyDescent="0.25">
      <c r="A174" s="38" t="s">
        <v>97</v>
      </c>
      <c r="B174" s="38"/>
      <c r="C174" s="13" t="s">
        <v>595</v>
      </c>
      <c r="D174" s="48">
        <f>D177+D178+D180+D181+D182+D183+D184+D185+D186+D187+D189+D191+D193</f>
        <v>2341300.6</v>
      </c>
      <c r="E174" s="48">
        <f t="shared" ref="E174:O174" si="35">E177+E178+E180+E181+E182+E183+E184+E185+E186+E187+E189+E191+E193</f>
        <v>2341300.6</v>
      </c>
      <c r="F174" s="48">
        <f t="shared" si="35"/>
        <v>0</v>
      </c>
      <c r="G174" s="48">
        <f t="shared" si="35"/>
        <v>0</v>
      </c>
      <c r="H174" s="48">
        <f t="shared" si="35"/>
        <v>0</v>
      </c>
      <c r="I174" s="48">
        <f t="shared" si="35"/>
        <v>251103215.05000001</v>
      </c>
      <c r="J174" s="48">
        <f t="shared" si="35"/>
        <v>247610265.05000001</v>
      </c>
      <c r="K174" s="48">
        <f t="shared" si="35"/>
        <v>0</v>
      </c>
      <c r="L174" s="48">
        <f t="shared" si="35"/>
        <v>0</v>
      </c>
      <c r="M174" s="48">
        <f t="shared" si="35"/>
        <v>0</v>
      </c>
      <c r="N174" s="48">
        <f t="shared" si="35"/>
        <v>251103215.05000001</v>
      </c>
      <c r="O174" s="48">
        <f t="shared" si="35"/>
        <v>253444515.65000001</v>
      </c>
    </row>
    <row r="175" spans="1:15" s="53" customFormat="1" ht="53.25" customHeight="1" x14ac:dyDescent="0.25">
      <c r="A175" s="71"/>
      <c r="B175" s="71"/>
      <c r="C175" s="75" t="s">
        <v>388</v>
      </c>
      <c r="D175" s="76">
        <f>D190</f>
        <v>0</v>
      </c>
      <c r="E175" s="76">
        <f t="shared" ref="E175:O175" si="36">E190</f>
        <v>0</v>
      </c>
      <c r="F175" s="76">
        <f t="shared" si="36"/>
        <v>0</v>
      </c>
      <c r="G175" s="76">
        <f t="shared" si="36"/>
        <v>0</v>
      </c>
      <c r="H175" s="76">
        <f t="shared" si="36"/>
        <v>0</v>
      </c>
      <c r="I175" s="76">
        <f t="shared" si="36"/>
        <v>20015420</v>
      </c>
      <c r="J175" s="76">
        <f t="shared" si="36"/>
        <v>16522470</v>
      </c>
      <c r="K175" s="76">
        <f t="shared" si="36"/>
        <v>0</v>
      </c>
      <c r="L175" s="76">
        <f t="shared" si="36"/>
        <v>0</v>
      </c>
      <c r="M175" s="76">
        <f t="shared" si="36"/>
        <v>0</v>
      </c>
      <c r="N175" s="76">
        <f t="shared" si="36"/>
        <v>20015420</v>
      </c>
      <c r="O175" s="76">
        <f t="shared" si="36"/>
        <v>20015420</v>
      </c>
    </row>
    <row r="176" spans="1:15" s="53" customFormat="1" x14ac:dyDescent="0.25">
      <c r="A176" s="71"/>
      <c r="B176" s="71"/>
      <c r="C176" s="77" t="s">
        <v>395</v>
      </c>
      <c r="D176" s="76">
        <f>D179+D192</f>
        <v>0</v>
      </c>
      <c r="E176" s="76">
        <f t="shared" ref="E176:O176" si="37">E179+E192</f>
        <v>0</v>
      </c>
      <c r="F176" s="76">
        <f t="shared" si="37"/>
        <v>0</v>
      </c>
      <c r="G176" s="76">
        <f t="shared" si="37"/>
        <v>0</v>
      </c>
      <c r="H176" s="76">
        <f t="shared" si="37"/>
        <v>0</v>
      </c>
      <c r="I176" s="76">
        <f t="shared" si="37"/>
        <v>450000</v>
      </c>
      <c r="J176" s="76">
        <f>J179+J192</f>
        <v>450000</v>
      </c>
      <c r="K176" s="76">
        <f t="shared" si="37"/>
        <v>0</v>
      </c>
      <c r="L176" s="76">
        <f t="shared" si="37"/>
        <v>0</v>
      </c>
      <c r="M176" s="76">
        <f t="shared" si="37"/>
        <v>0</v>
      </c>
      <c r="N176" s="76">
        <f t="shared" si="37"/>
        <v>450000</v>
      </c>
      <c r="O176" s="76">
        <f t="shared" si="37"/>
        <v>450000</v>
      </c>
    </row>
    <row r="177" spans="1:15" ht="33" customHeight="1" x14ac:dyDescent="0.25">
      <c r="A177" s="40" t="s">
        <v>272</v>
      </c>
      <c r="B177" s="40" t="s">
        <v>111</v>
      </c>
      <c r="C177" s="6" t="s">
        <v>552</v>
      </c>
      <c r="D177" s="49">
        <f>'дод 3'!E274+'дод 3'!E241</f>
        <v>0</v>
      </c>
      <c r="E177" s="49">
        <f>'дод 3'!F274+'дод 3'!F241</f>
        <v>0</v>
      </c>
      <c r="F177" s="49">
        <f>'дод 3'!G274+'дод 3'!G241</f>
        <v>0</v>
      </c>
      <c r="G177" s="49">
        <f>'дод 3'!H274+'дод 3'!H241</f>
        <v>0</v>
      </c>
      <c r="H177" s="49">
        <f>'дод 3'!I274+'дод 3'!I241</f>
        <v>0</v>
      </c>
      <c r="I177" s="49">
        <f>'дод 3'!J274+'дод 3'!J241</f>
        <v>23965176.469999999</v>
      </c>
      <c r="J177" s="49">
        <f>'дод 3'!K274+'дод 3'!K241</f>
        <v>23965176.469999999</v>
      </c>
      <c r="K177" s="49">
        <f>'дод 3'!L274+'дод 3'!L241</f>
        <v>0</v>
      </c>
      <c r="L177" s="49">
        <f>'дод 3'!M274+'дод 3'!M241</f>
        <v>0</v>
      </c>
      <c r="M177" s="49">
        <f>'дод 3'!N274+'дод 3'!N241</f>
        <v>0</v>
      </c>
      <c r="N177" s="49">
        <f>'дод 3'!O274+'дод 3'!O241</f>
        <v>23965176.469999999</v>
      </c>
      <c r="O177" s="49">
        <f>'дод 3'!P274+'дод 3'!P241</f>
        <v>23965176.469999999</v>
      </c>
    </row>
    <row r="178" spans="1:15" s="54" customFormat="1" ht="34.5" x14ac:dyDescent="0.25">
      <c r="A178" s="40" t="s">
        <v>277</v>
      </c>
      <c r="B178" s="40" t="s">
        <v>111</v>
      </c>
      <c r="C178" s="6" t="s">
        <v>596</v>
      </c>
      <c r="D178" s="49">
        <f>'дод 3'!E116+'дод 3'!E275</f>
        <v>0</v>
      </c>
      <c r="E178" s="49">
        <f>'дод 3'!F116+'дод 3'!F275</f>
        <v>0</v>
      </c>
      <c r="F178" s="49">
        <f>'дод 3'!G116+'дод 3'!G275</f>
        <v>0</v>
      </c>
      <c r="G178" s="49">
        <f>'дод 3'!H116+'дод 3'!H275</f>
        <v>0</v>
      </c>
      <c r="H178" s="49">
        <f>'дод 3'!I116+'дод 3'!I275</f>
        <v>0</v>
      </c>
      <c r="I178" s="49">
        <f>'дод 3'!J116+'дод 3'!J275</f>
        <v>30592842</v>
      </c>
      <c r="J178" s="49">
        <f>'дод 3'!K116+'дод 3'!K275</f>
        <v>30592842</v>
      </c>
      <c r="K178" s="49">
        <f>'дод 3'!L116+'дод 3'!L275</f>
        <v>0</v>
      </c>
      <c r="L178" s="49">
        <f>'дод 3'!M116+'дод 3'!M275</f>
        <v>0</v>
      </c>
      <c r="M178" s="49">
        <f>'дод 3'!N116+'дод 3'!N275</f>
        <v>0</v>
      </c>
      <c r="N178" s="49">
        <f>'дод 3'!O116+'дод 3'!O275</f>
        <v>30592842</v>
      </c>
      <c r="O178" s="49">
        <f>'дод 3'!P116+'дод 3'!P275</f>
        <v>30592842</v>
      </c>
    </row>
    <row r="179" spans="1:15" s="54" customFormat="1" ht="21.75" customHeight="1" x14ac:dyDescent="0.25">
      <c r="A179" s="82"/>
      <c r="B179" s="82"/>
      <c r="C179" s="87" t="s">
        <v>395</v>
      </c>
      <c r="D179" s="80">
        <f>'дод 3'!E117</f>
        <v>0</v>
      </c>
      <c r="E179" s="80">
        <f>'дод 3'!F117</f>
        <v>0</v>
      </c>
      <c r="F179" s="80">
        <f>'дод 3'!G117</f>
        <v>0</v>
      </c>
      <c r="G179" s="80">
        <f>'дод 3'!H117</f>
        <v>0</v>
      </c>
      <c r="H179" s="80">
        <f>'дод 3'!I117</f>
        <v>0</v>
      </c>
      <c r="I179" s="80">
        <f>'дод 3'!J117</f>
        <v>250000</v>
      </c>
      <c r="J179" s="80">
        <f>'дод 3'!K117</f>
        <v>250000</v>
      </c>
      <c r="K179" s="80">
        <f>'дод 3'!L117</f>
        <v>0</v>
      </c>
      <c r="L179" s="80">
        <f>'дод 3'!M117</f>
        <v>0</v>
      </c>
      <c r="M179" s="80">
        <f>'дод 3'!N117</f>
        <v>0</v>
      </c>
      <c r="N179" s="80">
        <f>'дод 3'!O117</f>
        <v>250000</v>
      </c>
      <c r="O179" s="80">
        <f>'дод 3'!P117</f>
        <v>250000</v>
      </c>
    </row>
    <row r="180" spans="1:15" s="54" customFormat="1" ht="24" customHeight="1" x14ac:dyDescent="0.25">
      <c r="A180" s="40" t="s">
        <v>279</v>
      </c>
      <c r="B180" s="40" t="s">
        <v>111</v>
      </c>
      <c r="C180" s="6" t="s">
        <v>549</v>
      </c>
      <c r="D180" s="49">
        <f>'дод 3'!E276+'дод 3'!E153</f>
        <v>0</v>
      </c>
      <c r="E180" s="49">
        <f>'дод 3'!F276+'дод 3'!F153</f>
        <v>0</v>
      </c>
      <c r="F180" s="49">
        <f>'дод 3'!G276+'дод 3'!G153</f>
        <v>0</v>
      </c>
      <c r="G180" s="49">
        <f>'дод 3'!H276+'дод 3'!H153</f>
        <v>0</v>
      </c>
      <c r="H180" s="49">
        <f>'дод 3'!I276+'дод 3'!I153</f>
        <v>0</v>
      </c>
      <c r="I180" s="49">
        <f>'дод 3'!J276+'дод 3'!J153</f>
        <v>45035972</v>
      </c>
      <c r="J180" s="49">
        <f>'дод 3'!K276+'дод 3'!K153</f>
        <v>45035972</v>
      </c>
      <c r="K180" s="49">
        <f>'дод 3'!L276+'дод 3'!L153</f>
        <v>0</v>
      </c>
      <c r="L180" s="49">
        <f>'дод 3'!M276+'дод 3'!M153</f>
        <v>0</v>
      </c>
      <c r="M180" s="49">
        <f>'дод 3'!N276+'дод 3'!N153</f>
        <v>0</v>
      </c>
      <c r="N180" s="49">
        <f>'дод 3'!O276+'дод 3'!O153</f>
        <v>45035972</v>
      </c>
      <c r="O180" s="49">
        <f>'дод 3'!P276+'дод 3'!P153</f>
        <v>45035972</v>
      </c>
    </row>
    <row r="181" spans="1:15" s="54" customFormat="1" ht="22.5" customHeight="1" x14ac:dyDescent="0.25">
      <c r="A181" s="40">
        <v>7323</v>
      </c>
      <c r="B181" s="73" t="s">
        <v>111</v>
      </c>
      <c r="C181" s="134" t="s">
        <v>550</v>
      </c>
      <c r="D181" s="49">
        <f>'дод 3'!E200</f>
        <v>0</v>
      </c>
      <c r="E181" s="49">
        <f>'дод 3'!F200</f>
        <v>0</v>
      </c>
      <c r="F181" s="49">
        <f>'дод 3'!G200</f>
        <v>0</v>
      </c>
      <c r="G181" s="49">
        <f>'дод 3'!H200</f>
        <v>0</v>
      </c>
      <c r="H181" s="49">
        <f>'дод 3'!I200</f>
        <v>0</v>
      </c>
      <c r="I181" s="49">
        <f>'дод 3'!J200</f>
        <v>473213</v>
      </c>
      <c r="J181" s="49">
        <f>'дод 3'!K200</f>
        <v>473213</v>
      </c>
      <c r="K181" s="49">
        <f>'дод 3'!L200</f>
        <v>0</v>
      </c>
      <c r="L181" s="49">
        <f>'дод 3'!M200</f>
        <v>0</v>
      </c>
      <c r="M181" s="49">
        <f>'дод 3'!N200</f>
        <v>0</v>
      </c>
      <c r="N181" s="49">
        <f>'дод 3'!O200</f>
        <v>473213</v>
      </c>
      <c r="O181" s="49">
        <f>'дод 3'!P200</f>
        <v>473213</v>
      </c>
    </row>
    <row r="182" spans="1:15" s="54" customFormat="1" ht="19.5" customHeight="1" x14ac:dyDescent="0.25">
      <c r="A182" s="40">
        <v>7324</v>
      </c>
      <c r="B182" s="73" t="s">
        <v>111</v>
      </c>
      <c r="C182" s="6" t="s">
        <v>551</v>
      </c>
      <c r="D182" s="49">
        <f>'дод 3'!E218+'дод 3'!E277</f>
        <v>0</v>
      </c>
      <c r="E182" s="49">
        <f>'дод 3'!F218+'дод 3'!F277</f>
        <v>0</v>
      </c>
      <c r="F182" s="49">
        <f>'дод 3'!G218+'дод 3'!G277</f>
        <v>0</v>
      </c>
      <c r="G182" s="49">
        <f>'дод 3'!H218+'дод 3'!H277</f>
        <v>0</v>
      </c>
      <c r="H182" s="49">
        <f>'дод 3'!I218+'дод 3'!I277</f>
        <v>0</v>
      </c>
      <c r="I182" s="49">
        <f>'дод 3'!J218+'дод 3'!J277</f>
        <v>970000</v>
      </c>
      <c r="J182" s="49">
        <f>'дод 3'!K218+'дод 3'!K277</f>
        <v>970000</v>
      </c>
      <c r="K182" s="49">
        <f>'дод 3'!L218+'дод 3'!L277</f>
        <v>0</v>
      </c>
      <c r="L182" s="49">
        <f>'дод 3'!M218+'дод 3'!M277</f>
        <v>0</v>
      </c>
      <c r="M182" s="49">
        <f>'дод 3'!N218+'дод 3'!N277</f>
        <v>0</v>
      </c>
      <c r="N182" s="49">
        <f>'дод 3'!O218+'дод 3'!O277</f>
        <v>970000</v>
      </c>
      <c r="O182" s="49">
        <f>'дод 3'!P218+'дод 3'!P277</f>
        <v>970000</v>
      </c>
    </row>
    <row r="183" spans="1:15" s="54" customFormat="1" ht="34.5" x14ac:dyDescent="0.25">
      <c r="A183" s="40">
        <v>7325</v>
      </c>
      <c r="B183" s="73" t="s">
        <v>111</v>
      </c>
      <c r="C183" s="6" t="s">
        <v>546</v>
      </c>
      <c r="D183" s="49">
        <f>'дод 3'!E278+'дод 3'!E42</f>
        <v>0</v>
      </c>
      <c r="E183" s="49">
        <f>'дод 3'!F278+'дод 3'!F42</f>
        <v>0</v>
      </c>
      <c r="F183" s="49">
        <f>'дод 3'!G278+'дод 3'!G42</f>
        <v>0</v>
      </c>
      <c r="G183" s="49">
        <f>'дод 3'!H278+'дод 3'!H42</f>
        <v>0</v>
      </c>
      <c r="H183" s="49">
        <f>'дод 3'!I278+'дод 3'!I42</f>
        <v>0</v>
      </c>
      <c r="I183" s="49">
        <f>'дод 3'!J278+'дод 3'!J42</f>
        <v>12639440</v>
      </c>
      <c r="J183" s="49">
        <f>'дод 3'!K278+'дод 3'!K42</f>
        <v>12639440</v>
      </c>
      <c r="K183" s="49">
        <f>'дод 3'!L278+'дод 3'!L42</f>
        <v>0</v>
      </c>
      <c r="L183" s="49">
        <f>'дод 3'!M278+'дод 3'!M42</f>
        <v>0</v>
      </c>
      <c r="M183" s="49">
        <f>'дод 3'!N278+'дод 3'!N42</f>
        <v>0</v>
      </c>
      <c r="N183" s="49">
        <f>'дод 3'!O278+'дод 3'!O42</f>
        <v>12639440</v>
      </c>
      <c r="O183" s="49">
        <f>'дод 3'!P278+'дод 3'!P42</f>
        <v>12639440</v>
      </c>
    </row>
    <row r="184" spans="1:15" ht="21.75" customHeight="1" x14ac:dyDescent="0.25">
      <c r="A184" s="40" t="s">
        <v>274</v>
      </c>
      <c r="B184" s="40" t="s">
        <v>111</v>
      </c>
      <c r="C184" s="6" t="s">
        <v>547</v>
      </c>
      <c r="D184" s="49">
        <f>'дод 3'!E279+'дод 3'!E242+'дод 3'!E43</f>
        <v>0</v>
      </c>
      <c r="E184" s="49">
        <f>'дод 3'!F279+'дод 3'!F242+'дод 3'!F43</f>
        <v>0</v>
      </c>
      <c r="F184" s="49">
        <f>'дод 3'!G279+'дод 3'!G242+'дод 3'!G43</f>
        <v>0</v>
      </c>
      <c r="G184" s="49">
        <f>'дод 3'!H279+'дод 3'!H242+'дод 3'!H43</f>
        <v>0</v>
      </c>
      <c r="H184" s="49">
        <f>'дод 3'!I279+'дод 3'!I242+'дод 3'!I43</f>
        <v>0</v>
      </c>
      <c r="I184" s="49">
        <f>'дод 3'!J279+'дод 3'!J242+'дод 3'!J43</f>
        <v>30924714.579999998</v>
      </c>
      <c r="J184" s="49">
        <f>'дод 3'!K279+'дод 3'!K242+'дод 3'!K43</f>
        <v>30924714.579999998</v>
      </c>
      <c r="K184" s="49">
        <f>'дод 3'!L279+'дод 3'!L242+'дод 3'!L43</f>
        <v>0</v>
      </c>
      <c r="L184" s="49">
        <f>'дод 3'!M279+'дод 3'!M242+'дод 3'!M43</f>
        <v>0</v>
      </c>
      <c r="M184" s="49">
        <f>'дод 3'!N279+'дод 3'!N242+'дод 3'!N43</f>
        <v>0</v>
      </c>
      <c r="N184" s="49">
        <f>'дод 3'!O279+'дод 3'!O242+'дод 3'!O43</f>
        <v>30924714.579999998</v>
      </c>
      <c r="O184" s="49">
        <f>'дод 3'!P279+'дод 3'!P242+'дод 3'!P43</f>
        <v>30924714.579999998</v>
      </c>
    </row>
    <row r="185" spans="1:15" ht="31.5" customHeight="1" x14ac:dyDescent="0.25">
      <c r="A185" s="37" t="s">
        <v>138</v>
      </c>
      <c r="B185" s="37" t="s">
        <v>111</v>
      </c>
      <c r="C185" s="3" t="s">
        <v>1</v>
      </c>
      <c r="D185" s="49">
        <f>'дод 3'!E243+'дод 3'!E280</f>
        <v>0</v>
      </c>
      <c r="E185" s="49">
        <f>'дод 3'!F243+'дод 3'!F280</f>
        <v>0</v>
      </c>
      <c r="F185" s="49">
        <f>'дод 3'!G243+'дод 3'!G280</f>
        <v>0</v>
      </c>
      <c r="G185" s="49">
        <f>'дод 3'!H243+'дод 3'!H280</f>
        <v>0</v>
      </c>
      <c r="H185" s="49">
        <f>'дод 3'!I243+'дод 3'!I280</f>
        <v>0</v>
      </c>
      <c r="I185" s="49">
        <f>'дод 3'!J243+'дод 3'!J280</f>
        <v>4250000</v>
      </c>
      <c r="J185" s="49">
        <f>'дод 3'!K243+'дод 3'!K280</f>
        <v>4250000</v>
      </c>
      <c r="K185" s="49">
        <f>'дод 3'!L243+'дод 3'!L280</f>
        <v>0</v>
      </c>
      <c r="L185" s="49">
        <f>'дод 3'!M243+'дод 3'!M280</f>
        <v>0</v>
      </c>
      <c r="M185" s="49">
        <f>'дод 3'!N243+'дод 3'!N280</f>
        <v>0</v>
      </c>
      <c r="N185" s="49">
        <f>'дод 3'!O243+'дод 3'!O280</f>
        <v>4250000</v>
      </c>
      <c r="O185" s="49">
        <f>'дод 3'!P243+'дод 3'!P280</f>
        <v>4250000</v>
      </c>
    </row>
    <row r="186" spans="1:15" ht="35.25" customHeight="1" x14ac:dyDescent="0.25">
      <c r="A186" s="58" t="s">
        <v>459</v>
      </c>
      <c r="B186" s="58" t="s">
        <v>111</v>
      </c>
      <c r="C186" s="3" t="s">
        <v>460</v>
      </c>
      <c r="D186" s="49">
        <f>'дод 3'!E292</f>
        <v>0</v>
      </c>
      <c r="E186" s="49">
        <f>'дод 3'!F292</f>
        <v>0</v>
      </c>
      <c r="F186" s="49">
        <f>'дод 3'!G292</f>
        <v>0</v>
      </c>
      <c r="G186" s="49">
        <f>'дод 3'!H292</f>
        <v>0</v>
      </c>
      <c r="H186" s="49">
        <f>'дод 3'!I292</f>
        <v>0</v>
      </c>
      <c r="I186" s="49">
        <f>'дод 3'!J292</f>
        <v>0</v>
      </c>
      <c r="J186" s="49">
        <f>'дод 3'!K292</f>
        <v>0</v>
      </c>
      <c r="K186" s="49">
        <f>'дод 3'!L292</f>
        <v>0</v>
      </c>
      <c r="L186" s="49">
        <f>'дод 3'!M292</f>
        <v>0</v>
      </c>
      <c r="M186" s="49">
        <f>'дод 3'!N292</f>
        <v>0</v>
      </c>
      <c r="N186" s="49">
        <f>'дод 3'!O292</f>
        <v>0</v>
      </c>
      <c r="O186" s="49">
        <f>'дод 3'!P292</f>
        <v>0</v>
      </c>
    </row>
    <row r="187" spans="1:15" ht="51.75" customHeight="1" x14ac:dyDescent="0.25">
      <c r="A187" s="37">
        <v>7361</v>
      </c>
      <c r="B187" s="37" t="s">
        <v>82</v>
      </c>
      <c r="C187" s="3" t="s">
        <v>372</v>
      </c>
      <c r="D187" s="49">
        <f>'дод 3'!E244+'дод 3'!E281+'дод 3'!E154</f>
        <v>0</v>
      </c>
      <c r="E187" s="49">
        <f>'дод 3'!F244+'дод 3'!F281+'дод 3'!F154</f>
        <v>0</v>
      </c>
      <c r="F187" s="49">
        <f>'дод 3'!G244+'дод 3'!G281+'дод 3'!G154</f>
        <v>0</v>
      </c>
      <c r="G187" s="49">
        <f>'дод 3'!H244+'дод 3'!H281+'дод 3'!H154</f>
        <v>0</v>
      </c>
      <c r="H187" s="49">
        <f>'дод 3'!I244+'дод 3'!I281+'дод 3'!I154</f>
        <v>0</v>
      </c>
      <c r="I187" s="49">
        <f>'дод 3'!J244+'дод 3'!J281+'дод 3'!J154</f>
        <v>72850673</v>
      </c>
      <c r="J187" s="49">
        <f>'дод 3'!K244+'дод 3'!K281+'дод 3'!K154</f>
        <v>72850673</v>
      </c>
      <c r="K187" s="49">
        <f>'дод 3'!L244+'дод 3'!L281+'дод 3'!L154</f>
        <v>0</v>
      </c>
      <c r="L187" s="49">
        <f>'дод 3'!M244+'дод 3'!M281+'дод 3'!M154</f>
        <v>0</v>
      </c>
      <c r="M187" s="49">
        <f>'дод 3'!N244+'дод 3'!N281+'дод 3'!N154</f>
        <v>0</v>
      </c>
      <c r="N187" s="49">
        <f>'дод 3'!O244+'дод 3'!O281+'дод 3'!O154</f>
        <v>72850673</v>
      </c>
      <c r="O187" s="49">
        <f>'дод 3'!P244+'дод 3'!P281+'дод 3'!P154</f>
        <v>72850673</v>
      </c>
    </row>
    <row r="188" spans="1:15" s="54" customFormat="1" ht="46.5" hidden="1" customHeight="1" x14ac:dyDescent="0.25">
      <c r="A188" s="37">
        <v>7362</v>
      </c>
      <c r="B188" s="37" t="s">
        <v>82</v>
      </c>
      <c r="C188" s="3" t="s">
        <v>364</v>
      </c>
      <c r="D188" s="49">
        <f>'дод 3'!E245</f>
        <v>0</v>
      </c>
      <c r="E188" s="49">
        <f>'дод 3'!F245</f>
        <v>0</v>
      </c>
      <c r="F188" s="49">
        <f>'дод 3'!G245</f>
        <v>0</v>
      </c>
      <c r="G188" s="49">
        <f>'дод 3'!H245</f>
        <v>0</v>
      </c>
      <c r="H188" s="49">
        <f>'дод 3'!I245</f>
        <v>0</v>
      </c>
      <c r="I188" s="49">
        <f>'дод 3'!J245</f>
        <v>0</v>
      </c>
      <c r="J188" s="49">
        <f>'дод 3'!K245</f>
        <v>0</v>
      </c>
      <c r="K188" s="49">
        <f>'дод 3'!L245</f>
        <v>0</v>
      </c>
      <c r="L188" s="49">
        <f>'дод 3'!M245</f>
        <v>0</v>
      </c>
      <c r="M188" s="49">
        <f>'дод 3'!N245</f>
        <v>0</v>
      </c>
      <c r="N188" s="49">
        <f>'дод 3'!O245</f>
        <v>0</v>
      </c>
      <c r="O188" s="49">
        <f>'дод 3'!P245</f>
        <v>0</v>
      </c>
    </row>
    <row r="189" spans="1:15" s="54" customFormat="1" ht="47.25" x14ac:dyDescent="0.25">
      <c r="A189" s="37">
        <v>7363</v>
      </c>
      <c r="B189" s="59" t="s">
        <v>82</v>
      </c>
      <c r="C189" s="60" t="s">
        <v>398</v>
      </c>
      <c r="D189" s="49">
        <f>'дод 3'!E246+'дод 3'!E118+'дод 3'!E155</f>
        <v>0</v>
      </c>
      <c r="E189" s="49">
        <f>'дод 3'!F246+'дод 3'!F118+'дод 3'!F155</f>
        <v>0</v>
      </c>
      <c r="F189" s="49">
        <f>'дод 3'!G246+'дод 3'!G118+'дод 3'!G155</f>
        <v>0</v>
      </c>
      <c r="G189" s="49">
        <f>'дод 3'!H246+'дод 3'!H118+'дод 3'!H155</f>
        <v>0</v>
      </c>
      <c r="H189" s="49">
        <f>'дод 3'!I246+'дод 3'!I118+'дод 3'!I155</f>
        <v>0</v>
      </c>
      <c r="I189" s="49">
        <f>'дод 3'!J246+'дод 3'!J118+'дод 3'!J155</f>
        <v>29201184</v>
      </c>
      <c r="J189" s="49">
        <f>'дод 3'!K246+'дод 3'!K118+'дод 3'!K155</f>
        <v>25708234</v>
      </c>
      <c r="K189" s="49">
        <f>'дод 3'!L246+'дод 3'!L118+'дод 3'!L155</f>
        <v>0</v>
      </c>
      <c r="L189" s="49">
        <f>'дод 3'!M246+'дод 3'!M118+'дод 3'!M155</f>
        <v>0</v>
      </c>
      <c r="M189" s="49">
        <f>'дод 3'!N246+'дод 3'!N118+'дод 3'!N155</f>
        <v>0</v>
      </c>
      <c r="N189" s="49">
        <f>'дод 3'!O246+'дод 3'!O118+'дод 3'!O155</f>
        <v>29201184</v>
      </c>
      <c r="O189" s="49">
        <f>'дод 3'!P246+'дод 3'!P118+'дод 3'!P155</f>
        <v>29201184</v>
      </c>
    </row>
    <row r="190" spans="1:15" s="54" customFormat="1" ht="47.25" x14ac:dyDescent="0.25">
      <c r="A190" s="78"/>
      <c r="B190" s="84"/>
      <c r="C190" s="79" t="s">
        <v>388</v>
      </c>
      <c r="D190" s="80">
        <f>'дод 3'!E119+'дод 3'!E156+'дод 3'!E247</f>
        <v>0</v>
      </c>
      <c r="E190" s="80">
        <f>'дод 3'!F119+'дод 3'!F156+'дод 3'!F247</f>
        <v>0</v>
      </c>
      <c r="F190" s="80">
        <f>'дод 3'!G119+'дод 3'!G156+'дод 3'!G247</f>
        <v>0</v>
      </c>
      <c r="G190" s="80">
        <f>'дод 3'!H119+'дод 3'!H156+'дод 3'!H247</f>
        <v>0</v>
      </c>
      <c r="H190" s="80">
        <f>'дод 3'!I119+'дод 3'!I156+'дод 3'!I247</f>
        <v>0</v>
      </c>
      <c r="I190" s="80">
        <f>'дод 3'!J119+'дод 3'!J156+'дод 3'!J247</f>
        <v>20015420</v>
      </c>
      <c r="J190" s="80">
        <f>'дод 3'!K119+'дод 3'!K156+'дод 3'!K247</f>
        <v>16522470</v>
      </c>
      <c r="K190" s="80">
        <f>'дод 3'!L119+'дод 3'!L156+'дод 3'!L247</f>
        <v>0</v>
      </c>
      <c r="L190" s="80">
        <f>'дод 3'!M119+'дод 3'!M156+'дод 3'!M247</f>
        <v>0</v>
      </c>
      <c r="M190" s="80">
        <f>'дод 3'!N119+'дод 3'!N156+'дод 3'!N247</f>
        <v>0</v>
      </c>
      <c r="N190" s="80">
        <f>'дод 3'!O119+'дод 3'!O156+'дод 3'!O247</f>
        <v>20015420</v>
      </c>
      <c r="O190" s="80">
        <f>'дод 3'!P119+'дод 3'!P156+'дод 3'!P247</f>
        <v>20015420</v>
      </c>
    </row>
    <row r="191" spans="1:15" ht="31.5" x14ac:dyDescent="0.25">
      <c r="A191" s="37">
        <v>7368</v>
      </c>
      <c r="B191" s="37" t="s">
        <v>82</v>
      </c>
      <c r="C191" s="36" t="s">
        <v>592</v>
      </c>
      <c r="D191" s="49">
        <f>'дод 3'!E248</f>
        <v>0</v>
      </c>
      <c r="E191" s="49">
        <f>'дод 3'!F248</f>
        <v>0</v>
      </c>
      <c r="F191" s="49">
        <f>'дод 3'!G248</f>
        <v>0</v>
      </c>
      <c r="G191" s="49">
        <f>'дод 3'!H248</f>
        <v>0</v>
      </c>
      <c r="H191" s="49">
        <f>'дод 3'!I248</f>
        <v>0</v>
      </c>
      <c r="I191" s="49">
        <f>'дод 3'!J248</f>
        <v>200000</v>
      </c>
      <c r="J191" s="49">
        <f>'дод 3'!K248</f>
        <v>200000</v>
      </c>
      <c r="K191" s="49">
        <f>'дод 3'!L248</f>
        <v>0</v>
      </c>
      <c r="L191" s="49">
        <f>'дод 3'!M248</f>
        <v>0</v>
      </c>
      <c r="M191" s="49">
        <f>'дод 3'!N248</f>
        <v>0</v>
      </c>
      <c r="N191" s="49">
        <f>'дод 3'!O248</f>
        <v>200000</v>
      </c>
      <c r="O191" s="49">
        <f>'дод 3'!P248</f>
        <v>200000</v>
      </c>
    </row>
    <row r="192" spans="1:15" s="54" customFormat="1" x14ac:dyDescent="0.25">
      <c r="A192" s="78"/>
      <c r="B192" s="84"/>
      <c r="C192" s="85" t="s">
        <v>393</v>
      </c>
      <c r="D192" s="80">
        <f>'дод 3'!E249</f>
        <v>0</v>
      </c>
      <c r="E192" s="80">
        <f>'дод 3'!F249</f>
        <v>0</v>
      </c>
      <c r="F192" s="80">
        <f>'дод 3'!G249</f>
        <v>0</v>
      </c>
      <c r="G192" s="80">
        <f>'дод 3'!H249</f>
        <v>0</v>
      </c>
      <c r="H192" s="80">
        <f>'дод 3'!I249</f>
        <v>0</v>
      </c>
      <c r="I192" s="80">
        <f>'дод 3'!J249</f>
        <v>200000</v>
      </c>
      <c r="J192" s="80">
        <f>'дод 3'!K249</f>
        <v>200000</v>
      </c>
      <c r="K192" s="80">
        <f>'дод 3'!L249</f>
        <v>0</v>
      </c>
      <c r="L192" s="80">
        <f>'дод 3'!M249</f>
        <v>0</v>
      </c>
      <c r="M192" s="80">
        <f>'дод 3'!N249</f>
        <v>0</v>
      </c>
      <c r="N192" s="80">
        <f>'дод 3'!O249</f>
        <v>200000</v>
      </c>
      <c r="O192" s="80">
        <f>'дод 3'!P249</f>
        <v>200000</v>
      </c>
    </row>
    <row r="193" spans="1:15" s="54" customFormat="1" ht="31.5" x14ac:dyDescent="0.25">
      <c r="A193" s="37">
        <v>7370</v>
      </c>
      <c r="B193" s="59" t="s">
        <v>82</v>
      </c>
      <c r="C193" s="60" t="s">
        <v>431</v>
      </c>
      <c r="D193" s="49">
        <f>'дод 3'!E283+'дод 3'!E293</f>
        <v>2341300.6</v>
      </c>
      <c r="E193" s="49">
        <f>'дод 3'!F283+'дод 3'!F293</f>
        <v>2341300.6</v>
      </c>
      <c r="F193" s="49">
        <f>'дод 3'!G283+'дод 3'!G293</f>
        <v>0</v>
      </c>
      <c r="G193" s="49">
        <f>'дод 3'!H283+'дод 3'!H293</f>
        <v>0</v>
      </c>
      <c r="H193" s="49">
        <f>'дод 3'!I283+'дод 3'!I293</f>
        <v>0</v>
      </c>
      <c r="I193" s="49">
        <f>'дод 3'!J283+'дод 3'!J293</f>
        <v>0</v>
      </c>
      <c r="J193" s="49">
        <f>'дод 3'!K283+'дод 3'!K293</f>
        <v>0</v>
      </c>
      <c r="K193" s="49">
        <f>'дод 3'!L283+'дод 3'!L293</f>
        <v>0</v>
      </c>
      <c r="L193" s="49">
        <f>'дод 3'!M283+'дод 3'!M293</f>
        <v>0</v>
      </c>
      <c r="M193" s="49">
        <f>'дод 3'!N283+'дод 3'!N293</f>
        <v>0</v>
      </c>
      <c r="N193" s="49">
        <f>'дод 3'!O283+'дод 3'!O293</f>
        <v>0</v>
      </c>
      <c r="O193" s="49">
        <f>'дод 3'!P283+'дод 3'!P293</f>
        <v>2341300.6</v>
      </c>
    </row>
    <row r="194" spans="1:15" s="52" customFormat="1" ht="34.5" customHeight="1" x14ac:dyDescent="0.25">
      <c r="A194" s="38" t="s">
        <v>85</v>
      </c>
      <c r="B194" s="41"/>
      <c r="C194" s="2" t="s">
        <v>597</v>
      </c>
      <c r="D194" s="48">
        <f>D198+D199+D200+D201+D205+D206+D208</f>
        <v>64546042</v>
      </c>
      <c r="E194" s="48">
        <f t="shared" ref="E194:O194" si="38">E198+E199+E200+E201+E205+E206+E208</f>
        <v>1867346</v>
      </c>
      <c r="F194" s="48">
        <f t="shared" si="38"/>
        <v>0</v>
      </c>
      <c r="G194" s="48">
        <f t="shared" si="38"/>
        <v>0</v>
      </c>
      <c r="H194" s="48">
        <f t="shared" si="38"/>
        <v>62678696</v>
      </c>
      <c r="I194" s="48">
        <f t="shared" si="38"/>
        <v>0</v>
      </c>
      <c r="J194" s="48">
        <f t="shared" si="38"/>
        <v>0</v>
      </c>
      <c r="K194" s="48">
        <f t="shared" si="38"/>
        <v>0</v>
      </c>
      <c r="L194" s="48">
        <f t="shared" si="38"/>
        <v>0</v>
      </c>
      <c r="M194" s="48">
        <f t="shared" si="38"/>
        <v>0</v>
      </c>
      <c r="N194" s="48">
        <f t="shared" si="38"/>
        <v>0</v>
      </c>
      <c r="O194" s="48">
        <f t="shared" si="38"/>
        <v>64546042</v>
      </c>
    </row>
    <row r="195" spans="1:15" s="53" customFormat="1" ht="94.5" hidden="1" customHeight="1" x14ac:dyDescent="0.25">
      <c r="A195" s="71"/>
      <c r="B195" s="72"/>
      <c r="C195" s="75" t="s">
        <v>397</v>
      </c>
      <c r="D195" s="76">
        <f>D203</f>
        <v>0</v>
      </c>
      <c r="E195" s="76">
        <f t="shared" ref="E195:O195" si="39">E203</f>
        <v>0</v>
      </c>
      <c r="F195" s="76">
        <f t="shared" si="39"/>
        <v>0</v>
      </c>
      <c r="G195" s="76">
        <f t="shared" si="39"/>
        <v>0</v>
      </c>
      <c r="H195" s="76">
        <f t="shared" si="39"/>
        <v>0</v>
      </c>
      <c r="I195" s="76">
        <f t="shared" si="39"/>
        <v>0</v>
      </c>
      <c r="J195" s="76">
        <f t="shared" si="39"/>
        <v>0</v>
      </c>
      <c r="K195" s="76">
        <f t="shared" si="39"/>
        <v>0</v>
      </c>
      <c r="L195" s="76">
        <f t="shared" si="39"/>
        <v>0</v>
      </c>
      <c r="M195" s="76">
        <f t="shared" si="39"/>
        <v>0</v>
      </c>
      <c r="N195" s="76">
        <f t="shared" si="39"/>
        <v>0</v>
      </c>
      <c r="O195" s="76">
        <f t="shared" si="39"/>
        <v>0</v>
      </c>
    </row>
    <row r="196" spans="1:15" s="53" customFormat="1" ht="63" x14ac:dyDescent="0.25">
      <c r="A196" s="71"/>
      <c r="B196" s="72"/>
      <c r="C196" s="75" t="s">
        <v>446</v>
      </c>
      <c r="D196" s="76">
        <f>D207</f>
        <v>1527346</v>
      </c>
      <c r="E196" s="76">
        <f t="shared" ref="E196:O196" si="40">E207</f>
        <v>1527346</v>
      </c>
      <c r="F196" s="76">
        <f t="shared" si="40"/>
        <v>0</v>
      </c>
      <c r="G196" s="76">
        <f t="shared" si="40"/>
        <v>0</v>
      </c>
      <c r="H196" s="76">
        <f t="shared" si="40"/>
        <v>0</v>
      </c>
      <c r="I196" s="76">
        <f t="shared" si="40"/>
        <v>0</v>
      </c>
      <c r="J196" s="76">
        <f t="shared" si="40"/>
        <v>0</v>
      </c>
      <c r="K196" s="76">
        <f t="shared" si="40"/>
        <v>0</v>
      </c>
      <c r="L196" s="76">
        <f t="shared" si="40"/>
        <v>0</v>
      </c>
      <c r="M196" s="76">
        <f t="shared" si="40"/>
        <v>0</v>
      </c>
      <c r="N196" s="76">
        <f t="shared" si="40"/>
        <v>0</v>
      </c>
      <c r="O196" s="76">
        <f t="shared" si="40"/>
        <v>1527346</v>
      </c>
    </row>
    <row r="197" spans="1:15" s="53" customFormat="1" x14ac:dyDescent="0.25">
      <c r="A197" s="71"/>
      <c r="B197" s="72"/>
      <c r="C197" s="83" t="s">
        <v>393</v>
      </c>
      <c r="D197" s="76">
        <f>D209</f>
        <v>200000</v>
      </c>
      <c r="E197" s="76">
        <f t="shared" ref="E197:O197" si="41">E209</f>
        <v>200000</v>
      </c>
      <c r="F197" s="76">
        <f t="shared" si="41"/>
        <v>0</v>
      </c>
      <c r="G197" s="76">
        <f t="shared" si="41"/>
        <v>0</v>
      </c>
      <c r="H197" s="76">
        <f t="shared" si="41"/>
        <v>0</v>
      </c>
      <c r="I197" s="76">
        <f t="shared" si="41"/>
        <v>0</v>
      </c>
      <c r="J197" s="76">
        <f t="shared" si="41"/>
        <v>0</v>
      </c>
      <c r="K197" s="76">
        <f t="shared" si="41"/>
        <v>0</v>
      </c>
      <c r="L197" s="76">
        <f t="shared" si="41"/>
        <v>0</v>
      </c>
      <c r="M197" s="76">
        <f t="shared" si="41"/>
        <v>0</v>
      </c>
      <c r="N197" s="76">
        <f t="shared" si="41"/>
        <v>0</v>
      </c>
      <c r="O197" s="76">
        <f t="shared" si="41"/>
        <v>200000</v>
      </c>
    </row>
    <row r="198" spans="1:15" s="54" customFormat="1" ht="18.75" customHeight="1" x14ac:dyDescent="0.25">
      <c r="A198" s="37" t="s">
        <v>3</v>
      </c>
      <c r="B198" s="37" t="s">
        <v>84</v>
      </c>
      <c r="C198" s="3" t="s">
        <v>36</v>
      </c>
      <c r="D198" s="49">
        <f>'дод 3'!E44</f>
        <v>6542500</v>
      </c>
      <c r="E198" s="49">
        <f>'дод 3'!F44</f>
        <v>0</v>
      </c>
      <c r="F198" s="49">
        <f>'дод 3'!G44</f>
        <v>0</v>
      </c>
      <c r="G198" s="49">
        <f>'дод 3'!H44</f>
        <v>0</v>
      </c>
      <c r="H198" s="49">
        <f>'дод 3'!I44</f>
        <v>6542500</v>
      </c>
      <c r="I198" s="49">
        <f>'дод 3'!J44</f>
        <v>0</v>
      </c>
      <c r="J198" s="49">
        <f>'дод 3'!K44</f>
        <v>0</v>
      </c>
      <c r="K198" s="49">
        <f>'дод 3'!L44</f>
        <v>0</v>
      </c>
      <c r="L198" s="49">
        <f>'дод 3'!M44</f>
        <v>0</v>
      </c>
      <c r="M198" s="49">
        <f>'дод 3'!N44</f>
        <v>0</v>
      </c>
      <c r="N198" s="49">
        <f>'дод 3'!O44</f>
        <v>0</v>
      </c>
      <c r="O198" s="49">
        <f>'дод 3'!P44</f>
        <v>6542500</v>
      </c>
    </row>
    <row r="199" spans="1:15" s="54" customFormat="1" ht="20.25" customHeight="1" x14ac:dyDescent="0.25">
      <c r="A199" s="37">
        <v>7413</v>
      </c>
      <c r="B199" s="37" t="s">
        <v>84</v>
      </c>
      <c r="C199" s="3" t="s">
        <v>375</v>
      </c>
      <c r="D199" s="49">
        <f>'дод 3'!E45</f>
        <v>12800000</v>
      </c>
      <c r="E199" s="49">
        <f>'дод 3'!F45</f>
        <v>0</v>
      </c>
      <c r="F199" s="49">
        <f>'дод 3'!G45</f>
        <v>0</v>
      </c>
      <c r="G199" s="49">
        <f>'дод 3'!H45</f>
        <v>0</v>
      </c>
      <c r="H199" s="49">
        <f>'дод 3'!I45</f>
        <v>12800000</v>
      </c>
      <c r="I199" s="49">
        <f>'дод 3'!J45</f>
        <v>0</v>
      </c>
      <c r="J199" s="49">
        <f>'дод 3'!K45</f>
        <v>0</v>
      </c>
      <c r="K199" s="49">
        <f>'дод 3'!L45</f>
        <v>0</v>
      </c>
      <c r="L199" s="49">
        <f>'дод 3'!M45</f>
        <v>0</v>
      </c>
      <c r="M199" s="49">
        <f>'дод 3'!N45</f>
        <v>0</v>
      </c>
      <c r="N199" s="49">
        <f>'дод 3'!O45</f>
        <v>0</v>
      </c>
      <c r="O199" s="49">
        <f>'дод 3'!P45</f>
        <v>12800000</v>
      </c>
    </row>
    <row r="200" spans="1:15" s="54" customFormat="1" ht="31.5" x14ac:dyDescent="0.25">
      <c r="A200" s="42">
        <v>7422</v>
      </c>
      <c r="B200" s="103" t="s">
        <v>413</v>
      </c>
      <c r="C200" s="104" t="s">
        <v>568</v>
      </c>
      <c r="D200" s="49">
        <f>'дод 3'!E46</f>
        <v>5893900</v>
      </c>
      <c r="E200" s="49">
        <f>'дод 3'!F46</f>
        <v>0</v>
      </c>
      <c r="F200" s="49">
        <f>'дод 3'!G46</f>
        <v>0</v>
      </c>
      <c r="G200" s="49">
        <f>'дод 3'!H46</f>
        <v>0</v>
      </c>
      <c r="H200" s="49">
        <f>'дод 3'!I46</f>
        <v>5893900</v>
      </c>
      <c r="I200" s="49">
        <f>'дод 3'!J46</f>
        <v>0</v>
      </c>
      <c r="J200" s="49">
        <f>'дод 3'!K46</f>
        <v>0</v>
      </c>
      <c r="K200" s="49">
        <f>'дод 3'!L46</f>
        <v>0</v>
      </c>
      <c r="L200" s="49">
        <f>'дод 3'!M46</f>
        <v>0</v>
      </c>
      <c r="M200" s="49">
        <f>'дод 3'!N46</f>
        <v>0</v>
      </c>
      <c r="N200" s="49">
        <f>'дод 3'!O46</f>
        <v>0</v>
      </c>
      <c r="O200" s="49">
        <f>'дод 3'!P46</f>
        <v>5893900</v>
      </c>
    </row>
    <row r="201" spans="1:15" s="54" customFormat="1" ht="24" customHeight="1" x14ac:dyDescent="0.25">
      <c r="A201" s="37">
        <v>7426</v>
      </c>
      <c r="B201" s="58" t="s">
        <v>413</v>
      </c>
      <c r="C201" s="3" t="s">
        <v>376</v>
      </c>
      <c r="D201" s="49">
        <f>'дод 3'!E47</f>
        <v>37442296</v>
      </c>
      <c r="E201" s="49">
        <f>'дод 3'!F47</f>
        <v>0</v>
      </c>
      <c r="F201" s="49">
        <f>'дод 3'!G47</f>
        <v>0</v>
      </c>
      <c r="G201" s="49">
        <f>'дод 3'!H47</f>
        <v>0</v>
      </c>
      <c r="H201" s="49">
        <f>'дод 3'!I47</f>
        <v>37442296</v>
      </c>
      <c r="I201" s="49">
        <f>'дод 3'!J47</f>
        <v>0</v>
      </c>
      <c r="J201" s="49">
        <f>'дод 3'!K47</f>
        <v>0</v>
      </c>
      <c r="K201" s="49">
        <f>'дод 3'!L47</f>
        <v>0</v>
      </c>
      <c r="L201" s="49">
        <f>'дод 3'!M47</f>
        <v>0</v>
      </c>
      <c r="M201" s="49">
        <f>'дод 3'!N47</f>
        <v>0</v>
      </c>
      <c r="N201" s="49">
        <f>'дод 3'!O47</f>
        <v>0</v>
      </c>
      <c r="O201" s="49">
        <f>'дод 3'!P47</f>
        <v>37442296</v>
      </c>
    </row>
    <row r="202" spans="1:15" s="54" customFormat="1" ht="53.25" hidden="1" customHeight="1" x14ac:dyDescent="0.25">
      <c r="A202" s="37">
        <v>7462</v>
      </c>
      <c r="B202" s="58" t="s">
        <v>400</v>
      </c>
      <c r="C202" s="3" t="s">
        <v>399</v>
      </c>
      <c r="D202" s="49">
        <f>'дод 3'!E250</f>
        <v>1527346</v>
      </c>
      <c r="E202" s="49">
        <f>'дод 3'!F250</f>
        <v>1527346</v>
      </c>
      <c r="F202" s="49">
        <f>'дод 3'!G250</f>
        <v>0</v>
      </c>
      <c r="G202" s="49">
        <f>'дод 3'!H250</f>
        <v>0</v>
      </c>
      <c r="H202" s="49">
        <f>'дод 3'!I250</f>
        <v>0</v>
      </c>
      <c r="I202" s="49">
        <f>'дод 3'!J250</f>
        <v>0</v>
      </c>
      <c r="J202" s="49">
        <f>'дод 3'!K250</f>
        <v>0</v>
      </c>
      <c r="K202" s="49">
        <f>'дод 3'!L250</f>
        <v>0</v>
      </c>
      <c r="L202" s="49">
        <f>'дод 3'!M250</f>
        <v>0</v>
      </c>
      <c r="M202" s="49">
        <f>'дод 3'!N250</f>
        <v>0</v>
      </c>
      <c r="N202" s="49">
        <f>'дод 3'!O250</f>
        <v>0</v>
      </c>
      <c r="O202" s="49">
        <f>'дод 3'!P250</f>
        <v>1527346</v>
      </c>
    </row>
    <row r="203" spans="1:15" s="54" customFormat="1" ht="94.5" hidden="1" customHeight="1" x14ac:dyDescent="0.25">
      <c r="A203" s="78"/>
      <c r="B203" s="78"/>
      <c r="C203" s="79" t="s">
        <v>397</v>
      </c>
      <c r="D203" s="80">
        <f>'дод 3'!E251</f>
        <v>0</v>
      </c>
      <c r="E203" s="80">
        <f>'дод 3'!F251</f>
        <v>0</v>
      </c>
      <c r="F203" s="80">
        <f>'дод 3'!G251</f>
        <v>0</v>
      </c>
      <c r="G203" s="80">
        <f>'дод 3'!H251</f>
        <v>0</v>
      </c>
      <c r="H203" s="80">
        <f>'дод 3'!I251</f>
        <v>0</v>
      </c>
      <c r="I203" s="80">
        <f>'дод 3'!J251</f>
        <v>0</v>
      </c>
      <c r="J203" s="80">
        <f>'дод 3'!K251</f>
        <v>0</v>
      </c>
      <c r="K203" s="80">
        <f>'дод 3'!L251</f>
        <v>0</v>
      </c>
      <c r="L203" s="80">
        <f>'дод 3'!M251</f>
        <v>0</v>
      </c>
      <c r="M203" s="80">
        <f>'дод 3'!N251</f>
        <v>0</v>
      </c>
      <c r="N203" s="80">
        <f>'дод 3'!O251</f>
        <v>0</v>
      </c>
      <c r="O203" s="80">
        <f>'дод 3'!P251</f>
        <v>0</v>
      </c>
    </row>
    <row r="204" spans="1:15" s="54" customFormat="1" ht="63" hidden="1" customHeight="1" x14ac:dyDescent="0.25">
      <c r="A204" s="78"/>
      <c r="B204" s="78"/>
      <c r="C204" s="79" t="s">
        <v>446</v>
      </c>
      <c r="D204" s="80">
        <f>'дод 3'!E252</f>
        <v>1527346</v>
      </c>
      <c r="E204" s="80">
        <f>'дод 3'!F252</f>
        <v>1527346</v>
      </c>
      <c r="F204" s="80">
        <f>'дод 3'!G252</f>
        <v>0</v>
      </c>
      <c r="G204" s="80">
        <f>'дод 3'!H252</f>
        <v>0</v>
      </c>
      <c r="H204" s="80">
        <f>'дод 3'!I252</f>
        <v>0</v>
      </c>
      <c r="I204" s="80">
        <f>'дод 3'!J252</f>
        <v>0</v>
      </c>
      <c r="J204" s="80">
        <f>'дод 3'!K252</f>
        <v>0</v>
      </c>
      <c r="K204" s="80">
        <f>'дод 3'!L252</f>
        <v>0</v>
      </c>
      <c r="L204" s="80">
        <f>'дод 3'!M252</f>
        <v>0</v>
      </c>
      <c r="M204" s="80">
        <f>'дод 3'!N252</f>
        <v>0</v>
      </c>
      <c r="N204" s="80">
        <f>'дод 3'!O252</f>
        <v>0</v>
      </c>
      <c r="O204" s="80">
        <f>'дод 3'!P252</f>
        <v>1527346</v>
      </c>
    </row>
    <row r="205" spans="1:15" s="54" customFormat="1" ht="18" customHeight="1" x14ac:dyDescent="0.25">
      <c r="A205" s="58" t="s">
        <v>455</v>
      </c>
      <c r="B205" s="58" t="s">
        <v>400</v>
      </c>
      <c r="C205" s="3" t="s">
        <v>461</v>
      </c>
      <c r="D205" s="49">
        <f>'дод 3'!E48</f>
        <v>140000</v>
      </c>
      <c r="E205" s="49">
        <f>'дод 3'!F48</f>
        <v>140000</v>
      </c>
      <c r="F205" s="49">
        <f>'дод 3'!G48</f>
        <v>0</v>
      </c>
      <c r="G205" s="49">
        <f>'дод 3'!H48</f>
        <v>0</v>
      </c>
      <c r="H205" s="49">
        <f>'дод 3'!I48</f>
        <v>0</v>
      </c>
      <c r="I205" s="49">
        <f>'дод 3'!J48</f>
        <v>0</v>
      </c>
      <c r="J205" s="49">
        <f>'дод 3'!K48</f>
        <v>0</v>
      </c>
      <c r="K205" s="49">
        <f>'дод 3'!L48</f>
        <v>0</v>
      </c>
      <c r="L205" s="49">
        <f>'дод 3'!M48</f>
        <v>0</v>
      </c>
      <c r="M205" s="49">
        <f>'дод 3'!N48</f>
        <v>0</v>
      </c>
      <c r="N205" s="49">
        <f>'дод 3'!O48</f>
        <v>0</v>
      </c>
      <c r="O205" s="49">
        <f>'дод 3'!P48</f>
        <v>140000</v>
      </c>
    </row>
    <row r="206" spans="1:15" s="54" customFormat="1" ht="54.75" customHeight="1" x14ac:dyDescent="0.25">
      <c r="A206" s="58" t="s">
        <v>542</v>
      </c>
      <c r="B206" s="58" t="s">
        <v>400</v>
      </c>
      <c r="C206" s="117" t="s">
        <v>399</v>
      </c>
      <c r="D206" s="49">
        <f>'дод 3'!E250</f>
        <v>1527346</v>
      </c>
      <c r="E206" s="49">
        <f>'дод 3'!F250</f>
        <v>1527346</v>
      </c>
      <c r="F206" s="49">
        <f>'дод 3'!G250</f>
        <v>0</v>
      </c>
      <c r="G206" s="49">
        <f>'дод 3'!H250</f>
        <v>0</v>
      </c>
      <c r="H206" s="49">
        <f>'дод 3'!I250</f>
        <v>0</v>
      </c>
      <c r="I206" s="49">
        <f>'дод 3'!J250</f>
        <v>0</v>
      </c>
      <c r="J206" s="49">
        <f>'дод 3'!K250</f>
        <v>0</v>
      </c>
      <c r="K206" s="49">
        <f>'дод 3'!L250</f>
        <v>0</v>
      </c>
      <c r="L206" s="49">
        <f>'дод 3'!M250</f>
        <v>0</v>
      </c>
      <c r="M206" s="49">
        <f>'дод 3'!N250</f>
        <v>0</v>
      </c>
      <c r="N206" s="49">
        <f>'дод 3'!O250</f>
        <v>0</v>
      </c>
      <c r="O206" s="49">
        <f>'дод 3'!P250</f>
        <v>1527346</v>
      </c>
    </row>
    <row r="207" spans="1:15" s="54" customFormat="1" ht="63" x14ac:dyDescent="0.25">
      <c r="A207" s="89"/>
      <c r="B207" s="89"/>
      <c r="C207" s="87" t="s">
        <v>540</v>
      </c>
      <c r="D207" s="80">
        <f>'дод 3'!E252</f>
        <v>1527346</v>
      </c>
      <c r="E207" s="80">
        <f>'дод 3'!F252</f>
        <v>1527346</v>
      </c>
      <c r="F207" s="80">
        <f>'дод 3'!G252</f>
        <v>0</v>
      </c>
      <c r="G207" s="80">
        <f>'дод 3'!H252</f>
        <v>0</v>
      </c>
      <c r="H207" s="80">
        <f>'дод 3'!I252</f>
        <v>0</v>
      </c>
      <c r="I207" s="80">
        <f>'дод 3'!J252</f>
        <v>0</v>
      </c>
      <c r="J207" s="80">
        <f>'дод 3'!K252</f>
        <v>0</v>
      </c>
      <c r="K207" s="80">
        <f>'дод 3'!L252</f>
        <v>0</v>
      </c>
      <c r="L207" s="80">
        <f>'дод 3'!M252</f>
        <v>0</v>
      </c>
      <c r="M207" s="80">
        <f>'дод 3'!N252</f>
        <v>0</v>
      </c>
      <c r="N207" s="80">
        <f>'дод 3'!O252</f>
        <v>0</v>
      </c>
      <c r="O207" s="80">
        <f>'дод 3'!P252</f>
        <v>1527346</v>
      </c>
    </row>
    <row r="208" spans="1:15" ht="49.5" customHeight="1" x14ac:dyDescent="0.25">
      <c r="A208" s="58" t="s">
        <v>600</v>
      </c>
      <c r="B208" s="59" t="s">
        <v>400</v>
      </c>
      <c r="C208" s="117" t="s">
        <v>590</v>
      </c>
      <c r="D208" s="49">
        <f>'дод 3'!E253</f>
        <v>200000</v>
      </c>
      <c r="E208" s="49">
        <f>'дод 3'!F253</f>
        <v>200000</v>
      </c>
      <c r="F208" s="49">
        <f>'дод 3'!G253</f>
        <v>0</v>
      </c>
      <c r="G208" s="49">
        <f>'дод 3'!H253</f>
        <v>0</v>
      </c>
      <c r="H208" s="49">
        <f>'дод 3'!I253</f>
        <v>0</v>
      </c>
      <c r="I208" s="49">
        <f>'дод 3'!J253</f>
        <v>0</v>
      </c>
      <c r="J208" s="49">
        <f>'дод 3'!K253</f>
        <v>0</v>
      </c>
      <c r="K208" s="49">
        <f>'дод 3'!L253</f>
        <v>0</v>
      </c>
      <c r="L208" s="49">
        <f>'дод 3'!M253</f>
        <v>0</v>
      </c>
      <c r="M208" s="49">
        <f>'дод 3'!N253</f>
        <v>0</v>
      </c>
      <c r="N208" s="49">
        <f>'дод 3'!O253</f>
        <v>0</v>
      </c>
      <c r="O208" s="49">
        <f>'дод 3'!P253</f>
        <v>200000</v>
      </c>
    </row>
    <row r="209" spans="1:15" s="54" customFormat="1" x14ac:dyDescent="0.25">
      <c r="A209" s="89"/>
      <c r="B209" s="89"/>
      <c r="C209" s="85" t="s">
        <v>393</v>
      </c>
      <c r="D209" s="80">
        <f>'дод 3'!E254</f>
        <v>200000</v>
      </c>
      <c r="E209" s="80">
        <f>'дод 3'!F254</f>
        <v>200000</v>
      </c>
      <c r="F209" s="80">
        <f>'дод 3'!G254</f>
        <v>0</v>
      </c>
      <c r="G209" s="80">
        <f>'дод 3'!H254</f>
        <v>0</v>
      </c>
      <c r="H209" s="80">
        <f>'дод 3'!I254</f>
        <v>0</v>
      </c>
      <c r="I209" s="80">
        <f>'дод 3'!J254</f>
        <v>0</v>
      </c>
      <c r="J209" s="80">
        <f>'дод 3'!K254</f>
        <v>0</v>
      </c>
      <c r="K209" s="80">
        <f>'дод 3'!L254</f>
        <v>0</v>
      </c>
      <c r="L209" s="80">
        <f>'дод 3'!M254</f>
        <v>0</v>
      </c>
      <c r="M209" s="80">
        <f>'дод 3'!N254</f>
        <v>0</v>
      </c>
      <c r="N209" s="80">
        <f>'дод 3'!O254</f>
        <v>0</v>
      </c>
      <c r="O209" s="80">
        <f>'дод 3'!P254</f>
        <v>200000</v>
      </c>
    </row>
    <row r="210" spans="1:15" s="52" customFormat="1" ht="18.75" customHeight="1" x14ac:dyDescent="0.25">
      <c r="A210" s="39" t="s">
        <v>237</v>
      </c>
      <c r="B210" s="41"/>
      <c r="C210" s="2" t="s">
        <v>238</v>
      </c>
      <c r="D210" s="48">
        <f>D211</f>
        <v>6490000</v>
      </c>
      <c r="E210" s="48">
        <f t="shared" ref="E210:O210" si="42">E211</f>
        <v>6490000</v>
      </c>
      <c r="F210" s="48">
        <f t="shared" si="42"/>
        <v>0</v>
      </c>
      <c r="G210" s="48">
        <f t="shared" si="42"/>
        <v>0</v>
      </c>
      <c r="H210" s="48">
        <f t="shared" si="42"/>
        <v>0</v>
      </c>
      <c r="I210" s="48">
        <f t="shared" si="42"/>
        <v>3910000</v>
      </c>
      <c r="J210" s="48">
        <f t="shared" si="42"/>
        <v>3910000</v>
      </c>
      <c r="K210" s="48">
        <f t="shared" si="42"/>
        <v>0</v>
      </c>
      <c r="L210" s="48">
        <f t="shared" si="42"/>
        <v>0</v>
      </c>
      <c r="M210" s="48">
        <f t="shared" si="42"/>
        <v>0</v>
      </c>
      <c r="N210" s="48">
        <f t="shared" si="42"/>
        <v>3910000</v>
      </c>
      <c r="O210" s="48">
        <f t="shared" si="42"/>
        <v>10400000</v>
      </c>
    </row>
    <row r="211" spans="1:15" ht="37.5" customHeight="1" x14ac:dyDescent="0.25">
      <c r="A211" s="40" t="s">
        <v>235</v>
      </c>
      <c r="B211" s="40" t="s">
        <v>236</v>
      </c>
      <c r="C211" s="11" t="s">
        <v>234</v>
      </c>
      <c r="D211" s="49">
        <f>'дод 3'!E49+'дод 3'!E255</f>
        <v>6490000</v>
      </c>
      <c r="E211" s="49">
        <f>'дод 3'!F49+'дод 3'!F255</f>
        <v>6490000</v>
      </c>
      <c r="F211" s="49">
        <f>'дод 3'!G49+'дод 3'!G255</f>
        <v>0</v>
      </c>
      <c r="G211" s="49">
        <f>'дод 3'!H49+'дод 3'!H255</f>
        <v>0</v>
      </c>
      <c r="H211" s="49">
        <f>'дод 3'!I49+'дод 3'!I255</f>
        <v>0</v>
      </c>
      <c r="I211" s="49">
        <f>'дод 3'!J49+'дод 3'!J255</f>
        <v>3910000</v>
      </c>
      <c r="J211" s="49">
        <f>'дод 3'!K49+'дод 3'!K255</f>
        <v>3910000</v>
      </c>
      <c r="K211" s="49">
        <f>'дод 3'!L49+'дод 3'!L255</f>
        <v>0</v>
      </c>
      <c r="L211" s="49">
        <f>'дод 3'!M49+'дод 3'!M255</f>
        <v>0</v>
      </c>
      <c r="M211" s="49">
        <f>'дод 3'!N49+'дод 3'!N255</f>
        <v>0</v>
      </c>
      <c r="N211" s="49">
        <f>'дод 3'!O49+'дод 3'!O255</f>
        <v>3910000</v>
      </c>
      <c r="O211" s="49">
        <f>'дод 3'!P49+'дод 3'!P255</f>
        <v>10400000</v>
      </c>
    </row>
    <row r="212" spans="1:15" s="52" customFormat="1" ht="31.5" customHeight="1" x14ac:dyDescent="0.25">
      <c r="A212" s="38" t="s">
        <v>88</v>
      </c>
      <c r="B212" s="41"/>
      <c r="C212" s="2" t="s">
        <v>421</v>
      </c>
      <c r="D212" s="48">
        <f>D214+D215+D217+D218+D219+D221+D222+D223</f>
        <v>6099419.5499999998</v>
      </c>
      <c r="E212" s="48">
        <f t="shared" ref="E212:O212" si="43">E214+E215+E217+E218+E219+E221+E222+E223</f>
        <v>4701509.55</v>
      </c>
      <c r="F212" s="48">
        <f t="shared" si="43"/>
        <v>0</v>
      </c>
      <c r="G212" s="48">
        <f t="shared" si="43"/>
        <v>0</v>
      </c>
      <c r="H212" s="48">
        <f t="shared" si="43"/>
        <v>1397910</v>
      </c>
      <c r="I212" s="48">
        <f t="shared" si="43"/>
        <v>196071234.44</v>
      </c>
      <c r="J212" s="48">
        <f t="shared" si="43"/>
        <v>179741262.56999999</v>
      </c>
      <c r="K212" s="48">
        <f t="shared" si="43"/>
        <v>2948437.8699999996</v>
      </c>
      <c r="L212" s="48">
        <f t="shared" si="43"/>
        <v>0</v>
      </c>
      <c r="M212" s="48">
        <f t="shared" si="43"/>
        <v>0</v>
      </c>
      <c r="N212" s="48">
        <f t="shared" si="43"/>
        <v>193122796.56999999</v>
      </c>
      <c r="O212" s="48">
        <f t="shared" si="43"/>
        <v>202170653.98999998</v>
      </c>
    </row>
    <row r="213" spans="1:15" s="53" customFormat="1" ht="16.5" customHeight="1" x14ac:dyDescent="0.25">
      <c r="A213" s="71"/>
      <c r="B213" s="71"/>
      <c r="C213" s="83" t="s">
        <v>419</v>
      </c>
      <c r="D213" s="76">
        <f>D216+D220</f>
        <v>0</v>
      </c>
      <c r="E213" s="76">
        <f t="shared" ref="E213:O213" si="44">E216+E220</f>
        <v>0</v>
      </c>
      <c r="F213" s="76">
        <f t="shared" si="44"/>
        <v>0</v>
      </c>
      <c r="G213" s="76">
        <f t="shared" si="44"/>
        <v>0</v>
      </c>
      <c r="H213" s="76">
        <f t="shared" si="44"/>
        <v>0</v>
      </c>
      <c r="I213" s="76">
        <f t="shared" si="44"/>
        <v>127771665.12</v>
      </c>
      <c r="J213" s="76">
        <f t="shared" si="44"/>
        <v>127771665.12</v>
      </c>
      <c r="K213" s="76">
        <f t="shared" si="44"/>
        <v>0</v>
      </c>
      <c r="L213" s="76">
        <f t="shared" si="44"/>
        <v>0</v>
      </c>
      <c r="M213" s="76">
        <f t="shared" si="44"/>
        <v>0</v>
      </c>
      <c r="N213" s="76">
        <f t="shared" si="44"/>
        <v>127771665.12</v>
      </c>
      <c r="O213" s="76">
        <f t="shared" si="44"/>
        <v>127771665.12</v>
      </c>
    </row>
    <row r="214" spans="1:15" ht="32.25" customHeight="1" x14ac:dyDescent="0.25">
      <c r="A214" s="37" t="s">
        <v>4</v>
      </c>
      <c r="B214" s="37" t="s">
        <v>87</v>
      </c>
      <c r="C214" s="3" t="s">
        <v>23</v>
      </c>
      <c r="D214" s="49">
        <f>'дод 3'!E50+'дод 3'!E302</f>
        <v>372000</v>
      </c>
      <c r="E214" s="49">
        <f>'дод 3'!F50+'дод 3'!F302</f>
        <v>372000</v>
      </c>
      <c r="F214" s="49">
        <f>'дод 3'!G50+'дод 3'!G302</f>
        <v>0</v>
      </c>
      <c r="G214" s="49">
        <f>'дод 3'!H50+'дод 3'!H302</f>
        <v>0</v>
      </c>
      <c r="H214" s="49">
        <f>'дод 3'!I50+'дод 3'!I302</f>
        <v>0</v>
      </c>
      <c r="I214" s="49">
        <f>'дод 3'!J50+'дод 3'!J302</f>
        <v>0</v>
      </c>
      <c r="J214" s="49">
        <f>'дод 3'!K50+'дод 3'!K302</f>
        <v>0</v>
      </c>
      <c r="K214" s="49">
        <f>'дод 3'!L50+'дод 3'!L302</f>
        <v>0</v>
      </c>
      <c r="L214" s="49">
        <f>'дод 3'!M50+'дод 3'!M302</f>
        <v>0</v>
      </c>
      <c r="M214" s="49">
        <f>'дод 3'!N50+'дод 3'!N302</f>
        <v>0</v>
      </c>
      <c r="N214" s="49">
        <f>'дод 3'!O50+'дод 3'!O302</f>
        <v>0</v>
      </c>
      <c r="O214" s="49">
        <f>'дод 3'!P50+'дод 3'!P302</f>
        <v>372000</v>
      </c>
    </row>
    <row r="215" spans="1:15" ht="20.25" customHeight="1" x14ac:dyDescent="0.25">
      <c r="A215" s="37" t="s">
        <v>2</v>
      </c>
      <c r="B215" s="37" t="s">
        <v>86</v>
      </c>
      <c r="C215" s="3" t="s">
        <v>418</v>
      </c>
      <c r="D215" s="49">
        <f>'дод 3'!E120+'дод 3'!E157+'дод 3'!E219+'дод 3'!E256+'дод 3'!E284+'дод 3'!E312</f>
        <v>3645986.55</v>
      </c>
      <c r="E215" s="49">
        <f>'дод 3'!F120+'дод 3'!F157+'дод 3'!F219+'дод 3'!F256+'дод 3'!F284+'дод 3'!F312</f>
        <v>2248076.5499999998</v>
      </c>
      <c r="F215" s="49">
        <f>'дод 3'!G120+'дод 3'!G157+'дод 3'!G219+'дод 3'!G256+'дод 3'!G284+'дод 3'!G312</f>
        <v>0</v>
      </c>
      <c r="G215" s="49">
        <f>'дод 3'!H120+'дод 3'!H157+'дод 3'!H219+'дод 3'!H256+'дод 3'!H284+'дод 3'!H312</f>
        <v>0</v>
      </c>
      <c r="H215" s="49">
        <f>'дод 3'!I120+'дод 3'!I157+'дод 3'!I219+'дод 3'!I256+'дод 3'!I284+'дод 3'!I312</f>
        <v>1397910</v>
      </c>
      <c r="I215" s="49">
        <f>'дод 3'!J120+'дод 3'!J157+'дод 3'!J219+'дод 3'!J256+'дод 3'!J284+'дод 3'!J312</f>
        <v>145362296.56999999</v>
      </c>
      <c r="J215" s="49">
        <f>'дод 3'!K120+'дод 3'!K157+'дод 3'!K219+'дод 3'!K256+'дод 3'!K284+'дод 3'!K312</f>
        <v>133888362.57000001</v>
      </c>
      <c r="K215" s="49">
        <f>'дод 3'!L120+'дод 3'!L157+'дод 3'!L219+'дод 3'!L256+'дод 3'!L284+'дод 3'!L312</f>
        <v>0</v>
      </c>
      <c r="L215" s="49">
        <f>'дод 3'!M120+'дод 3'!M157+'дод 3'!M219+'дод 3'!M256+'дод 3'!M284+'дод 3'!M312</f>
        <v>0</v>
      </c>
      <c r="M215" s="49">
        <f>'дод 3'!N120+'дод 3'!N157+'дод 3'!N219+'дод 3'!N256+'дод 3'!N284+'дод 3'!N312</f>
        <v>0</v>
      </c>
      <c r="N215" s="49">
        <f>'дод 3'!O120+'дод 3'!O157+'дод 3'!O219+'дод 3'!O256+'дод 3'!O284+'дод 3'!O312</f>
        <v>145362296.56999999</v>
      </c>
      <c r="O215" s="49">
        <f>'дод 3'!P120+'дод 3'!P157+'дод 3'!P219+'дод 3'!P256+'дод 3'!P284+'дод 3'!P312</f>
        <v>149008283.11999997</v>
      </c>
    </row>
    <row r="216" spans="1:15" s="54" customFormat="1" ht="17.25" customHeight="1" x14ac:dyDescent="0.25">
      <c r="A216" s="78"/>
      <c r="B216" s="78"/>
      <c r="C216" s="85" t="s">
        <v>419</v>
      </c>
      <c r="D216" s="80">
        <f>'дод 3'!E158+'дод 3'!E285</f>
        <v>0</v>
      </c>
      <c r="E216" s="80">
        <f>'дод 3'!F158+'дод 3'!F285</f>
        <v>0</v>
      </c>
      <c r="F216" s="80">
        <f>'дод 3'!G158+'дод 3'!G285</f>
        <v>0</v>
      </c>
      <c r="G216" s="80">
        <f>'дод 3'!H158+'дод 3'!H285</f>
        <v>0</v>
      </c>
      <c r="H216" s="80">
        <f>'дод 3'!I158+'дод 3'!I285</f>
        <v>0</v>
      </c>
      <c r="I216" s="80">
        <f>'дод 3'!J158+'дод 3'!J285</f>
        <v>101521665.12</v>
      </c>
      <c r="J216" s="80">
        <f>'дод 3'!K158+'дод 3'!K285</f>
        <v>101521665.12</v>
      </c>
      <c r="K216" s="80">
        <f>'дод 3'!L158+'дод 3'!L285</f>
        <v>0</v>
      </c>
      <c r="L216" s="80">
        <f>'дод 3'!M158+'дод 3'!M285</f>
        <v>0</v>
      </c>
      <c r="M216" s="80">
        <f>'дод 3'!N158+'дод 3'!N285</f>
        <v>0</v>
      </c>
      <c r="N216" s="80">
        <f>'дод 3'!O158+'дод 3'!O285</f>
        <v>101521665.12</v>
      </c>
      <c r="O216" s="80">
        <f>'дод 3'!P158+'дод 3'!P285</f>
        <v>101521665.12</v>
      </c>
    </row>
    <row r="217" spans="1:15" ht="33.75" customHeight="1" x14ac:dyDescent="0.25">
      <c r="A217" s="37" t="s">
        <v>267</v>
      </c>
      <c r="B217" s="37" t="s">
        <v>82</v>
      </c>
      <c r="C217" s="3" t="s">
        <v>346</v>
      </c>
      <c r="D217" s="49">
        <f>'дод 3'!E303</f>
        <v>0</v>
      </c>
      <c r="E217" s="49">
        <f>'дод 3'!F303</f>
        <v>0</v>
      </c>
      <c r="F217" s="49">
        <f>'дод 3'!G303</f>
        <v>0</v>
      </c>
      <c r="G217" s="49">
        <f>'дод 3'!H303</f>
        <v>0</v>
      </c>
      <c r="H217" s="49">
        <f>'дод 3'!I303</f>
        <v>0</v>
      </c>
      <c r="I217" s="49">
        <f>'дод 3'!J303</f>
        <v>20000</v>
      </c>
      <c r="J217" s="49">
        <f>'дод 3'!K303</f>
        <v>20000</v>
      </c>
      <c r="K217" s="49">
        <f>'дод 3'!L303</f>
        <v>0</v>
      </c>
      <c r="L217" s="49">
        <f>'дод 3'!M303</f>
        <v>0</v>
      </c>
      <c r="M217" s="49">
        <f>'дод 3'!N303</f>
        <v>0</v>
      </c>
      <c r="N217" s="49">
        <f>'дод 3'!O303</f>
        <v>20000</v>
      </c>
      <c r="O217" s="49">
        <f>'дод 3'!P303</f>
        <v>20000</v>
      </c>
    </row>
    <row r="218" spans="1:15" ht="67.5" customHeight="1" x14ac:dyDescent="0.25">
      <c r="A218" s="37" t="s">
        <v>269</v>
      </c>
      <c r="B218" s="37" t="s">
        <v>82</v>
      </c>
      <c r="C218" s="3" t="s">
        <v>270</v>
      </c>
      <c r="D218" s="49">
        <f>'дод 3'!E304</f>
        <v>0</v>
      </c>
      <c r="E218" s="49">
        <f>'дод 3'!F304</f>
        <v>0</v>
      </c>
      <c r="F218" s="49">
        <f>'дод 3'!G304</f>
        <v>0</v>
      </c>
      <c r="G218" s="49">
        <f>'дод 3'!H304</f>
        <v>0</v>
      </c>
      <c r="H218" s="49">
        <f>'дод 3'!I304</f>
        <v>0</v>
      </c>
      <c r="I218" s="49">
        <f>'дод 3'!J304</f>
        <v>45000</v>
      </c>
      <c r="J218" s="49">
        <f>'дод 3'!K304</f>
        <v>45000</v>
      </c>
      <c r="K218" s="49">
        <f>'дод 3'!L304</f>
        <v>0</v>
      </c>
      <c r="L218" s="49">
        <f>'дод 3'!M304</f>
        <v>0</v>
      </c>
      <c r="M218" s="49">
        <f>'дод 3'!N304</f>
        <v>0</v>
      </c>
      <c r="N218" s="49">
        <f>'дод 3'!O304</f>
        <v>45000</v>
      </c>
      <c r="O218" s="49">
        <f>'дод 3'!P304</f>
        <v>45000</v>
      </c>
    </row>
    <row r="219" spans="1:15" ht="30.75" customHeight="1" x14ac:dyDescent="0.25">
      <c r="A219" s="37" t="s">
        <v>5</v>
      </c>
      <c r="B219" s="37" t="s">
        <v>82</v>
      </c>
      <c r="C219" s="3" t="s">
        <v>467</v>
      </c>
      <c r="D219" s="49">
        <f>'дод 3'!E51+'дод 3'!E257</f>
        <v>0</v>
      </c>
      <c r="E219" s="49">
        <f>'дод 3'!F51+'дод 3'!F257</f>
        <v>0</v>
      </c>
      <c r="F219" s="49">
        <f>'дод 3'!G51+'дод 3'!G257</f>
        <v>0</v>
      </c>
      <c r="G219" s="49">
        <f>'дод 3'!H51+'дод 3'!H257</f>
        <v>0</v>
      </c>
      <c r="H219" s="49">
        <f>'дод 3'!I51+'дод 3'!I257</f>
        <v>0</v>
      </c>
      <c r="I219" s="49">
        <f>'дод 3'!J51+'дод 3'!J257</f>
        <v>45787900</v>
      </c>
      <c r="J219" s="49">
        <f>'дод 3'!K51+'дод 3'!K257</f>
        <v>45787900</v>
      </c>
      <c r="K219" s="49">
        <f>'дод 3'!L51+'дод 3'!L257</f>
        <v>0</v>
      </c>
      <c r="L219" s="49">
        <f>'дод 3'!M51+'дод 3'!M257</f>
        <v>0</v>
      </c>
      <c r="M219" s="49">
        <f>'дод 3'!N51+'дод 3'!N257</f>
        <v>0</v>
      </c>
      <c r="N219" s="49">
        <f>'дод 3'!O51+'дод 3'!O257</f>
        <v>45787900</v>
      </c>
      <c r="O219" s="49">
        <f>'дод 3'!P51+'дод 3'!P257</f>
        <v>45787900</v>
      </c>
    </row>
    <row r="220" spans="1:15" ht="16.5" customHeight="1" x14ac:dyDescent="0.25">
      <c r="A220" s="37"/>
      <c r="B220" s="37"/>
      <c r="C220" s="85" t="s">
        <v>419</v>
      </c>
      <c r="D220" s="49">
        <f>'дод 3'!E258</f>
        <v>0</v>
      </c>
      <c r="E220" s="49">
        <f>'дод 3'!F258</f>
        <v>0</v>
      </c>
      <c r="F220" s="49">
        <f>'дод 3'!G258</f>
        <v>0</v>
      </c>
      <c r="G220" s="49">
        <f>'дод 3'!H258</f>
        <v>0</v>
      </c>
      <c r="H220" s="49">
        <f>'дод 3'!I258</f>
        <v>0</v>
      </c>
      <c r="I220" s="49">
        <f>'дод 3'!J258</f>
        <v>26250000</v>
      </c>
      <c r="J220" s="49">
        <f>'дод 3'!K258</f>
        <v>26250000</v>
      </c>
      <c r="K220" s="49">
        <f>'дод 3'!L258</f>
        <v>0</v>
      </c>
      <c r="L220" s="49">
        <f>'дод 3'!M258</f>
        <v>0</v>
      </c>
      <c r="M220" s="49">
        <f>'дод 3'!N258</f>
        <v>0</v>
      </c>
      <c r="N220" s="49">
        <f>'дод 3'!O258</f>
        <v>26250000</v>
      </c>
      <c r="O220" s="49">
        <f>'дод 3'!P258</f>
        <v>26250000</v>
      </c>
    </row>
    <row r="221" spans="1:15" ht="36.75" customHeight="1" x14ac:dyDescent="0.25">
      <c r="A221" s="37" t="s">
        <v>248</v>
      </c>
      <c r="B221" s="37" t="s">
        <v>82</v>
      </c>
      <c r="C221" s="3" t="s">
        <v>249</v>
      </c>
      <c r="D221" s="49">
        <f>'дод 3'!E52</f>
        <v>356337</v>
      </c>
      <c r="E221" s="49">
        <f>'дод 3'!F52</f>
        <v>356337</v>
      </c>
      <c r="F221" s="49">
        <f>'дод 3'!G52</f>
        <v>0</v>
      </c>
      <c r="G221" s="49">
        <f>'дод 3'!H52</f>
        <v>0</v>
      </c>
      <c r="H221" s="49">
        <f>'дод 3'!I52</f>
        <v>0</v>
      </c>
      <c r="I221" s="49">
        <f>'дод 3'!J52</f>
        <v>0</v>
      </c>
      <c r="J221" s="49">
        <f>'дод 3'!K52</f>
        <v>0</v>
      </c>
      <c r="K221" s="49">
        <f>'дод 3'!L52</f>
        <v>0</v>
      </c>
      <c r="L221" s="49">
        <f>'дод 3'!M52</f>
        <v>0</v>
      </c>
      <c r="M221" s="49">
        <f>'дод 3'!N52</f>
        <v>0</v>
      </c>
      <c r="N221" s="49">
        <f>'дод 3'!O52</f>
        <v>0</v>
      </c>
      <c r="O221" s="49">
        <f>'дод 3'!P52</f>
        <v>356337</v>
      </c>
    </row>
    <row r="222" spans="1:15" s="54" customFormat="1" ht="117" customHeight="1" x14ac:dyDescent="0.25">
      <c r="A222" s="37" t="s">
        <v>296</v>
      </c>
      <c r="B222" s="37" t="s">
        <v>82</v>
      </c>
      <c r="C222" s="3" t="s">
        <v>314</v>
      </c>
      <c r="D222" s="49">
        <f>'дод 3'!E53+'дод 3'!E259+'дод 3'!E286+'дод 3'!E294</f>
        <v>0</v>
      </c>
      <c r="E222" s="49">
        <f>'дод 3'!F53+'дод 3'!F259+'дод 3'!F286+'дод 3'!F294</f>
        <v>0</v>
      </c>
      <c r="F222" s="49">
        <f>'дод 3'!G53+'дод 3'!G259+'дод 3'!G286+'дод 3'!G294</f>
        <v>0</v>
      </c>
      <c r="G222" s="49">
        <f>'дод 3'!H53+'дод 3'!H259+'дод 3'!H286+'дод 3'!H294</f>
        <v>0</v>
      </c>
      <c r="H222" s="49">
        <f>'дод 3'!I53+'дод 3'!I259+'дод 3'!I286+'дод 3'!I294</f>
        <v>0</v>
      </c>
      <c r="I222" s="49">
        <f>'дод 3'!J53+'дод 3'!J259+'дод 3'!J286+'дод 3'!J294</f>
        <v>4856037.8699999992</v>
      </c>
      <c r="J222" s="49">
        <f>'дод 3'!K53+'дод 3'!K259+'дод 3'!K286+'дод 3'!K294</f>
        <v>0</v>
      </c>
      <c r="K222" s="49">
        <f>'дод 3'!L53+'дод 3'!L259+'дод 3'!L286+'дод 3'!L294</f>
        <v>2948437.8699999996</v>
      </c>
      <c r="L222" s="49">
        <f>'дод 3'!M53+'дод 3'!M259+'дод 3'!M286+'дод 3'!M294</f>
        <v>0</v>
      </c>
      <c r="M222" s="49">
        <f>'дод 3'!N53+'дод 3'!N259+'дод 3'!N286+'дод 3'!N294</f>
        <v>0</v>
      </c>
      <c r="N222" s="49">
        <f>'дод 3'!O53+'дод 3'!O259+'дод 3'!O286+'дод 3'!O294</f>
        <v>1907600</v>
      </c>
      <c r="O222" s="49">
        <f>'дод 3'!P53+'дод 3'!P259+'дод 3'!P286+'дод 3'!P294</f>
        <v>4856037.8699999992</v>
      </c>
    </row>
    <row r="223" spans="1:15" s="54" customFormat="1" ht="23.25" customHeight="1" x14ac:dyDescent="0.25">
      <c r="A223" s="37" t="s">
        <v>239</v>
      </c>
      <c r="B223" s="37" t="s">
        <v>82</v>
      </c>
      <c r="C223" s="3" t="s">
        <v>17</v>
      </c>
      <c r="D223" s="49">
        <f>'дод 3'!E54+'дод 3'!E305+'дод 3'!E313</f>
        <v>1725096</v>
      </c>
      <c r="E223" s="49">
        <f>'дод 3'!F54+'дод 3'!F305+'дод 3'!F313</f>
        <v>1725096</v>
      </c>
      <c r="F223" s="49">
        <f>'дод 3'!G54+'дод 3'!G305+'дод 3'!G313</f>
        <v>0</v>
      </c>
      <c r="G223" s="49">
        <f>'дод 3'!H54+'дод 3'!H305+'дод 3'!H313</f>
        <v>0</v>
      </c>
      <c r="H223" s="49">
        <f>'дод 3'!I54+'дод 3'!I305+'дод 3'!I313</f>
        <v>0</v>
      </c>
      <c r="I223" s="49">
        <f>'дод 3'!J54+'дод 3'!J305+'дод 3'!J313</f>
        <v>0</v>
      </c>
      <c r="J223" s="49">
        <f>'дод 3'!K54+'дод 3'!K305+'дод 3'!K313</f>
        <v>0</v>
      </c>
      <c r="K223" s="49">
        <f>'дод 3'!L54+'дод 3'!L305+'дод 3'!L313</f>
        <v>0</v>
      </c>
      <c r="L223" s="49">
        <f>'дод 3'!M54+'дод 3'!M305+'дод 3'!M313</f>
        <v>0</v>
      </c>
      <c r="M223" s="49">
        <f>'дод 3'!N54+'дод 3'!N305+'дод 3'!N313</f>
        <v>0</v>
      </c>
      <c r="N223" s="49">
        <f>'дод 3'!O54+'дод 3'!O305+'дод 3'!O313</f>
        <v>0</v>
      </c>
      <c r="O223" s="49">
        <f>'дод 3'!P54+'дод 3'!P305+'дод 3'!P313</f>
        <v>1725096</v>
      </c>
    </row>
    <row r="224" spans="1:15" s="53" customFormat="1" ht="48.75" customHeight="1" x14ac:dyDescent="0.25">
      <c r="A224" s="38">
        <v>7700</v>
      </c>
      <c r="B224" s="38"/>
      <c r="C224" s="91" t="s">
        <v>362</v>
      </c>
      <c r="D224" s="48">
        <f>D225</f>
        <v>0</v>
      </c>
      <c r="E224" s="48">
        <f t="shared" ref="E224:O224" si="45">E225</f>
        <v>0</v>
      </c>
      <c r="F224" s="48">
        <f t="shared" si="45"/>
        <v>0</v>
      </c>
      <c r="G224" s="48">
        <f t="shared" si="45"/>
        <v>0</v>
      </c>
      <c r="H224" s="48">
        <f t="shared" si="45"/>
        <v>0</v>
      </c>
      <c r="I224" s="48">
        <f t="shared" si="45"/>
        <v>630000</v>
      </c>
      <c r="J224" s="48">
        <f t="shared" si="45"/>
        <v>0</v>
      </c>
      <c r="K224" s="48">
        <f t="shared" si="45"/>
        <v>0</v>
      </c>
      <c r="L224" s="48">
        <f t="shared" si="45"/>
        <v>0</v>
      </c>
      <c r="M224" s="48">
        <f t="shared" si="45"/>
        <v>0</v>
      </c>
      <c r="N224" s="48">
        <f t="shared" si="45"/>
        <v>630000</v>
      </c>
      <c r="O224" s="48">
        <f t="shared" si="45"/>
        <v>630000</v>
      </c>
    </row>
    <row r="225" spans="1:15" s="54" customFormat="1" ht="46.5" customHeight="1" x14ac:dyDescent="0.25">
      <c r="A225" s="37">
        <v>7700</v>
      </c>
      <c r="B225" s="58" t="s">
        <v>93</v>
      </c>
      <c r="C225" s="60" t="s">
        <v>362</v>
      </c>
      <c r="D225" s="49">
        <f>'дод 3'!E121</f>
        <v>0</v>
      </c>
      <c r="E225" s="49">
        <f>'дод 3'!F121</f>
        <v>0</v>
      </c>
      <c r="F225" s="49">
        <f>'дод 3'!G121</f>
        <v>0</v>
      </c>
      <c r="G225" s="49">
        <f>'дод 3'!H121</f>
        <v>0</v>
      </c>
      <c r="H225" s="49">
        <f>'дод 3'!I121</f>
        <v>0</v>
      </c>
      <c r="I225" s="49">
        <f>'дод 3'!J121</f>
        <v>630000</v>
      </c>
      <c r="J225" s="49">
        <f>'дод 3'!K121</f>
        <v>0</v>
      </c>
      <c r="K225" s="49">
        <f>'дод 3'!L121</f>
        <v>0</v>
      </c>
      <c r="L225" s="49">
        <f>'дод 3'!M121</f>
        <v>0</v>
      </c>
      <c r="M225" s="49">
        <f>'дод 3'!N121</f>
        <v>0</v>
      </c>
      <c r="N225" s="49">
        <f>'дод 3'!O121</f>
        <v>630000</v>
      </c>
      <c r="O225" s="49">
        <f>'дод 3'!P121</f>
        <v>630000</v>
      </c>
    </row>
    <row r="226" spans="1:15" s="52" customFormat="1" ht="30.75" customHeight="1" x14ac:dyDescent="0.25">
      <c r="A226" s="38" t="s">
        <v>94</v>
      </c>
      <c r="B226" s="39"/>
      <c r="C226" s="2" t="s">
        <v>588</v>
      </c>
      <c r="D226" s="48">
        <f>D228+D233+D235+D238+D240+D241</f>
        <v>23740740.649999999</v>
      </c>
      <c r="E226" s="48">
        <f t="shared" ref="E226:O226" si="46">E228+E233+E235+E238+E240+E241</f>
        <v>5112081.21</v>
      </c>
      <c r="F226" s="48">
        <f t="shared" si="46"/>
        <v>1906900</v>
      </c>
      <c r="G226" s="48">
        <f t="shared" si="46"/>
        <v>372947</v>
      </c>
      <c r="H226" s="48">
        <f t="shared" si="46"/>
        <v>0</v>
      </c>
      <c r="I226" s="48">
        <f t="shared" si="46"/>
        <v>5730564.6600000001</v>
      </c>
      <c r="J226" s="48">
        <f t="shared" si="46"/>
        <v>1398264.66</v>
      </c>
      <c r="K226" s="48">
        <f t="shared" si="46"/>
        <v>2982400</v>
      </c>
      <c r="L226" s="48">
        <f t="shared" si="46"/>
        <v>0</v>
      </c>
      <c r="M226" s="48">
        <f t="shared" si="46"/>
        <v>1400</v>
      </c>
      <c r="N226" s="48">
        <f t="shared" si="46"/>
        <v>2748164.66</v>
      </c>
      <c r="O226" s="48">
        <f t="shared" si="46"/>
        <v>29471305.309999999</v>
      </c>
    </row>
    <row r="227" spans="1:15" s="53" customFormat="1" ht="54.75" customHeight="1" x14ac:dyDescent="0.25">
      <c r="A227" s="71"/>
      <c r="B227" s="74"/>
      <c r="C227" s="75" t="s">
        <v>382</v>
      </c>
      <c r="D227" s="76">
        <f>D229</f>
        <v>588815</v>
      </c>
      <c r="E227" s="76">
        <f t="shared" ref="E227:O227" si="47">E229</f>
        <v>588815</v>
      </c>
      <c r="F227" s="76">
        <f t="shared" si="47"/>
        <v>482635</v>
      </c>
      <c r="G227" s="76">
        <f t="shared" si="47"/>
        <v>0</v>
      </c>
      <c r="H227" s="76">
        <f t="shared" si="47"/>
        <v>0</v>
      </c>
      <c r="I227" s="76">
        <f t="shared" si="47"/>
        <v>0</v>
      </c>
      <c r="J227" s="76">
        <f t="shared" si="47"/>
        <v>0</v>
      </c>
      <c r="K227" s="76">
        <f t="shared" si="47"/>
        <v>0</v>
      </c>
      <c r="L227" s="76">
        <f t="shared" si="47"/>
        <v>0</v>
      </c>
      <c r="M227" s="76">
        <f t="shared" si="47"/>
        <v>0</v>
      </c>
      <c r="N227" s="76">
        <f t="shared" si="47"/>
        <v>0</v>
      </c>
      <c r="O227" s="76">
        <f t="shared" si="47"/>
        <v>588815</v>
      </c>
    </row>
    <row r="228" spans="1:15" s="52" customFormat="1" ht="51.75" customHeight="1" x14ac:dyDescent="0.25">
      <c r="A228" s="38" t="s">
        <v>96</v>
      </c>
      <c r="B228" s="39"/>
      <c r="C228" s="2" t="s">
        <v>521</v>
      </c>
      <c r="D228" s="48">
        <f t="shared" ref="D228:O228" si="48">D230+D231</f>
        <v>3410086.21</v>
      </c>
      <c r="E228" s="48">
        <f t="shared" si="48"/>
        <v>3410086.21</v>
      </c>
      <c r="F228" s="48">
        <f t="shared" si="48"/>
        <v>1906900</v>
      </c>
      <c r="G228" s="48">
        <f t="shared" si="48"/>
        <v>80205</v>
      </c>
      <c r="H228" s="48">
        <f t="shared" si="48"/>
        <v>0</v>
      </c>
      <c r="I228" s="48">
        <f t="shared" si="48"/>
        <v>1403964.66</v>
      </c>
      <c r="J228" s="48">
        <f t="shared" si="48"/>
        <v>1398264.66</v>
      </c>
      <c r="K228" s="48">
        <f t="shared" si="48"/>
        <v>5700</v>
      </c>
      <c r="L228" s="48">
        <f t="shared" si="48"/>
        <v>0</v>
      </c>
      <c r="M228" s="48">
        <f t="shared" si="48"/>
        <v>1400</v>
      </c>
      <c r="N228" s="48">
        <f t="shared" si="48"/>
        <v>1398264.66</v>
      </c>
      <c r="O228" s="48">
        <f t="shared" si="48"/>
        <v>4814050.87</v>
      </c>
    </row>
    <row r="229" spans="1:15" s="53" customFormat="1" ht="53.25" customHeight="1" x14ac:dyDescent="0.25">
      <c r="A229" s="71"/>
      <c r="B229" s="74"/>
      <c r="C229" s="77" t="str">
        <f>C232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29" s="76">
        <f>D232</f>
        <v>588815</v>
      </c>
      <c r="E229" s="76">
        <f t="shared" ref="E229:O229" si="49">E232</f>
        <v>588815</v>
      </c>
      <c r="F229" s="76">
        <f t="shared" si="49"/>
        <v>482635</v>
      </c>
      <c r="G229" s="76">
        <f t="shared" si="49"/>
        <v>0</v>
      </c>
      <c r="H229" s="76">
        <f t="shared" si="49"/>
        <v>0</v>
      </c>
      <c r="I229" s="76">
        <f t="shared" si="49"/>
        <v>0</v>
      </c>
      <c r="J229" s="76">
        <f t="shared" si="49"/>
        <v>0</v>
      </c>
      <c r="K229" s="76">
        <f t="shared" si="49"/>
        <v>0</v>
      </c>
      <c r="L229" s="76">
        <f t="shared" si="49"/>
        <v>0</v>
      </c>
      <c r="M229" s="76">
        <f t="shared" si="49"/>
        <v>0</v>
      </c>
      <c r="N229" s="76">
        <f t="shared" si="49"/>
        <v>0</v>
      </c>
      <c r="O229" s="76">
        <f t="shared" si="49"/>
        <v>588815</v>
      </c>
    </row>
    <row r="230" spans="1:15" s="52" customFormat="1" ht="36.75" customHeight="1" x14ac:dyDescent="0.25">
      <c r="A230" s="40" t="s">
        <v>7</v>
      </c>
      <c r="B230" s="40" t="s">
        <v>89</v>
      </c>
      <c r="C230" s="3" t="s">
        <v>297</v>
      </c>
      <c r="D230" s="49">
        <f>'дод 3'!E55+'дод 3'!E260</f>
        <v>960981.21</v>
      </c>
      <c r="E230" s="49">
        <f>'дод 3'!F55+'дод 3'!F260</f>
        <v>960981.21</v>
      </c>
      <c r="F230" s="49">
        <f>'дод 3'!G55+'дод 3'!G260</f>
        <v>0</v>
      </c>
      <c r="G230" s="49">
        <f>'дод 3'!H55+'дод 3'!H260</f>
        <v>6500</v>
      </c>
      <c r="H230" s="49">
        <f>'дод 3'!I55+'дод 3'!I260</f>
        <v>0</v>
      </c>
      <c r="I230" s="49">
        <f>'дод 3'!J55+'дод 3'!J260</f>
        <v>1398264.66</v>
      </c>
      <c r="J230" s="49">
        <f>'дод 3'!K55+'дод 3'!K260</f>
        <v>1398264.66</v>
      </c>
      <c r="K230" s="49">
        <f>'дод 3'!L55+'дод 3'!L260</f>
        <v>0</v>
      </c>
      <c r="L230" s="49">
        <f>'дод 3'!M55+'дод 3'!M260</f>
        <v>0</v>
      </c>
      <c r="M230" s="49">
        <f>'дод 3'!N55+'дод 3'!N260</f>
        <v>0</v>
      </c>
      <c r="N230" s="49">
        <f>'дод 3'!O55+'дод 3'!O260</f>
        <v>1398264.66</v>
      </c>
      <c r="O230" s="49">
        <f>'дод 3'!P55+'дод 3'!P260</f>
        <v>2359245.87</v>
      </c>
    </row>
    <row r="231" spans="1:15" ht="27" customHeight="1" x14ac:dyDescent="0.25">
      <c r="A231" s="37" t="s">
        <v>148</v>
      </c>
      <c r="B231" s="42" t="s">
        <v>89</v>
      </c>
      <c r="C231" s="3" t="s">
        <v>519</v>
      </c>
      <c r="D231" s="49">
        <f>'дод 3'!E56</f>
        <v>2449105</v>
      </c>
      <c r="E231" s="49">
        <f>'дод 3'!F56</f>
        <v>2449105</v>
      </c>
      <c r="F231" s="49">
        <f>'дод 3'!G56</f>
        <v>1906900</v>
      </c>
      <c r="G231" s="49">
        <f>'дод 3'!H56</f>
        <v>73705</v>
      </c>
      <c r="H231" s="49">
        <f>'дод 3'!I56</f>
        <v>0</v>
      </c>
      <c r="I231" s="49">
        <f>'дод 3'!J56</f>
        <v>5700</v>
      </c>
      <c r="J231" s="49">
        <f>'дод 3'!K56</f>
        <v>0</v>
      </c>
      <c r="K231" s="49">
        <f>'дод 3'!L56</f>
        <v>5700</v>
      </c>
      <c r="L231" s="49">
        <f>'дод 3'!M56</f>
        <v>0</v>
      </c>
      <c r="M231" s="49">
        <f>'дод 3'!N56</f>
        <v>1400</v>
      </c>
      <c r="N231" s="49">
        <f>'дод 3'!O56</f>
        <v>0</v>
      </c>
      <c r="O231" s="49">
        <f>'дод 3'!P56</f>
        <v>2454805</v>
      </c>
    </row>
    <row r="232" spans="1:15" s="54" customFormat="1" ht="47.25" x14ac:dyDescent="0.25">
      <c r="A232" s="78"/>
      <c r="B232" s="88"/>
      <c r="C232" s="87" t="s">
        <v>382</v>
      </c>
      <c r="D232" s="80">
        <f>'дод 3'!E57</f>
        <v>588815</v>
      </c>
      <c r="E232" s="80">
        <f>'дод 3'!F57</f>
        <v>588815</v>
      </c>
      <c r="F232" s="80">
        <f>'дод 3'!G57</f>
        <v>482635</v>
      </c>
      <c r="G232" s="80">
        <f>'дод 3'!H57</f>
        <v>0</v>
      </c>
      <c r="H232" s="80">
        <f>'дод 3'!I57</f>
        <v>0</v>
      </c>
      <c r="I232" s="80">
        <f>'дод 3'!J57</f>
        <v>0</v>
      </c>
      <c r="J232" s="80">
        <f>'дод 3'!K57</f>
        <v>0</v>
      </c>
      <c r="K232" s="80">
        <f>'дод 3'!L57</f>
        <v>0</v>
      </c>
      <c r="L232" s="80">
        <f>'дод 3'!M57</f>
        <v>0</v>
      </c>
      <c r="M232" s="80">
        <f>'дод 3'!N57</f>
        <v>0</v>
      </c>
      <c r="N232" s="80">
        <f>'дод 3'!O57</f>
        <v>0</v>
      </c>
      <c r="O232" s="80">
        <f>'дод 3'!P57</f>
        <v>588815</v>
      </c>
    </row>
    <row r="233" spans="1:15" s="52" customFormat="1" ht="23.25" customHeight="1" x14ac:dyDescent="0.25">
      <c r="A233" s="38" t="s">
        <v>250</v>
      </c>
      <c r="B233" s="38"/>
      <c r="C233" s="12" t="s">
        <v>251</v>
      </c>
      <c r="D233" s="48">
        <f t="shared" ref="D233:O233" si="50">D234</f>
        <v>462056</v>
      </c>
      <c r="E233" s="48">
        <f t="shared" si="50"/>
        <v>462056</v>
      </c>
      <c r="F233" s="48">
        <f t="shared" si="50"/>
        <v>0</v>
      </c>
      <c r="G233" s="48">
        <f t="shared" si="50"/>
        <v>292742</v>
      </c>
      <c r="H233" s="48">
        <f t="shared" si="50"/>
        <v>0</v>
      </c>
      <c r="I233" s="48">
        <f t="shared" si="50"/>
        <v>0</v>
      </c>
      <c r="J233" s="48">
        <f t="shared" si="50"/>
        <v>0</v>
      </c>
      <c r="K233" s="48">
        <f t="shared" si="50"/>
        <v>0</v>
      </c>
      <c r="L233" s="48">
        <f t="shared" si="50"/>
        <v>0</v>
      </c>
      <c r="M233" s="48">
        <f t="shared" si="50"/>
        <v>0</v>
      </c>
      <c r="N233" s="48">
        <f t="shared" si="50"/>
        <v>0</v>
      </c>
      <c r="O233" s="48">
        <f t="shared" si="50"/>
        <v>462056</v>
      </c>
    </row>
    <row r="234" spans="1:15" ht="22.5" customHeight="1" x14ac:dyDescent="0.25">
      <c r="A234" s="37" t="s">
        <v>244</v>
      </c>
      <c r="B234" s="42" t="s">
        <v>245</v>
      </c>
      <c r="C234" s="3" t="s">
        <v>246</v>
      </c>
      <c r="D234" s="49">
        <f>'дод 3'!E58+'дод 3'!E261</f>
        <v>462056</v>
      </c>
      <c r="E234" s="49">
        <f>'дод 3'!F58+'дод 3'!F261</f>
        <v>462056</v>
      </c>
      <c r="F234" s="49">
        <f>'дод 3'!G58+'дод 3'!G261</f>
        <v>0</v>
      </c>
      <c r="G234" s="49">
        <f>'дод 3'!H58+'дод 3'!H261</f>
        <v>292742</v>
      </c>
      <c r="H234" s="49">
        <f>'дод 3'!I58+'дод 3'!I261</f>
        <v>0</v>
      </c>
      <c r="I234" s="49">
        <f>'дод 3'!J58+'дод 3'!J261</f>
        <v>0</v>
      </c>
      <c r="J234" s="49">
        <f>'дод 3'!K58+'дод 3'!K261</f>
        <v>0</v>
      </c>
      <c r="K234" s="49">
        <f>'дод 3'!L58+'дод 3'!L261</f>
        <v>0</v>
      </c>
      <c r="L234" s="49">
        <f>'дод 3'!M58+'дод 3'!M261</f>
        <v>0</v>
      </c>
      <c r="M234" s="49">
        <f>'дод 3'!N58+'дод 3'!N261</f>
        <v>0</v>
      </c>
      <c r="N234" s="49">
        <f>'дод 3'!O58+'дод 3'!O261</f>
        <v>0</v>
      </c>
      <c r="O234" s="49">
        <f>'дод 3'!P58+'дод 3'!P261</f>
        <v>462056</v>
      </c>
    </row>
    <row r="235" spans="1:15" s="52" customFormat="1" ht="22.5" customHeight="1" x14ac:dyDescent="0.25">
      <c r="A235" s="38" t="s">
        <v>6</v>
      </c>
      <c r="B235" s="39"/>
      <c r="C235" s="2" t="s">
        <v>8</v>
      </c>
      <c r="D235" s="48">
        <f t="shared" ref="D235:O235" si="51">D237+D236</f>
        <v>75000</v>
      </c>
      <c r="E235" s="48">
        <f t="shared" si="51"/>
        <v>75000</v>
      </c>
      <c r="F235" s="48">
        <f t="shared" si="51"/>
        <v>0</v>
      </c>
      <c r="G235" s="48">
        <f t="shared" si="51"/>
        <v>0</v>
      </c>
      <c r="H235" s="48">
        <f t="shared" si="51"/>
        <v>0</v>
      </c>
      <c r="I235" s="48">
        <f t="shared" si="51"/>
        <v>4326600</v>
      </c>
      <c r="J235" s="48">
        <f t="shared" si="51"/>
        <v>0</v>
      </c>
      <c r="K235" s="48">
        <f t="shared" si="51"/>
        <v>2976700</v>
      </c>
      <c r="L235" s="48">
        <f t="shared" si="51"/>
        <v>0</v>
      </c>
      <c r="M235" s="48">
        <f t="shared" si="51"/>
        <v>0</v>
      </c>
      <c r="N235" s="48">
        <f t="shared" si="51"/>
        <v>1349900</v>
      </c>
      <c r="O235" s="48">
        <f t="shared" si="51"/>
        <v>4401600</v>
      </c>
    </row>
    <row r="236" spans="1:15" s="52" customFormat="1" ht="33.75" customHeight="1" x14ac:dyDescent="0.25">
      <c r="A236" s="37">
        <v>8330</v>
      </c>
      <c r="B236" s="58" t="s">
        <v>92</v>
      </c>
      <c r="C236" s="3" t="s">
        <v>348</v>
      </c>
      <c r="D236" s="49">
        <f>'дод 3'!E314</f>
        <v>75000</v>
      </c>
      <c r="E236" s="49">
        <f>'дод 3'!F314</f>
        <v>75000</v>
      </c>
      <c r="F236" s="49">
        <f>'дод 3'!G314</f>
        <v>0</v>
      </c>
      <c r="G236" s="49">
        <f>'дод 3'!H314</f>
        <v>0</v>
      </c>
      <c r="H236" s="49">
        <f>'дод 3'!I314</f>
        <v>0</v>
      </c>
      <c r="I236" s="49">
        <f>'дод 3'!J314</f>
        <v>0</v>
      </c>
      <c r="J236" s="49">
        <f>'дод 3'!K314</f>
        <v>0</v>
      </c>
      <c r="K236" s="49">
        <f>'дод 3'!L314</f>
        <v>0</v>
      </c>
      <c r="L236" s="49">
        <f>'дод 3'!M314</f>
        <v>0</v>
      </c>
      <c r="M236" s="49">
        <f>'дод 3'!N314</f>
        <v>0</v>
      </c>
      <c r="N236" s="49">
        <f>'дод 3'!O314</f>
        <v>0</v>
      </c>
      <c r="O236" s="49">
        <f>'дод 3'!P314</f>
        <v>75000</v>
      </c>
    </row>
    <row r="237" spans="1:15" s="52" customFormat="1" ht="19.5" customHeight="1" x14ac:dyDescent="0.25">
      <c r="A237" s="37" t="s">
        <v>9</v>
      </c>
      <c r="B237" s="37" t="s">
        <v>92</v>
      </c>
      <c r="C237" s="3" t="s">
        <v>10</v>
      </c>
      <c r="D237" s="49">
        <f>'дод 3'!E59+'дод 3'!E122+'дод 3'!E262+'дод 3'!E315</f>
        <v>0</v>
      </c>
      <c r="E237" s="49">
        <f>'дод 3'!F59+'дод 3'!F122+'дод 3'!F262+'дод 3'!F315</f>
        <v>0</v>
      </c>
      <c r="F237" s="49">
        <f>'дод 3'!G59+'дод 3'!G122+'дод 3'!G262+'дод 3'!G315</f>
        <v>0</v>
      </c>
      <c r="G237" s="49">
        <f>'дод 3'!H59+'дод 3'!H122+'дод 3'!H262+'дод 3'!H315</f>
        <v>0</v>
      </c>
      <c r="H237" s="49">
        <f>'дод 3'!I59+'дод 3'!I122+'дод 3'!I262+'дод 3'!I315</f>
        <v>0</v>
      </c>
      <c r="I237" s="49">
        <f>'дод 3'!J59+'дод 3'!J122+'дод 3'!J262+'дод 3'!J315</f>
        <v>4326600</v>
      </c>
      <c r="J237" s="49">
        <f>'дод 3'!K59+'дод 3'!K122+'дод 3'!K262+'дод 3'!K315</f>
        <v>0</v>
      </c>
      <c r="K237" s="49">
        <f>'дод 3'!L59+'дод 3'!L122+'дод 3'!L262+'дод 3'!L315</f>
        <v>2976700</v>
      </c>
      <c r="L237" s="49">
        <f>'дод 3'!M59+'дод 3'!M122+'дод 3'!M262+'дод 3'!M315</f>
        <v>0</v>
      </c>
      <c r="M237" s="49">
        <f>'дод 3'!N59+'дод 3'!N122+'дод 3'!N262+'дод 3'!N315</f>
        <v>0</v>
      </c>
      <c r="N237" s="49">
        <f>'дод 3'!O59+'дод 3'!O122+'дод 3'!O262+'дод 3'!O315</f>
        <v>1349900</v>
      </c>
      <c r="O237" s="49">
        <f>'дод 3'!P59+'дод 3'!P122+'дод 3'!P262+'дод 3'!P315</f>
        <v>4326600</v>
      </c>
    </row>
    <row r="238" spans="1:15" s="52" customFormat="1" ht="20.25" customHeight="1" x14ac:dyDescent="0.25">
      <c r="A238" s="38" t="s">
        <v>133</v>
      </c>
      <c r="B238" s="39"/>
      <c r="C238" s="2" t="s">
        <v>76</v>
      </c>
      <c r="D238" s="48">
        <f t="shared" ref="D238:O238" si="52">D239</f>
        <v>78700</v>
      </c>
      <c r="E238" s="48">
        <f t="shared" si="52"/>
        <v>78700</v>
      </c>
      <c r="F238" s="48">
        <f t="shared" si="52"/>
        <v>0</v>
      </c>
      <c r="G238" s="48">
        <f t="shared" si="52"/>
        <v>0</v>
      </c>
      <c r="H238" s="48">
        <f t="shared" si="52"/>
        <v>0</v>
      </c>
      <c r="I238" s="48">
        <f t="shared" si="52"/>
        <v>0</v>
      </c>
      <c r="J238" s="48">
        <f t="shared" si="52"/>
        <v>0</v>
      </c>
      <c r="K238" s="48">
        <f t="shared" si="52"/>
        <v>0</v>
      </c>
      <c r="L238" s="48">
        <f t="shared" si="52"/>
        <v>0</v>
      </c>
      <c r="M238" s="48">
        <f t="shared" si="52"/>
        <v>0</v>
      </c>
      <c r="N238" s="48">
        <f t="shared" si="52"/>
        <v>0</v>
      </c>
      <c r="O238" s="48">
        <f t="shared" si="52"/>
        <v>78700</v>
      </c>
    </row>
    <row r="239" spans="1:15" s="52" customFormat="1" ht="21" customHeight="1" x14ac:dyDescent="0.25">
      <c r="A239" s="37" t="s">
        <v>255</v>
      </c>
      <c r="B239" s="42" t="s">
        <v>77</v>
      </c>
      <c r="C239" s="3" t="s">
        <v>256</v>
      </c>
      <c r="D239" s="49">
        <f>'дод 3'!E60</f>
        <v>78700</v>
      </c>
      <c r="E239" s="49">
        <f>'дод 3'!F60</f>
        <v>78700</v>
      </c>
      <c r="F239" s="49">
        <f>'дод 3'!G60</f>
        <v>0</v>
      </c>
      <c r="G239" s="49">
        <f>'дод 3'!H60</f>
        <v>0</v>
      </c>
      <c r="H239" s="49">
        <f>'дод 3'!I60</f>
        <v>0</v>
      </c>
      <c r="I239" s="49">
        <f>'дод 3'!J60</f>
        <v>0</v>
      </c>
      <c r="J239" s="49">
        <f>'дод 3'!K60</f>
        <v>0</v>
      </c>
      <c r="K239" s="49">
        <f>'дод 3'!L60</f>
        <v>0</v>
      </c>
      <c r="L239" s="49">
        <f>'дод 3'!M60</f>
        <v>0</v>
      </c>
      <c r="M239" s="49">
        <f>'дод 3'!N60</f>
        <v>0</v>
      </c>
      <c r="N239" s="49">
        <f>'дод 3'!O60</f>
        <v>0</v>
      </c>
      <c r="O239" s="49">
        <f>'дод 3'!P60</f>
        <v>78700</v>
      </c>
    </row>
    <row r="240" spans="1:15" s="52" customFormat="1" ht="21" customHeight="1" x14ac:dyDescent="0.25">
      <c r="A240" s="38" t="s">
        <v>95</v>
      </c>
      <c r="B240" s="38" t="s">
        <v>90</v>
      </c>
      <c r="C240" s="2" t="s">
        <v>11</v>
      </c>
      <c r="D240" s="48">
        <f>'дод 3'!E316</f>
        <v>1086239</v>
      </c>
      <c r="E240" s="48">
        <f>'дод 3'!F316</f>
        <v>1086239</v>
      </c>
      <c r="F240" s="48">
        <f>'дод 3'!G316</f>
        <v>0</v>
      </c>
      <c r="G240" s="48">
        <f>'дод 3'!H316</f>
        <v>0</v>
      </c>
      <c r="H240" s="48">
        <f>'дод 3'!I316</f>
        <v>0</v>
      </c>
      <c r="I240" s="48">
        <f>'дод 3'!J316</f>
        <v>0</v>
      </c>
      <c r="J240" s="48">
        <f>'дод 3'!K316</f>
        <v>0</v>
      </c>
      <c r="K240" s="48">
        <f>'дод 3'!L316</f>
        <v>0</v>
      </c>
      <c r="L240" s="48">
        <f>'дод 3'!M316</f>
        <v>0</v>
      </c>
      <c r="M240" s="48">
        <f>'дод 3'!N316</f>
        <v>0</v>
      </c>
      <c r="N240" s="48">
        <f>'дод 3'!O316</f>
        <v>0</v>
      </c>
      <c r="O240" s="48">
        <f>'дод 3'!P316</f>
        <v>1086239</v>
      </c>
    </row>
    <row r="241" spans="1:15" s="52" customFormat="1" ht="25.5" customHeight="1" x14ac:dyDescent="0.25">
      <c r="A241" s="38">
        <v>8710</v>
      </c>
      <c r="B241" s="38" t="s">
        <v>93</v>
      </c>
      <c r="C241" s="2" t="s">
        <v>518</v>
      </c>
      <c r="D241" s="48">
        <f>'дод 3'!E317</f>
        <v>18628659.439999998</v>
      </c>
      <c r="E241" s="48">
        <f>'дод 3'!F317</f>
        <v>0</v>
      </c>
      <c r="F241" s="48">
        <f>'дод 3'!G317</f>
        <v>0</v>
      </c>
      <c r="G241" s="48">
        <f>'дод 3'!H317</f>
        <v>0</v>
      </c>
      <c r="H241" s="48">
        <f>'дод 3'!I317</f>
        <v>0</v>
      </c>
      <c r="I241" s="48">
        <f>'дод 3'!J317</f>
        <v>0</v>
      </c>
      <c r="J241" s="48">
        <f>'дод 3'!K317</f>
        <v>0</v>
      </c>
      <c r="K241" s="48">
        <f>'дод 3'!L317</f>
        <v>0</v>
      </c>
      <c r="L241" s="48">
        <f>'дод 3'!M317</f>
        <v>0</v>
      </c>
      <c r="M241" s="48">
        <f>'дод 3'!N317</f>
        <v>0</v>
      </c>
      <c r="N241" s="48">
        <f>'дод 3'!O317</f>
        <v>0</v>
      </c>
      <c r="O241" s="48">
        <f>'дод 3'!P317</f>
        <v>18628659.439999998</v>
      </c>
    </row>
    <row r="242" spans="1:15" s="52" customFormat="1" ht="24" customHeight="1" x14ac:dyDescent="0.25">
      <c r="A242" s="38" t="s">
        <v>12</v>
      </c>
      <c r="B242" s="38"/>
      <c r="C242" s="2" t="s">
        <v>545</v>
      </c>
      <c r="D242" s="48">
        <f>D244+D246+D250+D254</f>
        <v>185102213</v>
      </c>
      <c r="E242" s="48">
        <f t="shared" ref="E242:O242" si="53">E244+E246+E250+E254</f>
        <v>185102213</v>
      </c>
      <c r="F242" s="48">
        <f t="shared" si="53"/>
        <v>0</v>
      </c>
      <c r="G242" s="48">
        <f t="shared" si="53"/>
        <v>0</v>
      </c>
      <c r="H242" s="48">
        <f t="shared" si="53"/>
        <v>0</v>
      </c>
      <c r="I242" s="48">
        <f t="shared" si="53"/>
        <v>24017619.600000001</v>
      </c>
      <c r="J242" s="48">
        <f t="shared" si="53"/>
        <v>24017619.600000001</v>
      </c>
      <c r="K242" s="48">
        <f t="shared" si="53"/>
        <v>0</v>
      </c>
      <c r="L242" s="48">
        <f t="shared" si="53"/>
        <v>0</v>
      </c>
      <c r="M242" s="48">
        <f t="shared" si="53"/>
        <v>0</v>
      </c>
      <c r="N242" s="48">
        <f t="shared" si="53"/>
        <v>24017619.600000001</v>
      </c>
      <c r="O242" s="48">
        <f t="shared" si="53"/>
        <v>209119832.59999999</v>
      </c>
    </row>
    <row r="243" spans="1:15" s="52" customFormat="1" ht="36.75" customHeight="1" x14ac:dyDescent="0.25">
      <c r="A243" s="38"/>
      <c r="B243" s="38"/>
      <c r="C243" s="77" t="s">
        <v>541</v>
      </c>
      <c r="D243" s="76">
        <f>D247</f>
        <v>693000</v>
      </c>
      <c r="E243" s="76">
        <f t="shared" ref="E243:O243" si="54">E247</f>
        <v>693000</v>
      </c>
      <c r="F243" s="76">
        <f t="shared" si="54"/>
        <v>0</v>
      </c>
      <c r="G243" s="76">
        <f t="shared" si="54"/>
        <v>0</v>
      </c>
      <c r="H243" s="76">
        <f t="shared" si="54"/>
        <v>0</v>
      </c>
      <c r="I243" s="76">
        <f t="shared" si="54"/>
        <v>3307000</v>
      </c>
      <c r="J243" s="76">
        <f t="shared" si="54"/>
        <v>3307000</v>
      </c>
      <c r="K243" s="76">
        <f t="shared" si="54"/>
        <v>0</v>
      </c>
      <c r="L243" s="76">
        <f t="shared" si="54"/>
        <v>0</v>
      </c>
      <c r="M243" s="76">
        <f t="shared" si="54"/>
        <v>0</v>
      </c>
      <c r="N243" s="76">
        <f t="shared" si="54"/>
        <v>3307000</v>
      </c>
      <c r="O243" s="76">
        <f t="shared" si="54"/>
        <v>4000000</v>
      </c>
    </row>
    <row r="244" spans="1:15" s="52" customFormat="1" ht="21.75" customHeight="1" x14ac:dyDescent="0.25">
      <c r="A244" s="38" t="s">
        <v>253</v>
      </c>
      <c r="B244" s="38"/>
      <c r="C244" s="2" t="s">
        <v>298</v>
      </c>
      <c r="D244" s="48">
        <f t="shared" ref="D244:O244" si="55">D245</f>
        <v>100870700</v>
      </c>
      <c r="E244" s="48">
        <f t="shared" si="55"/>
        <v>100870700</v>
      </c>
      <c r="F244" s="48">
        <f t="shared" si="55"/>
        <v>0</v>
      </c>
      <c r="G244" s="48">
        <f t="shared" si="55"/>
        <v>0</v>
      </c>
      <c r="H244" s="48">
        <f t="shared" si="55"/>
        <v>0</v>
      </c>
      <c r="I244" s="48">
        <f t="shared" si="55"/>
        <v>0</v>
      </c>
      <c r="J244" s="48">
        <f t="shared" si="55"/>
        <v>0</v>
      </c>
      <c r="K244" s="48">
        <f t="shared" si="55"/>
        <v>0</v>
      </c>
      <c r="L244" s="48">
        <f t="shared" si="55"/>
        <v>0</v>
      </c>
      <c r="M244" s="48">
        <f t="shared" si="55"/>
        <v>0</v>
      </c>
      <c r="N244" s="48">
        <f t="shared" si="55"/>
        <v>0</v>
      </c>
      <c r="O244" s="48">
        <f t="shared" si="55"/>
        <v>100870700</v>
      </c>
    </row>
    <row r="245" spans="1:15" s="52" customFormat="1" ht="21" customHeight="1" x14ac:dyDescent="0.25">
      <c r="A245" s="37" t="s">
        <v>91</v>
      </c>
      <c r="B245" s="42" t="s">
        <v>45</v>
      </c>
      <c r="C245" s="3" t="s">
        <v>110</v>
      </c>
      <c r="D245" s="49">
        <f>'дод 3'!E318</f>
        <v>100870700</v>
      </c>
      <c r="E245" s="49">
        <f>'дод 3'!F318</f>
        <v>100870700</v>
      </c>
      <c r="F245" s="49">
        <f>'дод 3'!G318</f>
        <v>0</v>
      </c>
      <c r="G245" s="49">
        <f>'дод 3'!H318</f>
        <v>0</v>
      </c>
      <c r="H245" s="49">
        <f>'дод 3'!I318</f>
        <v>0</v>
      </c>
      <c r="I245" s="49">
        <f>'дод 3'!J318</f>
        <v>0</v>
      </c>
      <c r="J245" s="49">
        <f>'дод 3'!K318</f>
        <v>0</v>
      </c>
      <c r="K245" s="49">
        <f>'дод 3'!L318</f>
        <v>0</v>
      </c>
      <c r="L245" s="49">
        <f>'дод 3'!M318</f>
        <v>0</v>
      </c>
      <c r="M245" s="49">
        <f>'дод 3'!N318</f>
        <v>0</v>
      </c>
      <c r="N245" s="49">
        <f>'дод 3'!O318</f>
        <v>0</v>
      </c>
      <c r="O245" s="49">
        <f>'дод 3'!P318</f>
        <v>100870700</v>
      </c>
    </row>
    <row r="246" spans="1:15" s="52" customFormat="1" ht="69" customHeight="1" x14ac:dyDescent="0.25">
      <c r="A246" s="38">
        <v>9300</v>
      </c>
      <c r="B246" s="106"/>
      <c r="C246" s="2" t="s">
        <v>538</v>
      </c>
      <c r="D246" s="48">
        <f>D248</f>
        <v>693000</v>
      </c>
      <c r="E246" s="48">
        <f t="shared" ref="E246:O246" si="56">E248</f>
        <v>693000</v>
      </c>
      <c r="F246" s="48">
        <f t="shared" si="56"/>
        <v>0</v>
      </c>
      <c r="G246" s="48">
        <f t="shared" si="56"/>
        <v>0</v>
      </c>
      <c r="H246" s="48">
        <f t="shared" si="56"/>
        <v>0</v>
      </c>
      <c r="I246" s="48">
        <f t="shared" si="56"/>
        <v>3307000</v>
      </c>
      <c r="J246" s="48">
        <f t="shared" si="56"/>
        <v>3307000</v>
      </c>
      <c r="K246" s="48">
        <f t="shared" si="56"/>
        <v>0</v>
      </c>
      <c r="L246" s="48">
        <f t="shared" si="56"/>
        <v>0</v>
      </c>
      <c r="M246" s="48">
        <f t="shared" si="56"/>
        <v>0</v>
      </c>
      <c r="N246" s="48">
        <f t="shared" si="56"/>
        <v>3307000</v>
      </c>
      <c r="O246" s="48">
        <f t="shared" si="56"/>
        <v>4000000</v>
      </c>
    </row>
    <row r="247" spans="1:15" s="52" customFormat="1" ht="36.75" customHeight="1" x14ac:dyDescent="0.25">
      <c r="A247" s="38"/>
      <c r="B247" s="103"/>
      <c r="C247" s="77" t="s">
        <v>541</v>
      </c>
      <c r="D247" s="76">
        <f>D249</f>
        <v>693000</v>
      </c>
      <c r="E247" s="76">
        <f t="shared" ref="E247:O247" si="57">E249</f>
        <v>693000</v>
      </c>
      <c r="F247" s="76">
        <f t="shared" si="57"/>
        <v>0</v>
      </c>
      <c r="G247" s="76">
        <f t="shared" si="57"/>
        <v>0</v>
      </c>
      <c r="H247" s="76">
        <f t="shared" si="57"/>
        <v>0</v>
      </c>
      <c r="I247" s="76">
        <f t="shared" si="57"/>
        <v>3307000</v>
      </c>
      <c r="J247" s="76">
        <f t="shared" si="57"/>
        <v>3307000</v>
      </c>
      <c r="K247" s="76">
        <f t="shared" si="57"/>
        <v>0</v>
      </c>
      <c r="L247" s="76">
        <f t="shared" si="57"/>
        <v>0</v>
      </c>
      <c r="M247" s="76">
        <f t="shared" si="57"/>
        <v>0</v>
      </c>
      <c r="N247" s="76">
        <f t="shared" si="57"/>
        <v>3307000</v>
      </c>
      <c r="O247" s="76">
        <f t="shared" si="57"/>
        <v>4000000</v>
      </c>
    </row>
    <row r="248" spans="1:15" s="52" customFormat="1" ht="53.25" customHeight="1" x14ac:dyDescent="0.25">
      <c r="A248" s="37">
        <v>9320</v>
      </c>
      <c r="B248" s="103" t="s">
        <v>45</v>
      </c>
      <c r="C248" s="6" t="s">
        <v>539</v>
      </c>
      <c r="D248" s="49">
        <f>'дод 3'!E123</f>
        <v>693000</v>
      </c>
      <c r="E248" s="49">
        <f>'дод 3'!F123</f>
        <v>693000</v>
      </c>
      <c r="F248" s="49">
        <f>'дод 3'!G123</f>
        <v>0</v>
      </c>
      <c r="G248" s="49">
        <f>'дод 3'!H123</f>
        <v>0</v>
      </c>
      <c r="H248" s="49">
        <f>'дод 3'!I123</f>
        <v>0</v>
      </c>
      <c r="I248" s="49">
        <f>'дод 3'!J123</f>
        <v>3307000</v>
      </c>
      <c r="J248" s="49">
        <f>'дод 3'!K123</f>
        <v>3307000</v>
      </c>
      <c r="K248" s="49">
        <f>'дод 3'!L123</f>
        <v>0</v>
      </c>
      <c r="L248" s="49">
        <f>'дод 3'!M123</f>
        <v>0</v>
      </c>
      <c r="M248" s="49">
        <f>'дод 3'!N123</f>
        <v>0</v>
      </c>
      <c r="N248" s="49">
        <f>'дод 3'!O123</f>
        <v>3307000</v>
      </c>
      <c r="O248" s="49">
        <f>'дод 3'!P123</f>
        <v>4000000</v>
      </c>
    </row>
    <row r="249" spans="1:15" s="53" customFormat="1" ht="36.75" customHeight="1" x14ac:dyDescent="0.25">
      <c r="A249" s="78"/>
      <c r="B249" s="105"/>
      <c r="C249" s="87" t="s">
        <v>541</v>
      </c>
      <c r="D249" s="80">
        <f>'дод 3'!E124</f>
        <v>693000</v>
      </c>
      <c r="E249" s="80">
        <f>'дод 3'!F124</f>
        <v>693000</v>
      </c>
      <c r="F249" s="80">
        <f>'дод 3'!G124</f>
        <v>0</v>
      </c>
      <c r="G249" s="80">
        <f>'дод 3'!H124</f>
        <v>0</v>
      </c>
      <c r="H249" s="80">
        <f>'дод 3'!I124</f>
        <v>0</v>
      </c>
      <c r="I249" s="80">
        <f>'дод 3'!J124</f>
        <v>3307000</v>
      </c>
      <c r="J249" s="80">
        <f>'дод 3'!K124</f>
        <v>3307000</v>
      </c>
      <c r="K249" s="80">
        <f>'дод 3'!L124</f>
        <v>0</v>
      </c>
      <c r="L249" s="80">
        <f>'дод 3'!M124</f>
        <v>0</v>
      </c>
      <c r="M249" s="80">
        <f>'дод 3'!N124</f>
        <v>0</v>
      </c>
      <c r="N249" s="80">
        <f>'дод 3'!O124</f>
        <v>3307000</v>
      </c>
      <c r="O249" s="80">
        <f>'дод 3'!P124</f>
        <v>4000000</v>
      </c>
    </row>
    <row r="250" spans="1:15" s="52" customFormat="1" ht="57.75" customHeight="1" x14ac:dyDescent="0.25">
      <c r="A250" s="38" t="s">
        <v>13</v>
      </c>
      <c r="B250" s="106"/>
      <c r="C250" s="2" t="s">
        <v>347</v>
      </c>
      <c r="D250" s="48">
        <f>D251+D252+D253</f>
        <v>81430784</v>
      </c>
      <c r="E250" s="48">
        <f t="shared" ref="E250:O250" si="58">E251+E252+E253</f>
        <v>81430784</v>
      </c>
      <c r="F250" s="48">
        <f t="shared" si="58"/>
        <v>0</v>
      </c>
      <c r="G250" s="48">
        <f t="shared" si="58"/>
        <v>0</v>
      </c>
      <c r="H250" s="48">
        <f t="shared" si="58"/>
        <v>0</v>
      </c>
      <c r="I250" s="48">
        <f t="shared" si="58"/>
        <v>17827619.600000001</v>
      </c>
      <c r="J250" s="48">
        <f t="shared" si="58"/>
        <v>17827619.600000001</v>
      </c>
      <c r="K250" s="48">
        <f t="shared" si="58"/>
        <v>0</v>
      </c>
      <c r="L250" s="48">
        <f t="shared" si="58"/>
        <v>0</v>
      </c>
      <c r="M250" s="48">
        <f t="shared" si="58"/>
        <v>0</v>
      </c>
      <c r="N250" s="48">
        <f t="shared" si="58"/>
        <v>17827619.600000001</v>
      </c>
      <c r="O250" s="48">
        <f t="shared" si="58"/>
        <v>99258403.599999994</v>
      </c>
    </row>
    <row r="251" spans="1:15" s="52" customFormat="1" ht="78.75" x14ac:dyDescent="0.25">
      <c r="A251" s="93">
        <v>9730</v>
      </c>
      <c r="B251" s="59" t="s">
        <v>45</v>
      </c>
      <c r="C251" s="60" t="s">
        <v>575</v>
      </c>
      <c r="D251" s="49">
        <f>'дод 3'!E263</f>
        <v>0</v>
      </c>
      <c r="E251" s="49">
        <f>'дод 3'!F263</f>
        <v>0</v>
      </c>
      <c r="F251" s="49">
        <f>'дод 3'!G263</f>
        <v>0</v>
      </c>
      <c r="G251" s="49">
        <f>'дод 3'!H263</f>
        <v>0</v>
      </c>
      <c r="H251" s="49">
        <f>'дод 3'!I263</f>
        <v>0</v>
      </c>
      <c r="I251" s="49">
        <f>'дод 3'!J263</f>
        <v>0</v>
      </c>
      <c r="J251" s="49">
        <f>'дод 3'!K263</f>
        <v>0</v>
      </c>
      <c r="K251" s="49">
        <f>'дод 3'!L263</f>
        <v>0</v>
      </c>
      <c r="L251" s="49">
        <f>'дод 3'!M263</f>
        <v>0</v>
      </c>
      <c r="M251" s="49">
        <f>'дод 3'!N263</f>
        <v>0</v>
      </c>
      <c r="N251" s="49">
        <f>'дод 3'!O263</f>
        <v>0</v>
      </c>
      <c r="O251" s="49">
        <f>'дод 3'!P263</f>
        <v>0</v>
      </c>
    </row>
    <row r="252" spans="1:15" ht="31.5" x14ac:dyDescent="0.25">
      <c r="A252" s="37">
        <v>9750</v>
      </c>
      <c r="B252" s="42" t="s">
        <v>45</v>
      </c>
      <c r="C252" s="60" t="s">
        <v>529</v>
      </c>
      <c r="D252" s="49">
        <f>'дод 3'!E287</f>
        <v>0</v>
      </c>
      <c r="E252" s="49">
        <f>'дод 3'!F287</f>
        <v>0</v>
      </c>
      <c r="F252" s="49">
        <f>'дод 3'!G287</f>
        <v>0</v>
      </c>
      <c r="G252" s="49">
        <f>'дод 3'!H287</f>
        <v>0</v>
      </c>
      <c r="H252" s="49">
        <f>'дод 3'!I287</f>
        <v>0</v>
      </c>
      <c r="I252" s="49">
        <f>'дод 3'!J287</f>
        <v>86000</v>
      </c>
      <c r="J252" s="49">
        <f>'дод 3'!K287</f>
        <v>86000</v>
      </c>
      <c r="K252" s="49">
        <f>'дод 3'!L287</f>
        <v>0</v>
      </c>
      <c r="L252" s="49">
        <f>'дод 3'!M287</f>
        <v>0</v>
      </c>
      <c r="M252" s="49">
        <f>'дод 3'!N287</f>
        <v>0</v>
      </c>
      <c r="N252" s="49">
        <f>'дод 3'!O287</f>
        <v>86000</v>
      </c>
      <c r="O252" s="49">
        <f>'дод 3'!P287</f>
        <v>86000</v>
      </c>
    </row>
    <row r="253" spans="1:15" s="52" customFormat="1" ht="22.5" customHeight="1" x14ac:dyDescent="0.25">
      <c r="A253" s="37" t="s">
        <v>14</v>
      </c>
      <c r="B253" s="42" t="s">
        <v>45</v>
      </c>
      <c r="C253" s="6" t="s">
        <v>356</v>
      </c>
      <c r="D253" s="49">
        <f>'дод 3'!E125+'дод 3'!E160+'дод 3'!E201+'дод 3'!E264+'дод 3'!E61</f>
        <v>81430784</v>
      </c>
      <c r="E253" s="49">
        <f>'дод 3'!F125+'дод 3'!F160+'дод 3'!F201+'дод 3'!F264+'дод 3'!F61</f>
        <v>81430784</v>
      </c>
      <c r="F253" s="49">
        <f>'дод 3'!G125+'дод 3'!G160+'дод 3'!G201+'дод 3'!G264+'дод 3'!G61</f>
        <v>0</v>
      </c>
      <c r="G253" s="49">
        <f>'дод 3'!H125+'дод 3'!H160+'дод 3'!H201+'дод 3'!H264+'дод 3'!H61</f>
        <v>0</v>
      </c>
      <c r="H253" s="49">
        <f>'дод 3'!I125+'дод 3'!I160+'дод 3'!I201+'дод 3'!I264+'дод 3'!I61</f>
        <v>0</v>
      </c>
      <c r="I253" s="49">
        <f>'дод 3'!J125+'дод 3'!J160+'дод 3'!J201+'дод 3'!J264+'дод 3'!J61</f>
        <v>17741619.600000001</v>
      </c>
      <c r="J253" s="49">
        <f>'дод 3'!K125+'дод 3'!K160+'дод 3'!K201+'дод 3'!K264+'дод 3'!K61</f>
        <v>17741619.600000001</v>
      </c>
      <c r="K253" s="49">
        <f>'дод 3'!L125+'дод 3'!L160+'дод 3'!L201+'дод 3'!L264+'дод 3'!L61</f>
        <v>0</v>
      </c>
      <c r="L253" s="49">
        <f>'дод 3'!M125+'дод 3'!M160+'дод 3'!M201+'дод 3'!M264+'дод 3'!M61</f>
        <v>0</v>
      </c>
      <c r="M253" s="49">
        <f>'дод 3'!N125+'дод 3'!N160+'дод 3'!N201+'дод 3'!N264+'дод 3'!N61</f>
        <v>0</v>
      </c>
      <c r="N253" s="49">
        <f>'дод 3'!O125+'дод 3'!O160+'дод 3'!O201+'дод 3'!O264+'дод 3'!O61</f>
        <v>17741619.600000001</v>
      </c>
      <c r="O253" s="49">
        <f>'дод 3'!P125+'дод 3'!P160+'дод 3'!P201+'дод 3'!P264+'дод 3'!P61</f>
        <v>99172403.599999994</v>
      </c>
    </row>
    <row r="254" spans="1:15" s="52" customFormat="1" ht="51" customHeight="1" x14ac:dyDescent="0.25">
      <c r="A254" s="38">
        <v>9800</v>
      </c>
      <c r="B254" s="39" t="s">
        <v>45</v>
      </c>
      <c r="C254" s="9" t="s">
        <v>367</v>
      </c>
      <c r="D254" s="48">
        <f>'дод 3'!E126+'дод 3'!E62</f>
        <v>2107729</v>
      </c>
      <c r="E254" s="48">
        <f>'дод 3'!F126+'дод 3'!F62</f>
        <v>2107729</v>
      </c>
      <c r="F254" s="48">
        <f>'дод 3'!G126+'дод 3'!G62</f>
        <v>0</v>
      </c>
      <c r="G254" s="48">
        <f>'дод 3'!H126+'дод 3'!H62</f>
        <v>0</v>
      </c>
      <c r="H254" s="48">
        <f>'дод 3'!I126+'дод 3'!I62</f>
        <v>0</v>
      </c>
      <c r="I254" s="48">
        <f>'дод 3'!J126+'дод 3'!J62</f>
        <v>2883000</v>
      </c>
      <c r="J254" s="48">
        <f>'дод 3'!K126+'дод 3'!K62</f>
        <v>2883000</v>
      </c>
      <c r="K254" s="48">
        <f>'дод 3'!L126+'дод 3'!L62</f>
        <v>0</v>
      </c>
      <c r="L254" s="48">
        <f>'дод 3'!M126+'дод 3'!M62</f>
        <v>0</v>
      </c>
      <c r="M254" s="48">
        <f>'дод 3'!N126+'дод 3'!N62</f>
        <v>0</v>
      </c>
      <c r="N254" s="48">
        <f>'дод 3'!O126+'дод 3'!O62</f>
        <v>2883000</v>
      </c>
      <c r="O254" s="48">
        <f>'дод 3'!P126+'дод 3'!P62</f>
        <v>4990729</v>
      </c>
    </row>
    <row r="255" spans="1:15" s="52" customFormat="1" ht="18.75" customHeight="1" x14ac:dyDescent="0.25">
      <c r="A255" s="7"/>
      <c r="B255" s="7"/>
      <c r="C255" s="2" t="s">
        <v>408</v>
      </c>
      <c r="D255" s="48">
        <f t="shared" ref="D255:O255" si="59">D17+D24+D79+D100+D141+D146+D155+D167+D226+D242</f>
        <v>2340241122.8400002</v>
      </c>
      <c r="E255" s="48">
        <f t="shared" si="59"/>
        <v>2226849598.9200001</v>
      </c>
      <c r="F255" s="48">
        <f t="shared" si="59"/>
        <v>1078738960</v>
      </c>
      <c r="G255" s="48">
        <f t="shared" si="59"/>
        <v>133676941</v>
      </c>
      <c r="H255" s="48">
        <f t="shared" si="59"/>
        <v>94762864.480000004</v>
      </c>
      <c r="I255" s="48">
        <f t="shared" si="59"/>
        <v>791556557.02999997</v>
      </c>
      <c r="J255" s="48">
        <f t="shared" si="59"/>
        <v>722968712.50999999</v>
      </c>
      <c r="K255" s="48">
        <f t="shared" si="59"/>
        <v>49572501.869999997</v>
      </c>
      <c r="L255" s="48">
        <f t="shared" si="59"/>
        <v>6033355</v>
      </c>
      <c r="M255" s="48">
        <f t="shared" si="59"/>
        <v>266522</v>
      </c>
      <c r="N255" s="48">
        <f t="shared" si="59"/>
        <v>741984055.15999997</v>
      </c>
      <c r="O255" s="48">
        <f t="shared" si="59"/>
        <v>3131797679.8699999</v>
      </c>
    </row>
    <row r="256" spans="1:15" s="53" customFormat="1" ht="18" customHeight="1" x14ac:dyDescent="0.25">
      <c r="A256" s="86"/>
      <c r="B256" s="86"/>
      <c r="C256" s="75" t="s">
        <v>401</v>
      </c>
      <c r="D256" s="76">
        <f t="shared" ref="D256:O256" si="60">D25+D32+D196+D243+D175+D33</f>
        <v>485697135.60000002</v>
      </c>
      <c r="E256" s="76">
        <f t="shared" si="60"/>
        <v>485697135.60000002</v>
      </c>
      <c r="F256" s="76">
        <f t="shared" si="60"/>
        <v>395816000</v>
      </c>
      <c r="G256" s="76">
        <f t="shared" si="60"/>
        <v>0</v>
      </c>
      <c r="H256" s="76">
        <f t="shared" si="60"/>
        <v>0</v>
      </c>
      <c r="I256" s="76">
        <f t="shared" si="60"/>
        <v>30538873.18</v>
      </c>
      <c r="J256" s="76">
        <f t="shared" si="60"/>
        <v>27045923.18</v>
      </c>
      <c r="K256" s="76">
        <f t="shared" si="60"/>
        <v>0</v>
      </c>
      <c r="L256" s="76">
        <f t="shared" si="60"/>
        <v>0</v>
      </c>
      <c r="M256" s="76">
        <f t="shared" si="60"/>
        <v>0</v>
      </c>
      <c r="N256" s="76">
        <f t="shared" si="60"/>
        <v>30538873.18</v>
      </c>
      <c r="O256" s="76">
        <f t="shared" si="60"/>
        <v>516236008.77999997</v>
      </c>
    </row>
    <row r="257" spans="1:513" s="53" customFormat="1" ht="31.5" x14ac:dyDescent="0.25">
      <c r="A257" s="86"/>
      <c r="B257" s="86"/>
      <c r="C257" s="75" t="s">
        <v>402</v>
      </c>
      <c r="D257" s="76">
        <f>D26+D27+D29+D103+D104+D105+D232+D31+D35+D82+D83+D147+D34+D170+D164</f>
        <v>32375819.030000001</v>
      </c>
      <c r="E257" s="76">
        <f t="shared" ref="E257:O257" si="61">E26+E27+E29+E103+E104+E105+E232+E31+E35+E82+E83+E147+E34+E170+E164</f>
        <v>32375819.030000001</v>
      </c>
      <c r="F257" s="76">
        <f t="shared" si="61"/>
        <v>4263524</v>
      </c>
      <c r="G257" s="76">
        <f t="shared" si="61"/>
        <v>0</v>
      </c>
      <c r="H257" s="76">
        <f t="shared" si="61"/>
        <v>0</v>
      </c>
      <c r="I257" s="76">
        <f t="shared" si="61"/>
        <v>20538071.050000001</v>
      </c>
      <c r="J257" s="76">
        <f t="shared" si="61"/>
        <v>20538071.050000001</v>
      </c>
      <c r="K257" s="76">
        <f t="shared" si="61"/>
        <v>0</v>
      </c>
      <c r="L257" s="76">
        <f t="shared" si="61"/>
        <v>0</v>
      </c>
      <c r="M257" s="76">
        <f t="shared" si="61"/>
        <v>0</v>
      </c>
      <c r="N257" s="76">
        <f t="shared" si="61"/>
        <v>20538071.050000001</v>
      </c>
      <c r="O257" s="76">
        <f t="shared" si="61"/>
        <v>52913890.079999998</v>
      </c>
    </row>
    <row r="258" spans="1:513" s="53" customFormat="1" ht="23.25" customHeight="1" x14ac:dyDescent="0.25">
      <c r="A258" s="71"/>
      <c r="B258" s="71"/>
      <c r="C258" s="83" t="s">
        <v>419</v>
      </c>
      <c r="D258" s="76">
        <f>D171</f>
        <v>0</v>
      </c>
      <c r="E258" s="76">
        <f t="shared" ref="E258:O258" si="62">E171</f>
        <v>0</v>
      </c>
      <c r="F258" s="76">
        <f t="shared" si="62"/>
        <v>0</v>
      </c>
      <c r="G258" s="76">
        <f t="shared" si="62"/>
        <v>0</v>
      </c>
      <c r="H258" s="76">
        <f t="shared" si="62"/>
        <v>0</v>
      </c>
      <c r="I258" s="76">
        <f t="shared" si="62"/>
        <v>127771665.12</v>
      </c>
      <c r="J258" s="76">
        <f t="shared" si="62"/>
        <v>127771665.12</v>
      </c>
      <c r="K258" s="76">
        <f t="shared" si="62"/>
        <v>0</v>
      </c>
      <c r="L258" s="76">
        <f t="shared" si="62"/>
        <v>0</v>
      </c>
      <c r="M258" s="76">
        <f t="shared" si="62"/>
        <v>0</v>
      </c>
      <c r="N258" s="76">
        <f t="shared" si="62"/>
        <v>127771665.12</v>
      </c>
      <c r="O258" s="76">
        <f t="shared" si="62"/>
        <v>127771665.12</v>
      </c>
    </row>
    <row r="259" spans="1:513" s="52" customFormat="1" ht="19.5" customHeight="1" x14ac:dyDescent="0.25">
      <c r="A259" s="63"/>
      <c r="B259" s="63"/>
      <c r="C259" s="64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513" s="52" customFormat="1" x14ac:dyDescent="0.25">
      <c r="A260" s="63"/>
      <c r="B260" s="63"/>
      <c r="C260" s="64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513" s="52" customFormat="1" ht="30" customHeight="1" x14ac:dyDescent="0.55000000000000004">
      <c r="A261" s="63"/>
      <c r="B261" s="63"/>
      <c r="C261" s="64"/>
      <c r="D261" s="65"/>
      <c r="E261" s="65"/>
      <c r="F261" s="65"/>
      <c r="G261" s="65"/>
      <c r="H261" s="65"/>
      <c r="I261" s="65"/>
      <c r="J261" s="135"/>
      <c r="K261" s="65"/>
      <c r="L261" s="65"/>
      <c r="M261" s="65"/>
      <c r="N261" s="65"/>
      <c r="O261" s="65"/>
    </row>
    <row r="262" spans="1:513" s="146" customFormat="1" ht="47.25" customHeight="1" x14ac:dyDescent="0.55000000000000004">
      <c r="A262" s="143" t="s">
        <v>622</v>
      </c>
      <c r="B262" s="144"/>
      <c r="C262" s="145"/>
      <c r="D262" s="135"/>
      <c r="E262" s="135"/>
      <c r="F262" s="135"/>
      <c r="G262" s="135"/>
      <c r="H262" s="135"/>
      <c r="I262" s="135"/>
      <c r="J262" s="47"/>
      <c r="K262" s="135"/>
      <c r="L262" s="135" t="s">
        <v>626</v>
      </c>
      <c r="M262" s="136"/>
      <c r="N262" s="136"/>
      <c r="O262" s="136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  <c r="BI262" s="147"/>
      <c r="BJ262" s="147"/>
      <c r="BK262" s="147"/>
      <c r="BL262" s="147"/>
      <c r="BM262" s="147"/>
      <c r="BN262" s="147"/>
      <c r="BO262" s="147"/>
      <c r="BP262" s="147"/>
      <c r="BQ262" s="147"/>
      <c r="BR262" s="147"/>
      <c r="BS262" s="147"/>
      <c r="BT262" s="147"/>
      <c r="BU262" s="147"/>
      <c r="BV262" s="147"/>
      <c r="BW262" s="147"/>
      <c r="BX262" s="147"/>
      <c r="BY262" s="147"/>
      <c r="BZ262" s="147"/>
      <c r="CA262" s="147"/>
      <c r="CB262" s="147"/>
      <c r="CC262" s="147"/>
      <c r="CD262" s="147"/>
      <c r="CE262" s="147"/>
      <c r="CF262" s="147"/>
      <c r="CG262" s="147"/>
      <c r="CH262" s="147"/>
      <c r="CI262" s="147"/>
      <c r="CJ262" s="147"/>
      <c r="CK262" s="147"/>
      <c r="CL262" s="147"/>
      <c r="CM262" s="147"/>
      <c r="CN262" s="147"/>
      <c r="CO262" s="147"/>
      <c r="CP262" s="147"/>
      <c r="CQ262" s="147"/>
      <c r="CR262" s="147"/>
      <c r="CS262" s="147"/>
      <c r="CT262" s="147"/>
      <c r="CU262" s="147"/>
      <c r="CV262" s="147"/>
      <c r="CW262" s="147"/>
      <c r="CX262" s="147"/>
      <c r="CY262" s="147"/>
      <c r="CZ262" s="147"/>
      <c r="DA262" s="147"/>
      <c r="DB262" s="147"/>
      <c r="DC262" s="147"/>
      <c r="DD262" s="147"/>
      <c r="DE262" s="147"/>
      <c r="DF262" s="147"/>
      <c r="DG262" s="147"/>
      <c r="DH262" s="147"/>
      <c r="DI262" s="147"/>
      <c r="DJ262" s="147"/>
      <c r="DK262" s="147"/>
      <c r="DL262" s="147"/>
      <c r="DM262" s="147"/>
      <c r="DN262" s="147"/>
      <c r="DO262" s="147"/>
      <c r="DP262" s="147"/>
      <c r="DQ262" s="147"/>
      <c r="DR262" s="147"/>
      <c r="DS262" s="147"/>
      <c r="DT262" s="147"/>
      <c r="DU262" s="147"/>
      <c r="DV262" s="147"/>
      <c r="DW262" s="147"/>
      <c r="DX262" s="147"/>
      <c r="DY262" s="147"/>
      <c r="DZ262" s="147"/>
      <c r="EA262" s="147"/>
      <c r="EB262" s="147"/>
      <c r="EC262" s="147"/>
      <c r="ED262" s="147"/>
      <c r="EE262" s="147"/>
      <c r="EF262" s="147"/>
      <c r="EG262" s="147"/>
      <c r="EH262" s="147"/>
      <c r="EI262" s="147"/>
      <c r="EJ262" s="147"/>
      <c r="EK262" s="147"/>
      <c r="EL262" s="147"/>
      <c r="EM262" s="147"/>
      <c r="EN262" s="147"/>
      <c r="EO262" s="147"/>
      <c r="EP262" s="147"/>
      <c r="EQ262" s="147"/>
      <c r="ER262" s="147"/>
      <c r="ES262" s="147"/>
      <c r="ET262" s="147"/>
      <c r="EU262" s="147"/>
      <c r="EV262" s="147"/>
      <c r="EW262" s="147"/>
      <c r="EX262" s="147"/>
      <c r="EY262" s="147"/>
      <c r="EZ262" s="147"/>
      <c r="FA262" s="147"/>
      <c r="FB262" s="147"/>
      <c r="FC262" s="147"/>
      <c r="FD262" s="147"/>
      <c r="FE262" s="147"/>
      <c r="FF262" s="147"/>
      <c r="FG262" s="147"/>
      <c r="FH262" s="147"/>
      <c r="FI262" s="147"/>
      <c r="FJ262" s="147"/>
      <c r="FK262" s="147"/>
      <c r="FL262" s="147"/>
      <c r="FM262" s="147"/>
      <c r="FN262" s="147"/>
      <c r="FO262" s="147"/>
      <c r="FP262" s="147"/>
      <c r="FQ262" s="147"/>
      <c r="FR262" s="147"/>
      <c r="FS262" s="147"/>
      <c r="FT262" s="147"/>
      <c r="FU262" s="147"/>
      <c r="FV262" s="147"/>
      <c r="FW262" s="147"/>
      <c r="FX262" s="147"/>
      <c r="FY262" s="147"/>
      <c r="FZ262" s="147"/>
      <c r="GA262" s="147"/>
      <c r="GB262" s="147"/>
      <c r="GC262" s="147"/>
      <c r="GD262" s="147"/>
      <c r="GE262" s="147"/>
      <c r="GF262" s="147"/>
      <c r="GG262" s="147"/>
      <c r="GH262" s="147"/>
      <c r="GI262" s="147"/>
      <c r="GJ262" s="147"/>
      <c r="GK262" s="147"/>
      <c r="GL262" s="147"/>
      <c r="GM262" s="147"/>
      <c r="GN262" s="147"/>
      <c r="GO262" s="147"/>
      <c r="GP262" s="147"/>
      <c r="GQ262" s="147"/>
      <c r="GR262" s="147"/>
      <c r="GS262" s="147"/>
      <c r="GT262" s="147"/>
      <c r="GU262" s="147"/>
      <c r="GV262" s="147"/>
      <c r="GW262" s="147"/>
      <c r="GX262" s="147"/>
      <c r="GY262" s="147"/>
      <c r="GZ262" s="147"/>
      <c r="HA262" s="147"/>
      <c r="HB262" s="147"/>
      <c r="HC262" s="147"/>
      <c r="HD262" s="147"/>
      <c r="HE262" s="147"/>
      <c r="HF262" s="147"/>
      <c r="HG262" s="147"/>
      <c r="HH262" s="147"/>
      <c r="HI262" s="147"/>
      <c r="HJ262" s="147"/>
      <c r="HK262" s="147"/>
      <c r="HL262" s="147"/>
      <c r="HM262" s="147"/>
      <c r="HN262" s="147"/>
      <c r="HO262" s="147"/>
      <c r="HP262" s="147"/>
      <c r="HQ262" s="147"/>
      <c r="HR262" s="147"/>
      <c r="HS262" s="147"/>
      <c r="HT262" s="147"/>
      <c r="HU262" s="147"/>
      <c r="HV262" s="147"/>
      <c r="HW262" s="147"/>
      <c r="HX262" s="147"/>
      <c r="HY262" s="147"/>
      <c r="HZ262" s="147"/>
      <c r="IA262" s="147"/>
      <c r="IB262" s="147"/>
      <c r="IC262" s="147"/>
      <c r="ID262" s="147"/>
      <c r="IE262" s="147"/>
      <c r="IF262" s="147"/>
      <c r="IG262" s="147"/>
      <c r="IH262" s="147"/>
      <c r="II262" s="147"/>
      <c r="IJ262" s="147"/>
      <c r="IK262" s="147"/>
      <c r="IL262" s="147"/>
      <c r="IM262" s="147"/>
      <c r="IN262" s="147"/>
      <c r="IO262" s="147"/>
      <c r="IP262" s="147"/>
      <c r="IQ262" s="147"/>
      <c r="IR262" s="147"/>
      <c r="IS262" s="147"/>
      <c r="IT262" s="147"/>
      <c r="IU262" s="147"/>
      <c r="IV262" s="147"/>
      <c r="IW262" s="147"/>
      <c r="IX262" s="147"/>
      <c r="IY262" s="147"/>
      <c r="IZ262" s="147"/>
      <c r="JA262" s="147"/>
      <c r="JB262" s="147"/>
      <c r="JC262" s="147"/>
      <c r="JD262" s="147"/>
      <c r="JE262" s="147"/>
      <c r="JF262" s="147"/>
      <c r="JG262" s="147"/>
      <c r="JH262" s="147"/>
      <c r="JI262" s="147"/>
      <c r="JJ262" s="147"/>
      <c r="JK262" s="147"/>
      <c r="JL262" s="147"/>
      <c r="JM262" s="147"/>
      <c r="JN262" s="147"/>
      <c r="JO262" s="147"/>
      <c r="JP262" s="147"/>
      <c r="JQ262" s="147"/>
      <c r="JR262" s="147"/>
      <c r="JS262" s="147"/>
      <c r="JT262" s="147"/>
      <c r="JU262" s="147"/>
      <c r="JV262" s="147"/>
      <c r="JW262" s="147"/>
      <c r="JX262" s="147"/>
      <c r="JY262" s="147"/>
      <c r="JZ262" s="147"/>
      <c r="KA262" s="147"/>
      <c r="KB262" s="147"/>
      <c r="KC262" s="147"/>
      <c r="KD262" s="147"/>
      <c r="KE262" s="147"/>
      <c r="KF262" s="147"/>
      <c r="KG262" s="147"/>
      <c r="KH262" s="147"/>
      <c r="KI262" s="147"/>
      <c r="KJ262" s="147"/>
      <c r="KK262" s="147"/>
      <c r="KL262" s="147"/>
      <c r="KM262" s="147"/>
      <c r="KN262" s="147"/>
      <c r="KO262" s="147"/>
      <c r="KP262" s="147"/>
      <c r="KQ262" s="147"/>
      <c r="KR262" s="147"/>
      <c r="KS262" s="147"/>
      <c r="KT262" s="147"/>
      <c r="KU262" s="147"/>
      <c r="KV262" s="147"/>
      <c r="KW262" s="147"/>
      <c r="KX262" s="147"/>
      <c r="KY262" s="147"/>
      <c r="KZ262" s="147"/>
      <c r="LA262" s="147"/>
      <c r="LB262" s="147"/>
      <c r="LC262" s="147"/>
      <c r="LD262" s="147"/>
      <c r="LE262" s="147"/>
      <c r="LF262" s="147"/>
      <c r="LG262" s="147"/>
      <c r="LH262" s="147"/>
      <c r="LI262" s="147"/>
      <c r="LJ262" s="147"/>
      <c r="LK262" s="147"/>
      <c r="LL262" s="147"/>
      <c r="LM262" s="147"/>
      <c r="LN262" s="147"/>
      <c r="LO262" s="147"/>
      <c r="LP262" s="147"/>
      <c r="LQ262" s="147"/>
      <c r="LR262" s="147"/>
      <c r="LS262" s="147"/>
      <c r="LT262" s="147"/>
      <c r="LU262" s="147"/>
      <c r="LV262" s="147"/>
      <c r="LW262" s="147"/>
      <c r="LX262" s="147"/>
      <c r="LY262" s="147"/>
      <c r="LZ262" s="147"/>
      <c r="MA262" s="147"/>
      <c r="MB262" s="147"/>
      <c r="MC262" s="147"/>
      <c r="MD262" s="147"/>
      <c r="ME262" s="147"/>
      <c r="MF262" s="147"/>
      <c r="MG262" s="147"/>
      <c r="MH262" s="147"/>
      <c r="MI262" s="147"/>
      <c r="MJ262" s="147"/>
      <c r="MK262" s="147"/>
      <c r="ML262" s="147"/>
      <c r="MM262" s="147"/>
      <c r="MN262" s="147"/>
      <c r="MO262" s="147"/>
      <c r="MP262" s="147"/>
      <c r="MQ262" s="147"/>
      <c r="MR262" s="147"/>
      <c r="MS262" s="147"/>
      <c r="MT262" s="147"/>
      <c r="MU262" s="147"/>
      <c r="MV262" s="147"/>
      <c r="MW262" s="147"/>
      <c r="MX262" s="147"/>
      <c r="MY262" s="147"/>
      <c r="MZ262" s="147"/>
      <c r="NA262" s="147"/>
      <c r="NB262" s="147"/>
      <c r="NC262" s="147"/>
      <c r="ND262" s="147"/>
      <c r="NE262" s="147"/>
      <c r="NF262" s="147"/>
      <c r="NG262" s="147"/>
      <c r="NH262" s="147"/>
      <c r="NI262" s="147"/>
      <c r="NJ262" s="147"/>
      <c r="NK262" s="147"/>
      <c r="NL262" s="147"/>
      <c r="NM262" s="147"/>
      <c r="NN262" s="147"/>
      <c r="NO262" s="147"/>
      <c r="NP262" s="147"/>
      <c r="NQ262" s="147"/>
      <c r="NR262" s="147"/>
      <c r="NS262" s="147"/>
      <c r="NT262" s="147"/>
      <c r="NU262" s="147"/>
      <c r="NV262" s="147"/>
      <c r="NW262" s="147"/>
      <c r="NX262" s="147"/>
      <c r="NY262" s="147"/>
      <c r="NZ262" s="147"/>
      <c r="OA262" s="147"/>
      <c r="OB262" s="147"/>
      <c r="OC262" s="147"/>
      <c r="OD262" s="147"/>
      <c r="OE262" s="147"/>
      <c r="OF262" s="147"/>
      <c r="OG262" s="147"/>
      <c r="OH262" s="147"/>
      <c r="OI262" s="147"/>
      <c r="OJ262" s="147"/>
      <c r="OK262" s="147"/>
      <c r="OL262" s="147"/>
      <c r="OM262" s="147"/>
      <c r="ON262" s="147"/>
      <c r="OO262" s="147"/>
      <c r="OP262" s="147"/>
      <c r="OQ262" s="147"/>
      <c r="OR262" s="147"/>
      <c r="OS262" s="147"/>
      <c r="OT262" s="147"/>
      <c r="OU262" s="147"/>
      <c r="OV262" s="147"/>
      <c r="OW262" s="147"/>
      <c r="OX262" s="147"/>
      <c r="OY262" s="147"/>
      <c r="OZ262" s="147"/>
      <c r="PA262" s="147"/>
      <c r="PB262" s="147"/>
      <c r="PC262" s="147"/>
      <c r="PD262" s="147"/>
      <c r="PE262" s="147"/>
      <c r="PF262" s="147"/>
      <c r="PG262" s="147"/>
      <c r="PH262" s="147"/>
      <c r="PI262" s="147"/>
      <c r="PJ262" s="147"/>
      <c r="PK262" s="147"/>
      <c r="PL262" s="147"/>
      <c r="PM262" s="147"/>
      <c r="PN262" s="147"/>
      <c r="PO262" s="147"/>
      <c r="PP262" s="147"/>
      <c r="PQ262" s="147"/>
      <c r="PR262" s="147"/>
      <c r="PS262" s="147"/>
      <c r="PT262" s="147"/>
      <c r="PU262" s="147"/>
      <c r="PV262" s="147"/>
      <c r="PW262" s="147"/>
      <c r="PX262" s="147"/>
      <c r="PY262" s="147"/>
      <c r="PZ262" s="147"/>
      <c r="QA262" s="147"/>
      <c r="QB262" s="147"/>
      <c r="QC262" s="147"/>
      <c r="QD262" s="147"/>
      <c r="QE262" s="147"/>
      <c r="QF262" s="147"/>
      <c r="QG262" s="147"/>
      <c r="QH262" s="147"/>
      <c r="QI262" s="147"/>
      <c r="QJ262" s="147"/>
      <c r="QK262" s="147"/>
      <c r="QL262" s="147"/>
      <c r="QM262" s="147"/>
      <c r="QN262" s="147"/>
      <c r="QO262" s="147"/>
      <c r="QP262" s="147"/>
      <c r="QQ262" s="147"/>
      <c r="QR262" s="147"/>
      <c r="QS262" s="147"/>
      <c r="QT262" s="147"/>
      <c r="QU262" s="147"/>
      <c r="QV262" s="147"/>
      <c r="QW262" s="147"/>
      <c r="QX262" s="147"/>
      <c r="QY262" s="147"/>
      <c r="QZ262" s="147"/>
      <c r="RA262" s="147"/>
      <c r="RB262" s="147"/>
      <c r="RC262" s="147"/>
      <c r="RD262" s="147"/>
      <c r="RE262" s="147"/>
      <c r="RF262" s="147"/>
      <c r="RG262" s="147"/>
      <c r="RH262" s="147"/>
      <c r="RI262" s="147"/>
      <c r="RJ262" s="147"/>
      <c r="RK262" s="147"/>
      <c r="RL262" s="147"/>
      <c r="RM262" s="147"/>
      <c r="RN262" s="147"/>
      <c r="RO262" s="147"/>
      <c r="RP262" s="147"/>
      <c r="RQ262" s="147"/>
      <c r="RR262" s="147"/>
      <c r="RS262" s="147"/>
      <c r="RT262" s="147"/>
      <c r="RU262" s="147"/>
      <c r="RV262" s="147"/>
      <c r="RW262" s="147"/>
      <c r="RX262" s="147"/>
      <c r="RY262" s="147"/>
      <c r="RZ262" s="147"/>
      <c r="SA262" s="147"/>
      <c r="SB262" s="147"/>
      <c r="SC262" s="147"/>
      <c r="SD262" s="147"/>
      <c r="SE262" s="147"/>
      <c r="SF262" s="147"/>
      <c r="SG262" s="147"/>
      <c r="SH262" s="147"/>
      <c r="SI262" s="147"/>
      <c r="SJ262" s="147"/>
      <c r="SK262" s="147"/>
      <c r="SL262" s="147"/>
      <c r="SM262" s="147"/>
      <c r="SN262" s="147"/>
      <c r="SO262" s="147"/>
      <c r="SP262" s="147"/>
      <c r="SQ262" s="147"/>
      <c r="SR262" s="147"/>
      <c r="SS262" s="147"/>
    </row>
    <row r="263" spans="1:513" s="28" customFormat="1" ht="22.5" customHeight="1" x14ac:dyDescent="0.45">
      <c r="A263" s="56"/>
      <c r="B263" s="61"/>
      <c r="C263" s="61"/>
      <c r="D263" s="35"/>
      <c r="E263" s="47"/>
      <c r="F263" s="47"/>
      <c r="G263" s="47"/>
      <c r="H263" s="47"/>
      <c r="I263" s="47"/>
      <c r="J263" s="138"/>
      <c r="K263" s="47"/>
      <c r="L263" s="47"/>
      <c r="M263" s="47"/>
      <c r="N263" s="47"/>
      <c r="O263" s="47"/>
    </row>
    <row r="264" spans="1:513" s="139" customFormat="1" ht="31.5" x14ac:dyDescent="0.45">
      <c r="A264" s="137" t="s">
        <v>620</v>
      </c>
      <c r="B264" s="137"/>
      <c r="C264" s="137"/>
      <c r="D264" s="137"/>
      <c r="E264" s="138"/>
      <c r="F264" s="138"/>
      <c r="G264" s="138"/>
      <c r="H264" s="138"/>
      <c r="I264" s="138"/>
      <c r="J264" s="125"/>
      <c r="K264" s="138"/>
      <c r="L264" s="138"/>
      <c r="M264" s="138"/>
      <c r="N264" s="138"/>
      <c r="O264" s="138"/>
    </row>
    <row r="265" spans="1:513" s="126" customFormat="1" ht="25.5" customHeight="1" x14ac:dyDescent="0.4">
      <c r="A265" s="163" t="s">
        <v>553</v>
      </c>
      <c r="B265" s="163"/>
      <c r="C265" s="128"/>
      <c r="D265" s="129"/>
      <c r="E265" s="125"/>
      <c r="F265" s="125"/>
      <c r="G265" s="125"/>
      <c r="H265" s="125"/>
      <c r="I265" s="125"/>
      <c r="J265" s="133"/>
      <c r="K265" s="125"/>
      <c r="L265" s="125"/>
      <c r="M265" s="125"/>
      <c r="N265" s="125"/>
      <c r="O265" s="125"/>
    </row>
    <row r="266" spans="1:513" s="133" customFormat="1" ht="18.75" customHeight="1" x14ac:dyDescent="0.4">
      <c r="A266" s="130"/>
      <c r="B266" s="131"/>
      <c r="C266" s="132"/>
      <c r="J266" s="4"/>
    </row>
    <row r="274" spans="4:15" x14ac:dyDescent="0.25">
      <c r="D274" s="157">
        <f>'дод 3'!E319-'дод 8'!D255</f>
        <v>0</v>
      </c>
      <c r="E274" s="157">
        <f>'дод 3'!F319-'дод 8'!E255</f>
        <v>0</v>
      </c>
      <c r="F274" s="157">
        <f>'дод 3'!G319-'дод 8'!F255</f>
        <v>0</v>
      </c>
      <c r="G274" s="157">
        <f>'дод 3'!H319-'дод 8'!G255</f>
        <v>0</v>
      </c>
      <c r="H274" s="157">
        <f>'дод 3'!I319-'дод 8'!H255</f>
        <v>0</v>
      </c>
      <c r="I274" s="157">
        <f>'дод 3'!J319-'дод 8'!I255</f>
        <v>0</v>
      </c>
      <c r="J274" s="157">
        <f>'дод 3'!K319-'дод 8'!J255</f>
        <v>0</v>
      </c>
      <c r="K274" s="157">
        <f>'дод 3'!L319-'дод 8'!K255</f>
        <v>0</v>
      </c>
      <c r="L274" s="157">
        <f>'дод 3'!M319-'дод 8'!L255</f>
        <v>0</v>
      </c>
      <c r="M274" s="157">
        <f>'дод 3'!N319-'дод 8'!M255</f>
        <v>0</v>
      </c>
      <c r="N274" s="157">
        <f>'дод 3'!O319-'дод 8'!N255</f>
        <v>0</v>
      </c>
      <c r="O274" s="157">
        <f>'дод 3'!P319-'дод 8'!O255</f>
        <v>0</v>
      </c>
    </row>
    <row r="275" spans="4:15" x14ac:dyDescent="0.25">
      <c r="D275" s="157">
        <f>'дод 3'!E320-'дод 8'!D256</f>
        <v>0</v>
      </c>
      <c r="E275" s="157">
        <f>'дод 3'!F320-'дод 8'!E256</f>
        <v>0</v>
      </c>
      <c r="F275" s="157">
        <f>'дод 3'!G320-'дод 8'!F256</f>
        <v>0</v>
      </c>
      <c r="G275" s="157">
        <f>'дод 3'!H320-'дод 8'!G256</f>
        <v>0</v>
      </c>
      <c r="H275" s="157">
        <f>'дод 3'!I320-'дод 8'!H256</f>
        <v>0</v>
      </c>
      <c r="I275" s="157">
        <f>'дод 3'!J320-'дод 8'!I256</f>
        <v>0</v>
      </c>
      <c r="J275" s="157">
        <f>'дод 3'!K320-'дод 8'!J256</f>
        <v>0</v>
      </c>
      <c r="K275" s="157">
        <f>'дод 3'!L320-'дод 8'!K256</f>
        <v>0</v>
      </c>
      <c r="L275" s="157">
        <f>'дод 3'!M320-'дод 8'!L256</f>
        <v>0</v>
      </c>
      <c r="M275" s="157">
        <f>'дод 3'!N320-'дод 8'!M256</f>
        <v>0</v>
      </c>
      <c r="N275" s="157">
        <f>'дод 3'!O320-'дод 8'!N256</f>
        <v>0</v>
      </c>
      <c r="O275" s="157">
        <f>'дод 3'!P320-'дод 8'!O256</f>
        <v>0</v>
      </c>
    </row>
    <row r="276" spans="4:15" x14ac:dyDescent="0.25">
      <c r="D276" s="157">
        <f>'дод 3'!E321-'дод 8'!D257</f>
        <v>0</v>
      </c>
      <c r="E276" s="157">
        <f>'дод 3'!F321-'дод 8'!E257</f>
        <v>0</v>
      </c>
      <c r="F276" s="157">
        <f>'дод 3'!G321-'дод 8'!F257</f>
        <v>0</v>
      </c>
      <c r="G276" s="157">
        <f>'дод 3'!H321-'дод 8'!G257</f>
        <v>0</v>
      </c>
      <c r="H276" s="157">
        <f>'дод 3'!I321-'дод 8'!H257</f>
        <v>0</v>
      </c>
      <c r="I276" s="157">
        <f>'дод 3'!J321-'дод 8'!I257</f>
        <v>0</v>
      </c>
      <c r="J276" s="157">
        <f>'дод 3'!K321-'дод 8'!J257</f>
        <v>0</v>
      </c>
      <c r="K276" s="157">
        <f>'дод 3'!L321-'дод 8'!K257</f>
        <v>0</v>
      </c>
      <c r="L276" s="157">
        <f>'дод 3'!M321-'дод 8'!L257</f>
        <v>0</v>
      </c>
      <c r="M276" s="157">
        <f>'дод 3'!N321-'дод 8'!M257</f>
        <v>0</v>
      </c>
      <c r="N276" s="157">
        <f>'дод 3'!O321-'дод 8'!N257</f>
        <v>0</v>
      </c>
      <c r="O276" s="157">
        <f>'дод 3'!P321-'дод 8'!O257</f>
        <v>0</v>
      </c>
    </row>
    <row r="277" spans="4:15" x14ac:dyDescent="0.25">
      <c r="D277" s="157">
        <f>'дод 3'!E322-'дод 8'!D258</f>
        <v>0</v>
      </c>
      <c r="E277" s="157">
        <f>'дод 3'!F322-'дод 8'!E258</f>
        <v>0</v>
      </c>
      <c r="F277" s="157">
        <f>'дод 3'!G322-'дод 8'!F258</f>
        <v>0</v>
      </c>
      <c r="G277" s="157">
        <f>'дод 3'!H322-'дод 8'!G258</f>
        <v>0</v>
      </c>
      <c r="H277" s="157">
        <f>'дод 3'!I322-'дод 8'!H258</f>
        <v>0</v>
      </c>
      <c r="I277" s="157">
        <f>'дод 3'!J322-'дод 8'!I258</f>
        <v>0</v>
      </c>
      <c r="J277" s="157">
        <f>'дод 3'!K322-'дод 8'!J258</f>
        <v>0</v>
      </c>
      <c r="K277" s="157">
        <f>'дод 3'!L322-'дод 8'!K258</f>
        <v>0</v>
      </c>
      <c r="L277" s="157">
        <f>'дод 3'!M322-'дод 8'!L258</f>
        <v>0</v>
      </c>
      <c r="M277" s="157">
        <f>'дод 3'!N322-'дод 8'!M258</f>
        <v>0</v>
      </c>
      <c r="N277" s="157">
        <f>'дод 3'!O322-'дод 8'!N258</f>
        <v>0</v>
      </c>
      <c r="O277" s="157">
        <f>'дод 3'!P322-'дод 8'!O258</f>
        <v>0</v>
      </c>
    </row>
    <row r="278" spans="4:15" x14ac:dyDescent="0.25">
      <c r="D278" s="157">
        <f>'дод 3'!E323-'дод 8'!D259</f>
        <v>0</v>
      </c>
      <c r="E278" s="157">
        <f>'дод 3'!F323-'дод 8'!E259</f>
        <v>0</v>
      </c>
      <c r="F278" s="157">
        <f>'дод 3'!G323-'дод 8'!F259</f>
        <v>0</v>
      </c>
      <c r="G278" s="157">
        <f>'дод 3'!H323-'дод 8'!G259</f>
        <v>0</v>
      </c>
      <c r="H278" s="157">
        <f>'дод 3'!I323-'дод 8'!H259</f>
        <v>0</v>
      </c>
      <c r="I278" s="157">
        <f>'дод 3'!J323-'дод 8'!I259</f>
        <v>0</v>
      </c>
      <c r="J278" s="157">
        <f>'дод 3'!K323-'дод 8'!J259</f>
        <v>0</v>
      </c>
      <c r="K278" s="157">
        <f>'дод 3'!L323-'дод 8'!K259</f>
        <v>0</v>
      </c>
      <c r="L278" s="157">
        <f>'дод 3'!M323-'дод 8'!L259</f>
        <v>0</v>
      </c>
      <c r="M278" s="157">
        <f>'дод 3'!N323-'дод 8'!M259</f>
        <v>0</v>
      </c>
      <c r="N278" s="157">
        <f>'дод 3'!O323-'дод 8'!N259</f>
        <v>0</v>
      </c>
      <c r="O278" s="157">
        <f>'дод 3'!P323-'дод 8'!O259</f>
        <v>0</v>
      </c>
    </row>
    <row r="279" spans="4:15" x14ac:dyDescent="0.25">
      <c r="D279" s="157">
        <f>'дод 3'!E324-'дод 8'!D260</f>
        <v>0</v>
      </c>
      <c r="E279" s="157">
        <f>'дод 3'!F324-'дод 8'!E260</f>
        <v>0</v>
      </c>
      <c r="F279" s="157">
        <f>'дод 3'!G324-'дод 8'!F260</f>
        <v>0</v>
      </c>
      <c r="G279" s="157">
        <f>'дод 3'!H324-'дод 8'!G260</f>
        <v>0</v>
      </c>
      <c r="H279" s="157">
        <f>'дод 3'!I324-'дод 8'!H260</f>
        <v>0</v>
      </c>
      <c r="I279" s="157">
        <f>'дод 3'!J324-'дод 8'!I260</f>
        <v>0</v>
      </c>
      <c r="J279" s="157">
        <f>'дод 3'!K324-'дод 8'!J260</f>
        <v>0</v>
      </c>
      <c r="K279" s="157">
        <f>'дод 3'!L324-'дод 8'!K260</f>
        <v>0</v>
      </c>
      <c r="L279" s="157">
        <f>'дод 3'!M324-'дод 8'!L260</f>
        <v>0</v>
      </c>
      <c r="M279" s="157">
        <f>'дод 3'!N324-'дод 8'!M260</f>
        <v>0</v>
      </c>
      <c r="N279" s="157">
        <f>'дод 3'!O324-'дод 8'!N260</f>
        <v>0</v>
      </c>
      <c r="O279" s="157">
        <f>'дод 3'!P324-'дод 8'!O260</f>
        <v>0</v>
      </c>
    </row>
  </sheetData>
  <mergeCells count="25"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  <mergeCell ref="A265:B265"/>
    <mergeCell ref="O14:O16"/>
    <mergeCell ref="J4:O4"/>
    <mergeCell ref="J5:O5"/>
    <mergeCell ref="J6:O6"/>
    <mergeCell ref="J8:O8"/>
    <mergeCell ref="I14:N14"/>
    <mergeCell ref="A11:O11"/>
    <mergeCell ref="A12:O12"/>
  </mergeCells>
  <phoneticPr fontId="3" type="noConversion"/>
  <printOptions horizontalCentered="1"/>
  <pageMargins left="0" right="0" top="0.86614173228346458" bottom="0.47244094488188981" header="0" footer="0.31496062992125984"/>
  <pageSetup paperSize="9" scale="44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193" max="14" man="1"/>
    <brk id="2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8</vt:lpstr>
      <vt:lpstr>'дод 3'!Заголовки_для_печати</vt:lpstr>
      <vt:lpstr>'дод 8'!Заголовки_для_печати</vt:lpstr>
      <vt:lpstr>'дод 3'!Область_печати</vt:lpstr>
      <vt:lpstr>'дод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Кравченко Марина Анатоліївна</cp:lastModifiedBy>
  <cp:lastPrinted>2021-10-27T13:09:48Z</cp:lastPrinted>
  <dcterms:created xsi:type="dcterms:W3CDTF">2014-01-17T10:52:16Z</dcterms:created>
  <dcterms:modified xsi:type="dcterms:W3CDTF">2021-10-27T13:09:53Z</dcterms:modified>
</cp:coreProperties>
</file>