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avchenko_m\Desktop\Додатки\"/>
    </mc:Choice>
  </mc:AlternateContent>
  <bookViews>
    <workbookView xWindow="0" yWindow="0" windowWidth="28800" windowHeight="11835" tabRatio="495" activeTab="1"/>
  </bookViews>
  <sheets>
    <sheet name="дод 3" sheetId="1" r:id="rId1"/>
    <sheet name="дод 8" sheetId="3" r:id="rId2"/>
  </sheets>
  <definedNames>
    <definedName name="_xlnm.Print_Titles" localSheetId="0">'дод 3'!$14:$16</definedName>
    <definedName name="_xlnm.Print_Titles" localSheetId="1">'дод 8'!$14:$16</definedName>
    <definedName name="_xlnm.Print_Area" localSheetId="0">'дод 3'!$A$1:$P$330</definedName>
    <definedName name="_xlnm.Print_Area" localSheetId="1">'дод 8'!$A$1:$O$266</definedName>
  </definedNames>
  <calcPr calcId="162913"/>
</workbook>
</file>

<file path=xl/calcChain.xml><?xml version="1.0" encoding="utf-8"?>
<calcChain xmlns="http://schemas.openxmlformats.org/spreadsheetml/2006/main">
  <c r="E317" i="1" l="1"/>
  <c r="F41" i="1"/>
  <c r="O275" i="1"/>
  <c r="K275" i="1"/>
  <c r="O279" i="1"/>
  <c r="K279" i="1"/>
  <c r="E253" i="3" l="1"/>
  <c r="F253" i="3"/>
  <c r="G253" i="3"/>
  <c r="H253" i="3"/>
  <c r="I253" i="3"/>
  <c r="J253" i="3"/>
  <c r="K253" i="3"/>
  <c r="L253" i="3"/>
  <c r="M253" i="3"/>
  <c r="N253" i="3"/>
  <c r="O253" i="3"/>
  <c r="D253" i="3"/>
  <c r="F18" i="1"/>
  <c r="G18" i="1"/>
  <c r="H18" i="1"/>
  <c r="I18" i="1"/>
  <c r="J18" i="1"/>
  <c r="K18" i="1"/>
  <c r="L18" i="1"/>
  <c r="M18" i="1"/>
  <c r="N18" i="1"/>
  <c r="O18" i="1"/>
  <c r="J60" i="1"/>
  <c r="J61" i="1"/>
  <c r="P61" i="1" s="1"/>
  <c r="E61" i="1"/>
  <c r="O154" i="1"/>
  <c r="K154" i="1"/>
  <c r="O241" i="1"/>
  <c r="K241" i="1"/>
  <c r="J240" i="1"/>
  <c r="I236" i="1"/>
  <c r="G38" i="1" l="1"/>
  <c r="F237" i="1" l="1"/>
  <c r="O278" i="1"/>
  <c r="K278" i="1"/>
  <c r="O246" i="1"/>
  <c r="H311" i="1" l="1"/>
  <c r="F311" i="1"/>
  <c r="H300" i="1"/>
  <c r="F300" i="1"/>
  <c r="H290" i="1"/>
  <c r="F290" i="1"/>
  <c r="H267" i="1"/>
  <c r="F267" i="1"/>
  <c r="H229" i="1"/>
  <c r="F229" i="1"/>
  <c r="H216" i="1"/>
  <c r="F216" i="1"/>
  <c r="H214" i="1"/>
  <c r="F214" i="1"/>
  <c r="H213" i="1"/>
  <c r="F213" i="1"/>
  <c r="H212" i="1"/>
  <c r="F212" i="1"/>
  <c r="H205" i="1"/>
  <c r="F205" i="1"/>
  <c r="H197" i="1"/>
  <c r="F197" i="1"/>
  <c r="H180" i="1"/>
  <c r="F180" i="1"/>
  <c r="H168" i="1"/>
  <c r="F168" i="1"/>
  <c r="H136" i="1"/>
  <c r="H114" i="1"/>
  <c r="F114" i="1"/>
  <c r="H100" i="1"/>
  <c r="F100" i="1"/>
  <c r="H97" i="1"/>
  <c r="F97" i="1"/>
  <c r="H95" i="1"/>
  <c r="F95" i="1"/>
  <c r="H94" i="1"/>
  <c r="F94" i="1"/>
  <c r="H81" i="1"/>
  <c r="F81" i="1"/>
  <c r="H80" i="1"/>
  <c r="F80" i="1"/>
  <c r="H79" i="1"/>
  <c r="F79" i="1"/>
  <c r="H78" i="1"/>
  <c r="F78" i="1"/>
  <c r="H58" i="1"/>
  <c r="F58" i="1"/>
  <c r="H40" i="1"/>
  <c r="F40" i="1"/>
  <c r="F39" i="1"/>
  <c r="H38" i="1"/>
  <c r="F38" i="1"/>
  <c r="H34" i="1"/>
  <c r="F34" i="1"/>
  <c r="H33" i="1"/>
  <c r="F33" i="1"/>
  <c r="H31" i="1"/>
  <c r="F31" i="1"/>
  <c r="H28" i="1"/>
  <c r="F28" i="1"/>
  <c r="H21" i="1"/>
  <c r="F21" i="1"/>
  <c r="O281" i="1"/>
  <c r="K281" i="1"/>
  <c r="O276" i="1"/>
  <c r="K276" i="1"/>
  <c r="O272" i="1"/>
  <c r="K272" i="1"/>
  <c r="K242" i="1"/>
  <c r="O242" i="1"/>
  <c r="O208" i="1"/>
  <c r="K208" i="1"/>
  <c r="O153" i="1"/>
  <c r="K153" i="1"/>
  <c r="O116" i="1"/>
  <c r="K116" i="1"/>
  <c r="O62" i="1"/>
  <c r="K62" i="1"/>
  <c r="O284" i="1"/>
  <c r="K284" i="1"/>
  <c r="G271" i="1"/>
  <c r="F271" i="1"/>
  <c r="K246" i="1"/>
  <c r="F215" i="1"/>
  <c r="F201" i="1"/>
  <c r="F198" i="1"/>
  <c r="F181" i="1"/>
  <c r="F174" i="1"/>
  <c r="F170" i="1"/>
  <c r="O152" i="1"/>
  <c r="K152" i="1"/>
  <c r="O137" i="1"/>
  <c r="K137" i="1"/>
  <c r="F126" i="1"/>
  <c r="G78" i="1"/>
  <c r="F313" i="1"/>
  <c r="F316" i="1"/>
  <c r="F312" i="1"/>
  <c r="F284" i="1"/>
  <c r="F263" i="1"/>
  <c r="F22" i="1"/>
  <c r="O237" i="1"/>
  <c r="K237" i="1"/>
  <c r="O232" i="1" l="1"/>
  <c r="K232" i="1"/>
  <c r="F240" i="1"/>
  <c r="O78" i="1" l="1"/>
  <c r="K78" i="1"/>
  <c r="F175" i="1"/>
  <c r="I46" i="1"/>
  <c r="F27" i="1"/>
  <c r="F26" i="1"/>
  <c r="G21" i="1"/>
  <c r="F172" i="1"/>
  <c r="G168" i="1"/>
  <c r="I256" i="1"/>
  <c r="F256" i="1"/>
  <c r="F230" i="1"/>
  <c r="O234" i="1"/>
  <c r="K234" i="1"/>
  <c r="H240" i="1"/>
  <c r="F305" i="1"/>
  <c r="F302" i="1"/>
  <c r="G300" i="1"/>
  <c r="G311" i="1"/>
  <c r="F186" i="1"/>
  <c r="F171" i="1"/>
  <c r="F187" i="1"/>
  <c r="G180" i="1"/>
  <c r="O197" i="1"/>
  <c r="K197" i="1"/>
  <c r="G197" i="1"/>
  <c r="F120" i="1"/>
  <c r="O107" i="1"/>
  <c r="K107" i="1"/>
  <c r="F107" i="1"/>
  <c r="O106" i="1" l="1"/>
  <c r="K106" i="1"/>
  <c r="F106" i="1"/>
  <c r="O104" i="1"/>
  <c r="K104" i="1"/>
  <c r="F104" i="1"/>
  <c r="O101" i="1"/>
  <c r="K101" i="1"/>
  <c r="O100" i="1"/>
  <c r="K100" i="1"/>
  <c r="F88" i="1"/>
  <c r="G88" i="1"/>
  <c r="G87" i="1"/>
  <c r="F87" i="1"/>
  <c r="G86" i="1"/>
  <c r="F86" i="1"/>
  <c r="G85" i="1"/>
  <c r="F85" i="1"/>
  <c r="G83" i="1"/>
  <c r="F83" i="1"/>
  <c r="G82" i="1"/>
  <c r="F82" i="1"/>
  <c r="G100" i="1"/>
  <c r="G77" i="1"/>
  <c r="G97" i="1"/>
  <c r="G94" i="1"/>
  <c r="G79" i="1"/>
  <c r="F60" i="1"/>
  <c r="F54" i="1"/>
  <c r="F35" i="1"/>
  <c r="O49" i="1"/>
  <c r="K49" i="1"/>
  <c r="F49" i="1"/>
  <c r="G34" i="1"/>
  <c r="O238" i="1" l="1"/>
  <c r="O239" i="1"/>
  <c r="K238" i="1"/>
  <c r="K239" i="1"/>
  <c r="O209" i="1"/>
  <c r="K209" i="1"/>
  <c r="G110" i="1" l="1"/>
  <c r="G111" i="1"/>
  <c r="F110" i="1"/>
  <c r="F111" i="1"/>
  <c r="D278" i="3" l="1"/>
  <c r="E278" i="3"/>
  <c r="F278" i="3"/>
  <c r="G278" i="3"/>
  <c r="H278" i="3"/>
  <c r="I278" i="3"/>
  <c r="J278" i="3"/>
  <c r="K278" i="3"/>
  <c r="L278" i="3"/>
  <c r="M278" i="3"/>
  <c r="N278" i="3"/>
  <c r="O278" i="3"/>
  <c r="E163" i="3"/>
  <c r="F163" i="3"/>
  <c r="G163" i="3"/>
  <c r="H163" i="3"/>
  <c r="J163" i="3"/>
  <c r="K163" i="3"/>
  <c r="L163" i="3"/>
  <c r="M163" i="3"/>
  <c r="N163" i="3"/>
  <c r="E164" i="3"/>
  <c r="F164" i="3"/>
  <c r="G164" i="3"/>
  <c r="H164" i="3"/>
  <c r="J164" i="3"/>
  <c r="K164" i="3"/>
  <c r="L164" i="3"/>
  <c r="M164" i="3"/>
  <c r="N164" i="3"/>
  <c r="M222" i="1"/>
  <c r="N222" i="1"/>
  <c r="F226" i="1"/>
  <c r="G226" i="1"/>
  <c r="H226" i="1"/>
  <c r="I226" i="1"/>
  <c r="K226" i="1"/>
  <c r="L226" i="1"/>
  <c r="M226" i="1"/>
  <c r="N226" i="1"/>
  <c r="O226" i="1"/>
  <c r="J239" i="1" l="1"/>
  <c r="E239" i="1"/>
  <c r="P239" i="1" s="1"/>
  <c r="J238" i="1"/>
  <c r="E238" i="1"/>
  <c r="P238" i="1" l="1"/>
  <c r="E226" i="1"/>
  <c r="P226" i="1"/>
  <c r="J226" i="1"/>
  <c r="F173" i="1"/>
  <c r="G267" i="1"/>
  <c r="O247" i="1" l="1"/>
  <c r="K247" i="1"/>
  <c r="F217" i="1" l="1"/>
  <c r="L262" i="1" l="1"/>
  <c r="F234" i="1" l="1"/>
  <c r="I302" i="1"/>
  <c r="G229" i="1"/>
  <c r="G222" i="1" s="1"/>
  <c r="F283" i="1"/>
  <c r="F233" i="1"/>
  <c r="O236" i="1"/>
  <c r="K236" i="1"/>
  <c r="O198" i="1"/>
  <c r="K198" i="1"/>
  <c r="O168" i="1"/>
  <c r="K168" i="1"/>
  <c r="N54" i="3" l="1"/>
  <c r="M54" i="3"/>
  <c r="L54" i="3"/>
  <c r="K54" i="3"/>
  <c r="J54" i="3"/>
  <c r="H54" i="3"/>
  <c r="G54" i="3"/>
  <c r="F54" i="3"/>
  <c r="E54" i="3"/>
  <c r="N53" i="3"/>
  <c r="M53" i="3"/>
  <c r="L53" i="3"/>
  <c r="K53" i="3"/>
  <c r="J53" i="3"/>
  <c r="H53" i="3"/>
  <c r="G53" i="3"/>
  <c r="F53" i="3"/>
  <c r="E53" i="3"/>
  <c r="N47" i="3"/>
  <c r="M47" i="3"/>
  <c r="L47" i="3"/>
  <c r="K47" i="3"/>
  <c r="J47" i="3"/>
  <c r="H47" i="3"/>
  <c r="G47" i="3"/>
  <c r="F47" i="3"/>
  <c r="E47" i="3"/>
  <c r="O65" i="1"/>
  <c r="N65" i="1"/>
  <c r="M65" i="1"/>
  <c r="L65" i="1"/>
  <c r="K65" i="1"/>
  <c r="I65" i="1"/>
  <c r="H65" i="1"/>
  <c r="G65" i="1"/>
  <c r="F65" i="1"/>
  <c r="O64" i="1"/>
  <c r="N64" i="1"/>
  <c r="M64" i="1"/>
  <c r="L64" i="1"/>
  <c r="K64" i="1"/>
  <c r="I64" i="1"/>
  <c r="H64" i="1"/>
  <c r="G64" i="1"/>
  <c r="F64" i="1"/>
  <c r="J88" i="1"/>
  <c r="I54" i="3" s="1"/>
  <c r="J87" i="1"/>
  <c r="I53" i="3" s="1"/>
  <c r="E88" i="1"/>
  <c r="E87" i="1"/>
  <c r="J81" i="1"/>
  <c r="I47" i="3" s="1"/>
  <c r="E81" i="1"/>
  <c r="P81" i="1" s="1"/>
  <c r="O47" i="3" s="1"/>
  <c r="P88" i="1" l="1"/>
  <c r="O54" i="3" s="1"/>
  <c r="P87" i="1"/>
  <c r="O53" i="3" s="1"/>
  <c r="D47" i="3"/>
  <c r="D53" i="3"/>
  <c r="D54" i="3"/>
  <c r="N209" i="3"/>
  <c r="N197" i="3" s="1"/>
  <c r="M209" i="3"/>
  <c r="M197" i="3" s="1"/>
  <c r="L209" i="3"/>
  <c r="L197" i="3" s="1"/>
  <c r="K209" i="3"/>
  <c r="K197" i="3" s="1"/>
  <c r="J209" i="3"/>
  <c r="J197" i="3" s="1"/>
  <c r="H209" i="3"/>
  <c r="H197" i="3" s="1"/>
  <c r="G209" i="3"/>
  <c r="G197" i="3" s="1"/>
  <c r="F209" i="3"/>
  <c r="F197" i="3" s="1"/>
  <c r="E209" i="3"/>
  <c r="E197" i="3" s="1"/>
  <c r="N208" i="3"/>
  <c r="M208" i="3"/>
  <c r="L208" i="3"/>
  <c r="K208" i="3"/>
  <c r="J208" i="3"/>
  <c r="H208" i="3"/>
  <c r="G208" i="3"/>
  <c r="F208" i="3"/>
  <c r="E208" i="3"/>
  <c r="N192" i="3"/>
  <c r="M192" i="3"/>
  <c r="L192" i="3"/>
  <c r="K192" i="3"/>
  <c r="J192" i="3"/>
  <c r="H192" i="3"/>
  <c r="G192" i="3"/>
  <c r="F192" i="3"/>
  <c r="E192" i="3"/>
  <c r="N191" i="3"/>
  <c r="M191" i="3"/>
  <c r="L191" i="3"/>
  <c r="K191" i="3"/>
  <c r="J191" i="3"/>
  <c r="H191" i="3"/>
  <c r="G191" i="3"/>
  <c r="F191" i="3"/>
  <c r="E191" i="3"/>
  <c r="O134" i="1" l="1"/>
  <c r="N134" i="1"/>
  <c r="M134" i="1"/>
  <c r="L134" i="1"/>
  <c r="K134" i="1"/>
  <c r="I134" i="1"/>
  <c r="H134" i="1"/>
  <c r="G134" i="1"/>
  <c r="F134" i="1"/>
  <c r="N87" i="3"/>
  <c r="M87" i="3"/>
  <c r="L87" i="3"/>
  <c r="K87" i="3"/>
  <c r="J87" i="3"/>
  <c r="H87" i="3"/>
  <c r="G87" i="3"/>
  <c r="F87" i="3"/>
  <c r="E87" i="3"/>
  <c r="N179" i="3"/>
  <c r="M179" i="3"/>
  <c r="L179" i="3"/>
  <c r="K179" i="3"/>
  <c r="J179" i="3"/>
  <c r="J176" i="3" s="1"/>
  <c r="H179" i="3"/>
  <c r="G179" i="3"/>
  <c r="F179" i="3"/>
  <c r="E179" i="3"/>
  <c r="N72" i="3"/>
  <c r="N35" i="3" s="1"/>
  <c r="M72" i="3"/>
  <c r="M35" i="3" s="1"/>
  <c r="L72" i="3"/>
  <c r="L35" i="3" s="1"/>
  <c r="K72" i="3"/>
  <c r="K35" i="3" s="1"/>
  <c r="J72" i="3"/>
  <c r="J35" i="3" s="1"/>
  <c r="H72" i="3"/>
  <c r="H35" i="3" s="1"/>
  <c r="G72" i="3"/>
  <c r="G35" i="3" s="1"/>
  <c r="F72" i="3"/>
  <c r="F35" i="3" s="1"/>
  <c r="E72" i="3"/>
  <c r="E35" i="3" s="1"/>
  <c r="O227" i="1"/>
  <c r="N227" i="1"/>
  <c r="M227" i="1"/>
  <c r="L227" i="1"/>
  <c r="K227" i="1"/>
  <c r="I227" i="1"/>
  <c r="H227" i="1"/>
  <c r="G227" i="1"/>
  <c r="F227" i="1"/>
  <c r="J249" i="1"/>
  <c r="I192" i="3" s="1"/>
  <c r="J248" i="1"/>
  <c r="I191" i="3" s="1"/>
  <c r="E249" i="1"/>
  <c r="E248" i="1"/>
  <c r="D191" i="3" s="1"/>
  <c r="J254" i="1"/>
  <c r="I209" i="3" s="1"/>
  <c r="I197" i="3" s="1"/>
  <c r="E254" i="1"/>
  <c r="D209" i="3" s="1"/>
  <c r="D197" i="3" s="1"/>
  <c r="J253" i="1"/>
  <c r="I208" i="3" s="1"/>
  <c r="E253" i="1"/>
  <c r="D208" i="3" s="1"/>
  <c r="O76" i="1"/>
  <c r="N76" i="1"/>
  <c r="M76" i="1"/>
  <c r="L76" i="1"/>
  <c r="K76" i="1"/>
  <c r="I76" i="1"/>
  <c r="H76" i="1"/>
  <c r="G76" i="1"/>
  <c r="F76" i="1"/>
  <c r="E117" i="1"/>
  <c r="D179" i="3" s="1"/>
  <c r="J117" i="1"/>
  <c r="I179" i="3" s="1"/>
  <c r="J105" i="1"/>
  <c r="I72" i="3" s="1"/>
  <c r="I35" i="3" s="1"/>
  <c r="E105" i="1"/>
  <c r="D72" i="3" s="1"/>
  <c r="D35" i="3" s="1"/>
  <c r="E227" i="1" l="1"/>
  <c r="D192" i="3"/>
  <c r="D176" i="3"/>
  <c r="D170" i="3" s="1"/>
  <c r="F176" i="3"/>
  <c r="F170" i="3" s="1"/>
  <c r="H176" i="3"/>
  <c r="H170" i="3" s="1"/>
  <c r="K176" i="3"/>
  <c r="K170" i="3" s="1"/>
  <c r="M176" i="3"/>
  <c r="M170" i="3" s="1"/>
  <c r="I176" i="3"/>
  <c r="I170" i="3" s="1"/>
  <c r="E176" i="3"/>
  <c r="E170" i="3" s="1"/>
  <c r="G176" i="3"/>
  <c r="G170" i="3" s="1"/>
  <c r="J170" i="3"/>
  <c r="L176" i="3"/>
  <c r="L170" i="3" s="1"/>
  <c r="N176" i="3"/>
  <c r="N170" i="3" s="1"/>
  <c r="P249" i="1"/>
  <c r="O192" i="3" s="1"/>
  <c r="J227" i="1"/>
  <c r="P253" i="1"/>
  <c r="O208" i="3" s="1"/>
  <c r="P254" i="1"/>
  <c r="O209" i="3" s="1"/>
  <c r="O197" i="3" s="1"/>
  <c r="P248" i="1"/>
  <c r="O191" i="3" s="1"/>
  <c r="P117" i="1"/>
  <c r="O179" i="3" s="1"/>
  <c r="P105" i="1"/>
  <c r="O72" i="3" s="1"/>
  <c r="O35" i="3" s="1"/>
  <c r="O176" i="3" l="1"/>
  <c r="O170" i="3" s="1"/>
  <c r="P227" i="1"/>
  <c r="F207" i="1"/>
  <c r="O200" i="1" l="1"/>
  <c r="K200" i="1"/>
  <c r="O167" i="1" l="1"/>
  <c r="N167" i="1"/>
  <c r="M167" i="1"/>
  <c r="L167" i="1"/>
  <c r="K167" i="1"/>
  <c r="I167" i="1"/>
  <c r="H167" i="1"/>
  <c r="G167" i="1"/>
  <c r="F167" i="1"/>
  <c r="O166" i="1"/>
  <c r="N166" i="1"/>
  <c r="M166" i="1"/>
  <c r="L166" i="1"/>
  <c r="K166" i="1"/>
  <c r="I166" i="1"/>
  <c r="H166" i="1"/>
  <c r="G166" i="1"/>
  <c r="F166" i="1"/>
  <c r="O165" i="1"/>
  <c r="N165" i="1"/>
  <c r="M165" i="1"/>
  <c r="L165" i="1"/>
  <c r="K165" i="1"/>
  <c r="I165" i="1"/>
  <c r="H165" i="1"/>
  <c r="G165" i="1"/>
  <c r="J125" i="1" l="1"/>
  <c r="E125" i="1"/>
  <c r="H237" i="1"/>
  <c r="P125" i="1" l="1"/>
  <c r="O257" i="1"/>
  <c r="K257" i="1"/>
  <c r="N200" i="3" l="1"/>
  <c r="M200" i="3"/>
  <c r="L200" i="3"/>
  <c r="K200" i="3"/>
  <c r="J200" i="3"/>
  <c r="H200" i="3"/>
  <c r="G200" i="3"/>
  <c r="F200" i="3"/>
  <c r="E200" i="3"/>
  <c r="N251" i="3"/>
  <c r="M251" i="3"/>
  <c r="L251" i="3"/>
  <c r="K251" i="3"/>
  <c r="J251" i="3"/>
  <c r="H251" i="3"/>
  <c r="G251" i="3"/>
  <c r="F251" i="3"/>
  <c r="E251" i="3"/>
  <c r="M182" i="3"/>
  <c r="L182" i="3"/>
  <c r="K182" i="3"/>
  <c r="H182" i="3"/>
  <c r="G182" i="3"/>
  <c r="F182" i="3"/>
  <c r="E182" i="3"/>
  <c r="N162" i="1"/>
  <c r="M162" i="1"/>
  <c r="L162" i="1"/>
  <c r="I162" i="1"/>
  <c r="G162" i="1"/>
  <c r="H297" i="1" l="1"/>
  <c r="F297" i="1"/>
  <c r="H222" i="1"/>
  <c r="H215" i="1"/>
  <c r="H162" i="1"/>
  <c r="O264" i="1"/>
  <c r="K264" i="1"/>
  <c r="F264" i="1"/>
  <c r="J263" i="1"/>
  <c r="I251" i="3" s="1"/>
  <c r="E263" i="1"/>
  <c r="D251" i="3" s="1"/>
  <c r="N71" i="3"/>
  <c r="M71" i="3"/>
  <c r="L71" i="3"/>
  <c r="K71" i="3"/>
  <c r="J71" i="3"/>
  <c r="H71" i="3"/>
  <c r="G71" i="3"/>
  <c r="F71" i="3"/>
  <c r="E71" i="3"/>
  <c r="N68" i="3"/>
  <c r="M68" i="3"/>
  <c r="L68" i="3"/>
  <c r="K68" i="3"/>
  <c r="J68" i="3"/>
  <c r="H68" i="3"/>
  <c r="G68" i="3"/>
  <c r="F68" i="3"/>
  <c r="E68" i="3"/>
  <c r="J104" i="1"/>
  <c r="E104" i="1"/>
  <c r="D71" i="3" s="1"/>
  <c r="J101" i="1"/>
  <c r="I68" i="3" s="1"/>
  <c r="E101" i="1"/>
  <c r="D68" i="3" s="1"/>
  <c r="J46" i="1"/>
  <c r="I200" i="3" s="1"/>
  <c r="E46" i="1"/>
  <c r="D200" i="3" s="1"/>
  <c r="O74" i="1"/>
  <c r="N74" i="1"/>
  <c r="M74" i="1"/>
  <c r="L74" i="1"/>
  <c r="K74" i="1"/>
  <c r="I74" i="1"/>
  <c r="H74" i="1"/>
  <c r="G74" i="1"/>
  <c r="F74" i="1"/>
  <c r="O73" i="1"/>
  <c r="N73" i="1"/>
  <c r="M73" i="1"/>
  <c r="L73" i="1"/>
  <c r="K73" i="1"/>
  <c r="I73" i="1"/>
  <c r="H73" i="1"/>
  <c r="G73" i="1"/>
  <c r="F73" i="1"/>
  <c r="N151" i="3"/>
  <c r="N147" i="3" s="1"/>
  <c r="M151" i="3"/>
  <c r="M147" i="3" s="1"/>
  <c r="L151" i="3"/>
  <c r="L147" i="3" s="1"/>
  <c r="K151" i="3"/>
  <c r="K147" i="3" s="1"/>
  <c r="J151" i="3"/>
  <c r="J147" i="3" s="1"/>
  <c r="H151" i="3"/>
  <c r="H147" i="3" s="1"/>
  <c r="G151" i="3"/>
  <c r="G147" i="3" s="1"/>
  <c r="F151" i="3"/>
  <c r="F147" i="3" s="1"/>
  <c r="E151" i="3"/>
  <c r="E147" i="3" s="1"/>
  <c r="N135" i="3"/>
  <c r="N105" i="3" s="1"/>
  <c r="M135" i="3"/>
  <c r="M105" i="3" s="1"/>
  <c r="L135" i="3"/>
  <c r="L105" i="3" s="1"/>
  <c r="K135" i="3"/>
  <c r="K105" i="3" s="1"/>
  <c r="J135" i="3"/>
  <c r="J105" i="3" s="1"/>
  <c r="H135" i="3"/>
  <c r="H105" i="3" s="1"/>
  <c r="G135" i="3"/>
  <c r="G105" i="3" s="1"/>
  <c r="F135" i="3"/>
  <c r="F105" i="3" s="1"/>
  <c r="E135" i="3"/>
  <c r="E105" i="3" s="1"/>
  <c r="N134" i="3"/>
  <c r="M134" i="3"/>
  <c r="L134" i="3"/>
  <c r="K134" i="3"/>
  <c r="J134" i="3"/>
  <c r="H134" i="3"/>
  <c r="G134" i="3"/>
  <c r="F134" i="3"/>
  <c r="E134" i="3"/>
  <c r="N269" i="1"/>
  <c r="M269" i="1"/>
  <c r="L269" i="1"/>
  <c r="I269" i="1"/>
  <c r="H269" i="1"/>
  <c r="G269" i="1"/>
  <c r="J277" i="1"/>
  <c r="E277" i="1"/>
  <c r="O218" i="1"/>
  <c r="N182" i="3" s="1"/>
  <c r="K218" i="1"/>
  <c r="J182" i="3" s="1"/>
  <c r="P104" i="1" l="1"/>
  <c r="O71" i="3" s="1"/>
  <c r="P263" i="1"/>
  <c r="O251" i="3" s="1"/>
  <c r="P277" i="1"/>
  <c r="P46" i="1"/>
  <c r="O200" i="3" s="1"/>
  <c r="I71" i="3"/>
  <c r="P101" i="1"/>
  <c r="O68" i="3" s="1"/>
  <c r="F269" i="1"/>
  <c r="J194" i="1"/>
  <c r="E194" i="1"/>
  <c r="J193" i="1"/>
  <c r="I134" i="3" s="1"/>
  <c r="E193" i="1"/>
  <c r="J115" i="1"/>
  <c r="J76" i="1" s="1"/>
  <c r="E115" i="1"/>
  <c r="E76" i="1" s="1"/>
  <c r="N74" i="3"/>
  <c r="N34" i="3" s="1"/>
  <c r="M74" i="3"/>
  <c r="M34" i="3" s="1"/>
  <c r="L74" i="3"/>
  <c r="L34" i="3" s="1"/>
  <c r="K74" i="3"/>
  <c r="K34" i="3" s="1"/>
  <c r="J74" i="3"/>
  <c r="J34" i="3" s="1"/>
  <c r="H74" i="3"/>
  <c r="H34" i="3" s="1"/>
  <c r="G74" i="3"/>
  <c r="G34" i="3" s="1"/>
  <c r="F74" i="3"/>
  <c r="F34" i="3" s="1"/>
  <c r="E74" i="3"/>
  <c r="E34" i="3" s="1"/>
  <c r="N73" i="3"/>
  <c r="M73" i="3"/>
  <c r="L73" i="3"/>
  <c r="K73" i="3"/>
  <c r="J73" i="3"/>
  <c r="H73" i="3"/>
  <c r="G73" i="3"/>
  <c r="F73" i="3"/>
  <c r="E73" i="3"/>
  <c r="N70" i="3"/>
  <c r="N33" i="3" s="1"/>
  <c r="M70" i="3"/>
  <c r="M33" i="3" s="1"/>
  <c r="L70" i="3"/>
  <c r="L33" i="3" s="1"/>
  <c r="K70" i="3"/>
  <c r="K33" i="3" s="1"/>
  <c r="J70" i="3"/>
  <c r="J33" i="3" s="1"/>
  <c r="H70" i="3"/>
  <c r="H33" i="3" s="1"/>
  <c r="G70" i="3"/>
  <c r="G33" i="3" s="1"/>
  <c r="F70" i="3"/>
  <c r="F33" i="3" s="1"/>
  <c r="E70" i="3"/>
  <c r="E33" i="3" s="1"/>
  <c r="N69" i="3"/>
  <c r="M69" i="3"/>
  <c r="L69" i="3"/>
  <c r="K69" i="3"/>
  <c r="J69" i="3"/>
  <c r="H69" i="3"/>
  <c r="G69" i="3"/>
  <c r="F69" i="3"/>
  <c r="E69" i="3"/>
  <c r="E107" i="1"/>
  <c r="E106" i="1"/>
  <c r="D73" i="3" s="1"/>
  <c r="E103" i="1"/>
  <c r="E102" i="1"/>
  <c r="D69" i="3" s="1"/>
  <c r="J107" i="1"/>
  <c r="J106" i="1"/>
  <c r="P106" i="1" s="1"/>
  <c r="O73" i="3" s="1"/>
  <c r="J103" i="1"/>
  <c r="J102" i="1"/>
  <c r="P102" i="1" s="1"/>
  <c r="O69" i="3" s="1"/>
  <c r="D135" i="3" l="1"/>
  <c r="D105" i="3" s="1"/>
  <c r="E167" i="1"/>
  <c r="I135" i="3"/>
  <c r="I105" i="3" s="1"/>
  <c r="J167" i="1"/>
  <c r="I151" i="3"/>
  <c r="I147" i="3" s="1"/>
  <c r="P103" i="1"/>
  <c r="J74" i="1"/>
  <c r="P107" i="1"/>
  <c r="J73" i="1"/>
  <c r="D70" i="3"/>
  <c r="D33" i="3" s="1"/>
  <c r="E74" i="1"/>
  <c r="D74" i="3"/>
  <c r="D34" i="3" s="1"/>
  <c r="E73" i="1"/>
  <c r="P115" i="1"/>
  <c r="P76" i="1" s="1"/>
  <c r="D151" i="3"/>
  <c r="D147" i="3" s="1"/>
  <c r="P193" i="1"/>
  <c r="O134" i="3" s="1"/>
  <c r="D134" i="3"/>
  <c r="P194" i="1"/>
  <c r="I69" i="3"/>
  <c r="I73" i="3"/>
  <c r="I70" i="3"/>
  <c r="I33" i="3" s="1"/>
  <c r="I74" i="3"/>
  <c r="I34" i="3" s="1"/>
  <c r="O135" i="3" l="1"/>
  <c r="O105" i="3" s="1"/>
  <c r="P167" i="1"/>
  <c r="O151" i="3"/>
  <c r="O147" i="3" s="1"/>
  <c r="O74" i="3"/>
  <c r="O34" i="3" s="1"/>
  <c r="P73" i="1"/>
  <c r="O70" i="3"/>
  <c r="O33" i="3" s="1"/>
  <c r="P74" i="1"/>
  <c r="E245" i="3"/>
  <c r="E244" i="3" s="1"/>
  <c r="F245" i="3"/>
  <c r="F244" i="3" s="1"/>
  <c r="G245" i="3"/>
  <c r="G244" i="3" s="1"/>
  <c r="H245" i="3"/>
  <c r="H244" i="3" s="1"/>
  <c r="J245" i="3"/>
  <c r="J244" i="3" s="1"/>
  <c r="K245" i="3"/>
  <c r="K244" i="3" s="1"/>
  <c r="L245" i="3"/>
  <c r="L244" i="3" s="1"/>
  <c r="M245" i="3"/>
  <c r="M244" i="3" s="1"/>
  <c r="N245" i="3"/>
  <c r="N244" i="3" s="1"/>
  <c r="E248" i="3"/>
  <c r="E246" i="3" s="1"/>
  <c r="F248" i="3"/>
  <c r="F246" i="3" s="1"/>
  <c r="G248" i="3"/>
  <c r="G246" i="3" s="1"/>
  <c r="H248" i="3"/>
  <c r="H246" i="3" s="1"/>
  <c r="J248" i="3"/>
  <c r="J246" i="3" s="1"/>
  <c r="K248" i="3"/>
  <c r="K246" i="3" s="1"/>
  <c r="L248" i="3"/>
  <c r="L246" i="3" s="1"/>
  <c r="M248" i="3"/>
  <c r="M246" i="3" s="1"/>
  <c r="N248" i="3"/>
  <c r="N246" i="3" s="1"/>
  <c r="E249" i="3"/>
  <c r="E247" i="3" s="1"/>
  <c r="E243" i="3" s="1"/>
  <c r="F249" i="3"/>
  <c r="F247" i="3" s="1"/>
  <c r="F243" i="3" s="1"/>
  <c r="G249" i="3"/>
  <c r="G247" i="3" s="1"/>
  <c r="G243" i="3" s="1"/>
  <c r="H249" i="3"/>
  <c r="H247" i="3" s="1"/>
  <c r="H243" i="3" s="1"/>
  <c r="J249" i="3"/>
  <c r="J247" i="3" s="1"/>
  <c r="J243" i="3" s="1"/>
  <c r="K249" i="3"/>
  <c r="K247" i="3" s="1"/>
  <c r="K243" i="3" s="1"/>
  <c r="L249" i="3"/>
  <c r="L247" i="3" s="1"/>
  <c r="L243" i="3" s="1"/>
  <c r="M249" i="3"/>
  <c r="M247" i="3" s="1"/>
  <c r="M243" i="3" s="1"/>
  <c r="N249" i="3"/>
  <c r="N247" i="3" s="1"/>
  <c r="N243" i="3" s="1"/>
  <c r="E252" i="3"/>
  <c r="F252" i="3"/>
  <c r="G252" i="3"/>
  <c r="H252" i="3"/>
  <c r="J252" i="3"/>
  <c r="K252" i="3"/>
  <c r="L252" i="3"/>
  <c r="M252" i="3"/>
  <c r="N252" i="3"/>
  <c r="F254" i="3"/>
  <c r="G254" i="3"/>
  <c r="H254" i="3"/>
  <c r="J254" i="3"/>
  <c r="K254" i="3"/>
  <c r="L254" i="3"/>
  <c r="M254" i="3"/>
  <c r="N254" i="3"/>
  <c r="L250" i="3" l="1"/>
  <c r="G250" i="3"/>
  <c r="G242" i="3" s="1"/>
  <c r="M250" i="3"/>
  <c r="K250" i="3"/>
  <c r="K242" i="3" s="1"/>
  <c r="H250" i="3"/>
  <c r="H242" i="3" s="1"/>
  <c r="F250" i="3"/>
  <c r="F242" i="3" s="1"/>
  <c r="L242" i="3"/>
  <c r="M242" i="3"/>
  <c r="F231" i="1" l="1"/>
  <c r="F222" i="1" s="1"/>
  <c r="L315" i="1" l="1"/>
  <c r="E254" i="3"/>
  <c r="F206" i="1"/>
  <c r="N193" i="3" l="1"/>
  <c r="M193" i="3"/>
  <c r="L193" i="3"/>
  <c r="K193" i="3"/>
  <c r="J193" i="3"/>
  <c r="H193" i="3"/>
  <c r="G193" i="3"/>
  <c r="F193" i="3"/>
  <c r="J189" i="3"/>
  <c r="O225" i="1"/>
  <c r="N225" i="1"/>
  <c r="M225" i="1"/>
  <c r="L225" i="1"/>
  <c r="K225" i="1"/>
  <c r="I225" i="1"/>
  <c r="H225" i="1"/>
  <c r="G225" i="1"/>
  <c r="F225" i="1"/>
  <c r="M189" i="3"/>
  <c r="L189" i="3"/>
  <c r="K189" i="3"/>
  <c r="H189" i="3"/>
  <c r="G189" i="3"/>
  <c r="F189" i="3"/>
  <c r="E189" i="3"/>
  <c r="N190" i="3"/>
  <c r="M190" i="3"/>
  <c r="L190" i="3"/>
  <c r="K190" i="3"/>
  <c r="J190" i="3"/>
  <c r="H190" i="3"/>
  <c r="G190" i="3"/>
  <c r="F190" i="3"/>
  <c r="E190" i="3"/>
  <c r="F293" i="1"/>
  <c r="E193" i="3" s="1"/>
  <c r="O292" i="1"/>
  <c r="O289" i="1" s="1"/>
  <c r="K292" i="1"/>
  <c r="K289" i="1" s="1"/>
  <c r="N289" i="1"/>
  <c r="M289" i="1"/>
  <c r="I289" i="1"/>
  <c r="H289" i="1"/>
  <c r="G289" i="1"/>
  <c r="J293" i="1"/>
  <c r="N189" i="3"/>
  <c r="O133" i="1"/>
  <c r="N133" i="1"/>
  <c r="M133" i="1"/>
  <c r="L133" i="1"/>
  <c r="K133" i="1"/>
  <c r="I133" i="1"/>
  <c r="H133" i="1"/>
  <c r="G133" i="1"/>
  <c r="F133" i="1"/>
  <c r="O75" i="1"/>
  <c r="N75" i="1"/>
  <c r="M75" i="1"/>
  <c r="L75" i="1"/>
  <c r="K75" i="1"/>
  <c r="I75" i="1"/>
  <c r="H75" i="1"/>
  <c r="G75" i="1"/>
  <c r="F75" i="1"/>
  <c r="E119" i="1"/>
  <c r="E75" i="1" s="1"/>
  <c r="E118" i="1"/>
  <c r="J119" i="1"/>
  <c r="J118" i="1"/>
  <c r="O214" i="1"/>
  <c r="K214" i="1"/>
  <c r="O233" i="1"/>
  <c r="K233" i="1"/>
  <c r="O162" i="1"/>
  <c r="K162" i="1"/>
  <c r="O300" i="1"/>
  <c r="K300" i="1"/>
  <c r="O267" i="1"/>
  <c r="K267" i="1"/>
  <c r="O215" i="1"/>
  <c r="K215" i="1"/>
  <c r="P119" i="1" l="1"/>
  <c r="P75" i="1" s="1"/>
  <c r="E293" i="1"/>
  <c r="P293" i="1"/>
  <c r="P118" i="1"/>
  <c r="F289" i="1"/>
  <c r="J75" i="1"/>
  <c r="N250" i="3" l="1"/>
  <c r="N242" i="3" s="1"/>
  <c r="J250" i="3"/>
  <c r="J242" i="3" s="1"/>
  <c r="F72" i="1"/>
  <c r="M19" i="3"/>
  <c r="L19" i="3"/>
  <c r="K19" i="3"/>
  <c r="H19" i="3"/>
  <c r="F19" i="3"/>
  <c r="N56" i="3" l="1"/>
  <c r="N26" i="3" s="1"/>
  <c r="M56" i="3"/>
  <c r="M26" i="3" s="1"/>
  <c r="L56" i="3"/>
  <c r="L26" i="3" s="1"/>
  <c r="K56" i="3"/>
  <c r="K26" i="3" s="1"/>
  <c r="J56" i="3"/>
  <c r="J26" i="3" s="1"/>
  <c r="H56" i="3"/>
  <c r="H26" i="3" s="1"/>
  <c r="G56" i="3"/>
  <c r="G26" i="3" s="1"/>
  <c r="F56" i="3"/>
  <c r="F26" i="3" s="1"/>
  <c r="E56" i="3"/>
  <c r="E26" i="3" s="1"/>
  <c r="O67" i="1"/>
  <c r="N67" i="1"/>
  <c r="M67" i="1"/>
  <c r="L67" i="1"/>
  <c r="K67" i="1"/>
  <c r="I67" i="1"/>
  <c r="H67" i="1"/>
  <c r="G67" i="1"/>
  <c r="F67" i="1"/>
  <c r="J90" i="1"/>
  <c r="I56" i="3" s="1"/>
  <c r="I26" i="3" s="1"/>
  <c r="E90" i="1"/>
  <c r="D56" i="3" s="1"/>
  <c r="D26" i="3" s="1"/>
  <c r="N21" i="3"/>
  <c r="M21" i="3"/>
  <c r="L21" i="3"/>
  <c r="K21" i="3"/>
  <c r="J21" i="3"/>
  <c r="H21" i="3"/>
  <c r="G21" i="3"/>
  <c r="F21" i="3"/>
  <c r="E21" i="3"/>
  <c r="J230" i="1"/>
  <c r="E230" i="1"/>
  <c r="G19" i="3"/>
  <c r="O280" i="1"/>
  <c r="K280" i="1"/>
  <c r="O206" i="1"/>
  <c r="K206" i="1"/>
  <c r="O205" i="1"/>
  <c r="K205" i="1"/>
  <c r="F162" i="1"/>
  <c r="O273" i="1"/>
  <c r="K203" i="1" l="1"/>
  <c r="O269" i="1"/>
  <c r="N19" i="3"/>
  <c r="J19" i="3"/>
  <c r="K269" i="1"/>
  <c r="P230" i="1"/>
  <c r="P90" i="1"/>
  <c r="E67" i="1"/>
  <c r="J67" i="1"/>
  <c r="L294" i="1"/>
  <c r="L289" i="1" s="1"/>
  <c r="O259" i="1"/>
  <c r="L259" i="1"/>
  <c r="L222" i="1" s="1"/>
  <c r="N206" i="3"/>
  <c r="M206" i="3"/>
  <c r="L206" i="3"/>
  <c r="K206" i="3"/>
  <c r="J206" i="3"/>
  <c r="H206" i="3"/>
  <c r="G206" i="3"/>
  <c r="F206" i="3"/>
  <c r="E206" i="3"/>
  <c r="N207" i="3"/>
  <c r="N196" i="3" s="1"/>
  <c r="M207" i="3"/>
  <c r="M196" i="3" s="1"/>
  <c r="L207" i="3"/>
  <c r="L196" i="3" s="1"/>
  <c r="K207" i="3"/>
  <c r="K196" i="3" s="1"/>
  <c r="J207" i="3"/>
  <c r="J196" i="3" s="1"/>
  <c r="H207" i="3"/>
  <c r="H196" i="3" s="1"/>
  <c r="G207" i="3"/>
  <c r="G196" i="3" s="1"/>
  <c r="F207" i="3"/>
  <c r="F196" i="3" s="1"/>
  <c r="E207" i="3"/>
  <c r="E196" i="3" s="1"/>
  <c r="N58" i="3"/>
  <c r="M58" i="3"/>
  <c r="L58" i="3"/>
  <c r="K58" i="3"/>
  <c r="J58" i="3"/>
  <c r="H58" i="3"/>
  <c r="G58" i="3"/>
  <c r="F58" i="3"/>
  <c r="E58" i="3"/>
  <c r="N59" i="3"/>
  <c r="M59" i="3"/>
  <c r="L59" i="3"/>
  <c r="K59" i="3"/>
  <c r="J59" i="3"/>
  <c r="H59" i="3"/>
  <c r="G59" i="3"/>
  <c r="F59" i="3"/>
  <c r="E59" i="3"/>
  <c r="N72" i="1"/>
  <c r="M72" i="1"/>
  <c r="L72" i="1"/>
  <c r="I72" i="1"/>
  <c r="H72" i="1"/>
  <c r="G72" i="1"/>
  <c r="J124" i="1"/>
  <c r="I249" i="3" s="1"/>
  <c r="I247" i="3" s="1"/>
  <c r="I243" i="3" s="1"/>
  <c r="J123" i="1"/>
  <c r="I248" i="3" s="1"/>
  <c r="I246" i="3" s="1"/>
  <c r="E124" i="1"/>
  <c r="E123" i="1"/>
  <c r="J93" i="1"/>
  <c r="I59" i="3" s="1"/>
  <c r="J92" i="1"/>
  <c r="I58" i="3" s="1"/>
  <c r="E93" i="1"/>
  <c r="P93" i="1" s="1"/>
  <c r="O59" i="3" s="1"/>
  <c r="E92" i="1"/>
  <c r="P92" i="1" s="1"/>
  <c r="O58" i="3" s="1"/>
  <c r="O72" i="1"/>
  <c r="K72" i="1"/>
  <c r="P123" i="1" l="1"/>
  <c r="O248" i="3" s="1"/>
  <c r="O246" i="3" s="1"/>
  <c r="P124" i="1"/>
  <c r="O249" i="3" s="1"/>
  <c r="O247" i="3" s="1"/>
  <c r="O243" i="3" s="1"/>
  <c r="D249" i="3"/>
  <c r="D247" i="3" s="1"/>
  <c r="D243" i="3" s="1"/>
  <c r="D59" i="3"/>
  <c r="O56" i="3"/>
  <c r="O26" i="3" s="1"/>
  <c r="P67" i="1"/>
  <c r="D58" i="3"/>
  <c r="D248" i="3"/>
  <c r="D246" i="3" s="1"/>
  <c r="J169" i="1" l="1"/>
  <c r="E169" i="1" l="1"/>
  <c r="P169" i="1" s="1"/>
  <c r="E19" i="3" l="1"/>
  <c r="K128" i="1"/>
  <c r="N57" i="3"/>
  <c r="N32" i="3" s="1"/>
  <c r="M57" i="3"/>
  <c r="M32" i="3" s="1"/>
  <c r="L57" i="3"/>
  <c r="L32" i="3" s="1"/>
  <c r="K57" i="3"/>
  <c r="K32" i="3" s="1"/>
  <c r="J57" i="3"/>
  <c r="J32" i="3" s="1"/>
  <c r="H57" i="3"/>
  <c r="H32" i="3" s="1"/>
  <c r="G57" i="3"/>
  <c r="G32" i="3" s="1"/>
  <c r="F57" i="3"/>
  <c r="F32" i="3" s="1"/>
  <c r="E57" i="3"/>
  <c r="E32" i="3" s="1"/>
  <c r="J91" i="1"/>
  <c r="J72" i="1" s="1"/>
  <c r="E91" i="1"/>
  <c r="E72" i="1" s="1"/>
  <c r="E250" i="3" l="1"/>
  <c r="E242" i="3" s="1"/>
  <c r="P91" i="1"/>
  <c r="P72" i="1" s="1"/>
  <c r="D57" i="3"/>
  <c r="D32" i="3" s="1"/>
  <c r="I57" i="3"/>
  <c r="I32" i="3" s="1"/>
  <c r="O243" i="1"/>
  <c r="O222" i="1" s="1"/>
  <c r="K243" i="1"/>
  <c r="K222" i="1" s="1"/>
  <c r="O57" i="3" l="1"/>
  <c r="O32" i="3" s="1"/>
  <c r="F199" i="1"/>
  <c r="F165" i="1" s="1"/>
  <c r="I233" i="1" l="1"/>
  <c r="I222" i="1" s="1"/>
  <c r="F301" i="1"/>
  <c r="N178" i="3" l="1"/>
  <c r="M178" i="3"/>
  <c r="L178" i="3"/>
  <c r="K178" i="3"/>
  <c r="J178" i="3"/>
  <c r="H178" i="3"/>
  <c r="G178" i="3"/>
  <c r="F178" i="3"/>
  <c r="E178" i="3"/>
  <c r="K132" i="1" l="1"/>
  <c r="N55" i="3" l="1"/>
  <c r="M55" i="3"/>
  <c r="L55" i="3"/>
  <c r="K55" i="3"/>
  <c r="J55" i="3"/>
  <c r="H55" i="3"/>
  <c r="G55" i="3"/>
  <c r="F55" i="3"/>
  <c r="E55" i="3"/>
  <c r="J89" i="1"/>
  <c r="I55" i="3" s="1"/>
  <c r="E89" i="1"/>
  <c r="J287" i="1"/>
  <c r="I252" i="3" s="1"/>
  <c r="E287" i="1"/>
  <c r="D252" i="3" s="1"/>
  <c r="D55" i="3" l="1"/>
  <c r="P287" i="1"/>
  <c r="O252" i="3" s="1"/>
  <c r="P89" i="1"/>
  <c r="O55" i="3" s="1"/>
  <c r="J126" i="1"/>
  <c r="E126" i="1" l="1"/>
  <c r="N78" i="3"/>
  <c r="N31" i="3" s="1"/>
  <c r="M78" i="3"/>
  <c r="M31" i="3" s="1"/>
  <c r="L78" i="3"/>
  <c r="L31" i="3" s="1"/>
  <c r="K78" i="3"/>
  <c r="K31" i="3" s="1"/>
  <c r="J78" i="3"/>
  <c r="J31" i="3" s="1"/>
  <c r="H78" i="3"/>
  <c r="H31" i="3" s="1"/>
  <c r="G78" i="3"/>
  <c r="G31" i="3" s="1"/>
  <c r="F78" i="3"/>
  <c r="F31" i="3" s="1"/>
  <c r="E78" i="3"/>
  <c r="E31" i="3" s="1"/>
  <c r="N77" i="3"/>
  <c r="M77" i="3"/>
  <c r="L77" i="3"/>
  <c r="K77" i="3"/>
  <c r="J77" i="3"/>
  <c r="H77" i="3"/>
  <c r="G77" i="3"/>
  <c r="F77" i="3"/>
  <c r="E77" i="3"/>
  <c r="O71" i="1"/>
  <c r="N71" i="1"/>
  <c r="M71" i="1"/>
  <c r="L71" i="1"/>
  <c r="K71" i="1"/>
  <c r="I71" i="1"/>
  <c r="H71" i="1"/>
  <c r="G71" i="1"/>
  <c r="F71" i="1"/>
  <c r="J111" i="1"/>
  <c r="I78" i="3" s="1"/>
  <c r="I31" i="3" s="1"/>
  <c r="J110" i="1"/>
  <c r="I77" i="3" s="1"/>
  <c r="E111" i="1"/>
  <c r="P111" i="1" s="1"/>
  <c r="O78" i="3" s="1"/>
  <c r="O31" i="3" s="1"/>
  <c r="E110" i="1"/>
  <c r="P110" i="1" s="1"/>
  <c r="O77" i="3" s="1"/>
  <c r="D78" i="3" l="1"/>
  <c r="D31" i="3" s="1"/>
  <c r="E71" i="1"/>
  <c r="P126" i="1"/>
  <c r="D77" i="3"/>
  <c r="J71" i="1"/>
  <c r="P71" i="1"/>
  <c r="N237" i="3" l="1"/>
  <c r="M237" i="3"/>
  <c r="L237" i="3"/>
  <c r="K237" i="3"/>
  <c r="J237" i="3"/>
  <c r="H237" i="3"/>
  <c r="G237" i="3"/>
  <c r="F237" i="3"/>
  <c r="E237" i="3"/>
  <c r="M215" i="3"/>
  <c r="L215" i="3"/>
  <c r="K215" i="3"/>
  <c r="H215" i="3"/>
  <c r="G215" i="3"/>
  <c r="F215" i="3"/>
  <c r="N61" i="3"/>
  <c r="M61" i="3"/>
  <c r="L61" i="3"/>
  <c r="K61" i="3"/>
  <c r="J61" i="3"/>
  <c r="H61" i="3"/>
  <c r="G61" i="3"/>
  <c r="F61" i="3"/>
  <c r="E61" i="3"/>
  <c r="E213" i="1"/>
  <c r="J213" i="1"/>
  <c r="I61" i="3" s="1"/>
  <c r="D61" i="3" l="1"/>
  <c r="P213" i="1"/>
  <c r="O61" i="3" s="1"/>
  <c r="N225" i="3" l="1"/>
  <c r="M225" i="3"/>
  <c r="L225" i="3"/>
  <c r="K225" i="3"/>
  <c r="J225" i="3"/>
  <c r="H225" i="3"/>
  <c r="G225" i="3"/>
  <c r="F225" i="3"/>
  <c r="E225" i="3"/>
  <c r="E121" i="1"/>
  <c r="D225" i="3" s="1"/>
  <c r="J121" i="1"/>
  <c r="I225" i="3" s="1"/>
  <c r="N150" i="3"/>
  <c r="M150" i="3"/>
  <c r="L150" i="3"/>
  <c r="K150" i="3"/>
  <c r="J150" i="3"/>
  <c r="H150" i="3"/>
  <c r="G150" i="3"/>
  <c r="F150" i="3"/>
  <c r="E150" i="3"/>
  <c r="N139" i="3"/>
  <c r="M139" i="3"/>
  <c r="L139" i="3"/>
  <c r="K139" i="3"/>
  <c r="J139" i="3"/>
  <c r="H139" i="3"/>
  <c r="G139" i="3"/>
  <c r="F139" i="3"/>
  <c r="N121" i="3"/>
  <c r="M121" i="3"/>
  <c r="L121" i="3"/>
  <c r="K121" i="3"/>
  <c r="J121" i="3"/>
  <c r="H121" i="3"/>
  <c r="G121" i="3"/>
  <c r="F121" i="3"/>
  <c r="E121" i="3"/>
  <c r="N76" i="3"/>
  <c r="N29" i="3" s="1"/>
  <c r="M76" i="3"/>
  <c r="M29" i="3" s="1"/>
  <c r="L76" i="3"/>
  <c r="L29" i="3" s="1"/>
  <c r="K76" i="3"/>
  <c r="K29" i="3" s="1"/>
  <c r="J76" i="3"/>
  <c r="J29" i="3" s="1"/>
  <c r="H76" i="3"/>
  <c r="H29" i="3" s="1"/>
  <c r="G76" i="3"/>
  <c r="G29" i="3" s="1"/>
  <c r="F76" i="3"/>
  <c r="F29" i="3" s="1"/>
  <c r="E76" i="3"/>
  <c r="E29" i="3" s="1"/>
  <c r="N75" i="3"/>
  <c r="M75" i="3"/>
  <c r="L75" i="3"/>
  <c r="K75" i="3"/>
  <c r="J75" i="3"/>
  <c r="H75" i="3"/>
  <c r="G75" i="3"/>
  <c r="F75" i="3"/>
  <c r="E75" i="3"/>
  <c r="N67" i="3"/>
  <c r="M67" i="3"/>
  <c r="L67" i="3"/>
  <c r="K67" i="3"/>
  <c r="J67" i="3"/>
  <c r="H67" i="3"/>
  <c r="G67" i="3"/>
  <c r="F67" i="3"/>
  <c r="E67" i="3"/>
  <c r="B67" i="3"/>
  <c r="N66" i="3"/>
  <c r="M66" i="3"/>
  <c r="L66" i="3"/>
  <c r="K66" i="3"/>
  <c r="J66" i="3"/>
  <c r="H66" i="3"/>
  <c r="G66" i="3"/>
  <c r="F66" i="3"/>
  <c r="E66" i="3"/>
  <c r="N65" i="3"/>
  <c r="M65" i="3"/>
  <c r="L65" i="3"/>
  <c r="K65" i="3"/>
  <c r="J65" i="3"/>
  <c r="H65" i="3"/>
  <c r="G65" i="3"/>
  <c r="F65" i="3"/>
  <c r="E65" i="3"/>
  <c r="N64" i="3"/>
  <c r="M64" i="3"/>
  <c r="L64" i="3"/>
  <c r="K64" i="3"/>
  <c r="J64" i="3"/>
  <c r="H64" i="3"/>
  <c r="G64" i="3"/>
  <c r="F64" i="3"/>
  <c r="E64" i="3"/>
  <c r="N63" i="3"/>
  <c r="M63" i="3"/>
  <c r="L63" i="3"/>
  <c r="K63" i="3"/>
  <c r="J63" i="3"/>
  <c r="H63" i="3"/>
  <c r="G63" i="3"/>
  <c r="F63" i="3"/>
  <c r="E63" i="3"/>
  <c r="N62" i="3"/>
  <c r="M62" i="3"/>
  <c r="L62" i="3"/>
  <c r="K62" i="3"/>
  <c r="J62" i="3"/>
  <c r="H62" i="3"/>
  <c r="G62" i="3"/>
  <c r="F62" i="3"/>
  <c r="E62" i="3"/>
  <c r="N60" i="3"/>
  <c r="M60" i="3"/>
  <c r="L60" i="3"/>
  <c r="K60" i="3"/>
  <c r="J60" i="3"/>
  <c r="H60" i="3"/>
  <c r="G60" i="3"/>
  <c r="F60" i="3"/>
  <c r="E60" i="3"/>
  <c r="N52" i="3"/>
  <c r="M52" i="3"/>
  <c r="L52" i="3"/>
  <c r="K52" i="3"/>
  <c r="J52" i="3"/>
  <c r="H52" i="3"/>
  <c r="G52" i="3"/>
  <c r="F52" i="3"/>
  <c r="E52" i="3"/>
  <c r="N51" i="3"/>
  <c r="M51" i="3"/>
  <c r="L51" i="3"/>
  <c r="K51" i="3"/>
  <c r="J51" i="3"/>
  <c r="H51" i="3"/>
  <c r="G51" i="3"/>
  <c r="F51" i="3"/>
  <c r="E51" i="3"/>
  <c r="N50" i="3"/>
  <c r="N27" i="3" s="1"/>
  <c r="M50" i="3"/>
  <c r="M27" i="3" s="1"/>
  <c r="L50" i="3"/>
  <c r="L27" i="3" s="1"/>
  <c r="K50" i="3"/>
  <c r="K27" i="3" s="1"/>
  <c r="J50" i="3"/>
  <c r="J27" i="3" s="1"/>
  <c r="H50" i="3"/>
  <c r="H27" i="3" s="1"/>
  <c r="G50" i="3"/>
  <c r="G27" i="3" s="1"/>
  <c r="F50" i="3"/>
  <c r="F27" i="3" s="1"/>
  <c r="E50" i="3"/>
  <c r="E27" i="3" s="1"/>
  <c r="N49" i="3"/>
  <c r="M49" i="3"/>
  <c r="L49" i="3"/>
  <c r="K49" i="3"/>
  <c r="J49" i="3"/>
  <c r="H49" i="3"/>
  <c r="G49" i="3"/>
  <c r="F49" i="3"/>
  <c r="E49" i="3"/>
  <c r="N48" i="3"/>
  <c r="M48" i="3"/>
  <c r="L48" i="3"/>
  <c r="K48" i="3"/>
  <c r="J48" i="3"/>
  <c r="H48" i="3"/>
  <c r="G48" i="3"/>
  <c r="F48" i="3"/>
  <c r="E48" i="3"/>
  <c r="N45" i="3"/>
  <c r="M45" i="3"/>
  <c r="L45" i="3"/>
  <c r="K45" i="3"/>
  <c r="J45" i="3"/>
  <c r="H45" i="3"/>
  <c r="G45" i="3"/>
  <c r="F45" i="3"/>
  <c r="E45" i="3"/>
  <c r="N38" i="3"/>
  <c r="M38" i="3"/>
  <c r="L38" i="3"/>
  <c r="K38" i="3"/>
  <c r="J38" i="3"/>
  <c r="H38" i="3"/>
  <c r="G38" i="3"/>
  <c r="F38" i="3"/>
  <c r="E38" i="3"/>
  <c r="N36" i="3"/>
  <c r="M36" i="3"/>
  <c r="L36" i="3"/>
  <c r="K36" i="3"/>
  <c r="J36" i="3"/>
  <c r="H36" i="3"/>
  <c r="G36" i="3"/>
  <c r="F36" i="3"/>
  <c r="E36" i="3"/>
  <c r="N25" i="3" l="1"/>
  <c r="E25" i="3"/>
  <c r="J25" i="3"/>
  <c r="G24" i="3"/>
  <c r="L24" i="3"/>
  <c r="G25" i="3"/>
  <c r="L25" i="3"/>
  <c r="F24" i="3"/>
  <c r="H24" i="3"/>
  <c r="K24" i="3"/>
  <c r="M24" i="3"/>
  <c r="F25" i="3"/>
  <c r="H25" i="3"/>
  <c r="K25" i="3"/>
  <c r="M25" i="3"/>
  <c r="J24" i="3"/>
  <c r="E24" i="3"/>
  <c r="N24" i="3"/>
  <c r="N215" i="3"/>
  <c r="P121" i="1"/>
  <c r="O225" i="3" s="1"/>
  <c r="J122" i="1"/>
  <c r="J120" i="1"/>
  <c r="J116" i="1"/>
  <c r="J114" i="1"/>
  <c r="J113" i="1"/>
  <c r="J112" i="1"/>
  <c r="E122" i="1"/>
  <c r="E120" i="1"/>
  <c r="E116" i="1"/>
  <c r="E114" i="1"/>
  <c r="E113" i="1"/>
  <c r="E112" i="1"/>
  <c r="P112" i="1" l="1"/>
  <c r="P114" i="1"/>
  <c r="P120" i="1"/>
  <c r="P116" i="1"/>
  <c r="P122" i="1"/>
  <c r="P113" i="1"/>
  <c r="O70" i="1"/>
  <c r="N70" i="1"/>
  <c r="M70" i="1"/>
  <c r="L70" i="1"/>
  <c r="K70" i="1"/>
  <c r="I70" i="1"/>
  <c r="H70" i="1"/>
  <c r="G70" i="1"/>
  <c r="F70" i="1"/>
  <c r="O68" i="1"/>
  <c r="N68" i="1"/>
  <c r="M68" i="1"/>
  <c r="L68" i="1"/>
  <c r="K68" i="1"/>
  <c r="I68" i="1"/>
  <c r="H68" i="1"/>
  <c r="G68" i="1"/>
  <c r="F68" i="1"/>
  <c r="J99" i="1"/>
  <c r="I66" i="3" s="1"/>
  <c r="E99" i="1"/>
  <c r="D66" i="3" s="1"/>
  <c r="J86" i="1"/>
  <c r="I52" i="3" s="1"/>
  <c r="E86" i="1"/>
  <c r="D52" i="3" s="1"/>
  <c r="P99" i="1" l="1"/>
  <c r="O66" i="3" s="1"/>
  <c r="P86" i="1"/>
  <c r="O52" i="3" s="1"/>
  <c r="J215" i="3" l="1"/>
  <c r="E139" i="3" l="1"/>
  <c r="D215" i="1" l="1"/>
  <c r="E215" i="3" l="1"/>
  <c r="D56" i="1" l="1"/>
  <c r="N222" i="3" l="1"/>
  <c r="M222" i="3"/>
  <c r="L222" i="3"/>
  <c r="K222" i="3"/>
  <c r="J222" i="3"/>
  <c r="H222" i="3"/>
  <c r="G222" i="3"/>
  <c r="F222" i="3"/>
  <c r="E222" i="3"/>
  <c r="N183" i="3"/>
  <c r="N186" i="3"/>
  <c r="M186" i="3"/>
  <c r="L186" i="3"/>
  <c r="K186" i="3"/>
  <c r="J186" i="3"/>
  <c r="H186" i="3"/>
  <c r="G186" i="3"/>
  <c r="F186" i="3"/>
  <c r="E186" i="3"/>
  <c r="O211" i="1"/>
  <c r="N211" i="1"/>
  <c r="M211" i="1"/>
  <c r="L211" i="1"/>
  <c r="K211" i="1"/>
  <c r="I211" i="1"/>
  <c r="H211" i="1"/>
  <c r="G211" i="1"/>
  <c r="F211" i="1"/>
  <c r="N220" i="3"/>
  <c r="M220" i="3"/>
  <c r="L220" i="3"/>
  <c r="K220" i="3"/>
  <c r="J220" i="3"/>
  <c r="H220" i="3"/>
  <c r="G220" i="3"/>
  <c r="F220" i="3"/>
  <c r="E220" i="3"/>
  <c r="O228" i="1"/>
  <c r="N228" i="1"/>
  <c r="M228" i="1"/>
  <c r="L228" i="1"/>
  <c r="K228" i="1"/>
  <c r="I228" i="1"/>
  <c r="H228" i="1"/>
  <c r="G228" i="1"/>
  <c r="F228" i="1"/>
  <c r="J292" i="1"/>
  <c r="E292" i="1"/>
  <c r="E258" i="1"/>
  <c r="D220" i="3" s="1"/>
  <c r="J258" i="1"/>
  <c r="I220" i="3" s="1"/>
  <c r="E218" i="1"/>
  <c r="D182" i="3" s="1"/>
  <c r="J218" i="1"/>
  <c r="I182" i="3" s="1"/>
  <c r="D186" i="3" l="1"/>
  <c r="I186" i="3"/>
  <c r="P218" i="1"/>
  <c r="O182" i="3" s="1"/>
  <c r="P258" i="1"/>
  <c r="E228" i="1"/>
  <c r="P292" i="1"/>
  <c r="J228" i="1"/>
  <c r="E20" i="3"/>
  <c r="F20" i="3"/>
  <c r="G20" i="3"/>
  <c r="H20" i="3"/>
  <c r="J20" i="3"/>
  <c r="K20" i="3"/>
  <c r="L20" i="3"/>
  <c r="M20" i="3"/>
  <c r="N20" i="3"/>
  <c r="O186" i="3" l="1"/>
  <c r="O220" i="3"/>
  <c r="P228" i="1"/>
  <c r="N205" i="3"/>
  <c r="M205" i="3"/>
  <c r="L205" i="3"/>
  <c r="K205" i="3"/>
  <c r="J205" i="3"/>
  <c r="H205" i="3"/>
  <c r="G205" i="3"/>
  <c r="F205" i="3"/>
  <c r="E205" i="3"/>
  <c r="J48" i="1" l="1"/>
  <c r="I205" i="3" s="1"/>
  <c r="E48" i="1"/>
  <c r="J22" i="1"/>
  <c r="I20" i="3" s="1"/>
  <c r="E22" i="1"/>
  <c r="D205" i="3" l="1"/>
  <c r="P48" i="1"/>
  <c r="O205" i="3" s="1"/>
  <c r="P22" i="1"/>
  <c r="O20" i="3" s="1"/>
  <c r="D20" i="3"/>
  <c r="F204" i="1" l="1"/>
  <c r="G204" i="1"/>
  <c r="H204" i="1"/>
  <c r="I204" i="1"/>
  <c r="K204" i="1"/>
  <c r="L204" i="1"/>
  <c r="M204" i="1"/>
  <c r="N204" i="1"/>
  <c r="O204" i="1"/>
  <c r="E88" i="3" l="1"/>
  <c r="F88" i="3"/>
  <c r="G88" i="3"/>
  <c r="H88" i="3"/>
  <c r="J88" i="3"/>
  <c r="K88" i="3"/>
  <c r="L88" i="3"/>
  <c r="M88" i="3"/>
  <c r="N88" i="3"/>
  <c r="F128" i="1" l="1"/>
  <c r="G128" i="1"/>
  <c r="H128" i="1"/>
  <c r="I128" i="1"/>
  <c r="L128" i="1"/>
  <c r="M128" i="1"/>
  <c r="N128" i="1"/>
  <c r="O128" i="1"/>
  <c r="E141" i="1"/>
  <c r="J141" i="1"/>
  <c r="I88" i="3" s="1"/>
  <c r="D141" i="1"/>
  <c r="P141" i="1" l="1"/>
  <c r="O88" i="3" s="1"/>
  <c r="D88" i="3"/>
  <c r="E204" i="3"/>
  <c r="F204" i="3"/>
  <c r="G204" i="3"/>
  <c r="H204" i="3"/>
  <c r="J204" i="3"/>
  <c r="K204" i="3"/>
  <c r="L204" i="3"/>
  <c r="M204" i="3"/>
  <c r="N204" i="3"/>
  <c r="E252" i="1"/>
  <c r="J252" i="1"/>
  <c r="F224" i="1"/>
  <c r="F320" i="1" s="1"/>
  <c r="G224" i="1"/>
  <c r="G320" i="1" s="1"/>
  <c r="H224" i="1"/>
  <c r="H320" i="1" s="1"/>
  <c r="I224" i="1"/>
  <c r="I320" i="1" s="1"/>
  <c r="K224" i="1"/>
  <c r="K320" i="1" s="1"/>
  <c r="L224" i="1"/>
  <c r="L320" i="1" s="1"/>
  <c r="M224" i="1"/>
  <c r="M320" i="1" s="1"/>
  <c r="N224" i="1"/>
  <c r="N320" i="1" s="1"/>
  <c r="O224" i="1"/>
  <c r="O320" i="1" s="1"/>
  <c r="D204" i="3" l="1"/>
  <c r="D207" i="3"/>
  <c r="D196" i="3" s="1"/>
  <c r="J224" i="1"/>
  <c r="I207" i="3"/>
  <c r="I196" i="3" s="1"/>
  <c r="E224" i="1"/>
  <c r="P252" i="1"/>
  <c r="O207" i="3" s="1"/>
  <c r="O196" i="3" s="1"/>
  <c r="I204" i="3"/>
  <c r="E209" i="1"/>
  <c r="J209" i="1"/>
  <c r="I164" i="3" s="1"/>
  <c r="L163" i="1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6" i="3"/>
  <c r="F136" i="3"/>
  <c r="G136" i="3"/>
  <c r="H136" i="3"/>
  <c r="J136" i="3"/>
  <c r="K136" i="3"/>
  <c r="L136" i="3"/>
  <c r="M136" i="3"/>
  <c r="N136" i="3"/>
  <c r="E137" i="3"/>
  <c r="E102" i="3" s="1"/>
  <c r="F137" i="3"/>
  <c r="F102" i="3" s="1"/>
  <c r="G137" i="3"/>
  <c r="G102" i="3" s="1"/>
  <c r="H137" i="3"/>
  <c r="H102" i="3" s="1"/>
  <c r="J137" i="3"/>
  <c r="J102" i="3" s="1"/>
  <c r="K137" i="3"/>
  <c r="K102" i="3" s="1"/>
  <c r="L137" i="3"/>
  <c r="L102" i="3" s="1"/>
  <c r="M137" i="3"/>
  <c r="M102" i="3" s="1"/>
  <c r="N137" i="3"/>
  <c r="N102" i="3" s="1"/>
  <c r="E192" i="1"/>
  <c r="E191" i="1"/>
  <c r="D132" i="3" s="1"/>
  <c r="J192" i="1"/>
  <c r="J166" i="1" s="1"/>
  <c r="J191" i="1"/>
  <c r="I132" i="3" s="1"/>
  <c r="E156" i="3"/>
  <c r="F156" i="3"/>
  <c r="G156" i="3"/>
  <c r="H156" i="3"/>
  <c r="J156" i="3"/>
  <c r="K156" i="3"/>
  <c r="L156" i="3"/>
  <c r="M156" i="3"/>
  <c r="N156" i="3"/>
  <c r="J195" i="1"/>
  <c r="I136" i="3" s="1"/>
  <c r="J196" i="1"/>
  <c r="J164" i="1" s="1"/>
  <c r="E195" i="1"/>
  <c r="D136" i="3" s="1"/>
  <c r="E196" i="1"/>
  <c r="F164" i="1"/>
  <c r="G164" i="1"/>
  <c r="H164" i="1"/>
  <c r="I164" i="1"/>
  <c r="K164" i="1"/>
  <c r="L164" i="1"/>
  <c r="M164" i="1"/>
  <c r="N164" i="1"/>
  <c r="O164" i="1"/>
  <c r="F163" i="1"/>
  <c r="G163" i="1"/>
  <c r="H163" i="1"/>
  <c r="I163" i="1"/>
  <c r="K163" i="1"/>
  <c r="M163" i="1"/>
  <c r="N163" i="1"/>
  <c r="O163" i="1"/>
  <c r="D163" i="1"/>
  <c r="D196" i="1"/>
  <c r="D164" i="1"/>
  <c r="D195" i="1"/>
  <c r="J23" i="1"/>
  <c r="I21" i="3" s="1"/>
  <c r="J24" i="1"/>
  <c r="J25" i="1"/>
  <c r="J20" i="1" s="1"/>
  <c r="E25" i="1"/>
  <c r="D23" i="3" s="1"/>
  <c r="D18" i="3" s="1"/>
  <c r="D20" i="1"/>
  <c r="D25" i="1"/>
  <c r="E23" i="3"/>
  <c r="E18" i="3" s="1"/>
  <c r="F23" i="3"/>
  <c r="F18" i="3" s="1"/>
  <c r="G23" i="3"/>
  <c r="G18" i="3" s="1"/>
  <c r="H23" i="3"/>
  <c r="H18" i="3" s="1"/>
  <c r="I23" i="3"/>
  <c r="I18" i="3" s="1"/>
  <c r="J23" i="3"/>
  <c r="J18" i="3" s="1"/>
  <c r="K23" i="3"/>
  <c r="K18" i="3" s="1"/>
  <c r="L23" i="3"/>
  <c r="L18" i="3" s="1"/>
  <c r="M23" i="3"/>
  <c r="M18" i="3" s="1"/>
  <c r="N23" i="3"/>
  <c r="N18" i="3" s="1"/>
  <c r="F20" i="1"/>
  <c r="G20" i="1"/>
  <c r="H20" i="1"/>
  <c r="I20" i="1"/>
  <c r="K20" i="1"/>
  <c r="L20" i="1"/>
  <c r="M20" i="1"/>
  <c r="N20" i="1"/>
  <c r="O20" i="1"/>
  <c r="E204" i="1" l="1"/>
  <c r="D164" i="3"/>
  <c r="D156" i="3"/>
  <c r="D133" i="3"/>
  <c r="D104" i="3" s="1"/>
  <c r="E166" i="1"/>
  <c r="N101" i="3"/>
  <c r="N104" i="3"/>
  <c r="L101" i="3"/>
  <c r="L104" i="3"/>
  <c r="J101" i="3"/>
  <c r="J104" i="3"/>
  <c r="G101" i="3"/>
  <c r="G104" i="3"/>
  <c r="E101" i="3"/>
  <c r="E104" i="3"/>
  <c r="M101" i="3"/>
  <c r="M104" i="3"/>
  <c r="K101" i="3"/>
  <c r="K104" i="3"/>
  <c r="H101" i="3"/>
  <c r="H104" i="3"/>
  <c r="F101" i="3"/>
  <c r="F104" i="3"/>
  <c r="P224" i="1"/>
  <c r="O204" i="3"/>
  <c r="P209" i="1"/>
  <c r="J204" i="1"/>
  <c r="P192" i="1"/>
  <c r="I156" i="3"/>
  <c r="D137" i="3"/>
  <c r="D102" i="3" s="1"/>
  <c r="I133" i="3"/>
  <c r="J163" i="1"/>
  <c r="I137" i="3"/>
  <c r="I102" i="3" s="1"/>
  <c r="P191" i="1"/>
  <c r="P195" i="1"/>
  <c r="O136" i="3" s="1"/>
  <c r="E163" i="1"/>
  <c r="P196" i="1"/>
  <c r="E164" i="1"/>
  <c r="P25" i="1"/>
  <c r="P20" i="1" s="1"/>
  <c r="E20" i="1"/>
  <c r="P204" i="1" l="1"/>
  <c r="O164" i="3"/>
  <c r="D101" i="3"/>
  <c r="O133" i="3"/>
  <c r="O104" i="3" s="1"/>
  <c r="P166" i="1"/>
  <c r="I101" i="3"/>
  <c r="I104" i="3"/>
  <c r="O101" i="3"/>
  <c r="P163" i="1"/>
  <c r="O132" i="3"/>
  <c r="P164" i="1"/>
  <c r="O137" i="3"/>
  <c r="O102" i="3" s="1"/>
  <c r="O23" i="3"/>
  <c r="O18" i="3" s="1"/>
  <c r="O156" i="3" l="1"/>
  <c r="O203" i="1"/>
  <c r="N203" i="1"/>
  <c r="M203" i="1"/>
  <c r="L203" i="1"/>
  <c r="I203" i="1"/>
  <c r="H203" i="1"/>
  <c r="J208" i="1"/>
  <c r="I163" i="3" s="1"/>
  <c r="E208" i="1"/>
  <c r="D163" i="3" s="1"/>
  <c r="E285" i="1"/>
  <c r="E283" i="1"/>
  <c r="D193" i="3" s="1"/>
  <c r="N22" i="3"/>
  <c r="M22" i="3"/>
  <c r="L22" i="3"/>
  <c r="K22" i="3"/>
  <c r="J22" i="3"/>
  <c r="H22" i="3"/>
  <c r="G22" i="3"/>
  <c r="F22" i="3"/>
  <c r="E22" i="3"/>
  <c r="I22" i="3"/>
  <c r="E24" i="1"/>
  <c r="P208" i="1" l="1"/>
  <c r="O163" i="3" s="1"/>
  <c r="P24" i="1"/>
  <c r="D22" i="3"/>
  <c r="J160" i="1"/>
  <c r="E160" i="1"/>
  <c r="O22" i="3" l="1"/>
  <c r="P160" i="1"/>
  <c r="J283" i="1" l="1"/>
  <c r="I193" i="3" s="1"/>
  <c r="P283" i="1" l="1"/>
  <c r="O193" i="3" s="1"/>
  <c r="N69" i="1" l="1"/>
  <c r="M69" i="1"/>
  <c r="L69" i="1"/>
  <c r="I69" i="1"/>
  <c r="H69" i="1"/>
  <c r="G69" i="1"/>
  <c r="J96" i="1"/>
  <c r="I63" i="3" s="1"/>
  <c r="E96" i="1"/>
  <c r="D63" i="3" s="1"/>
  <c r="P96" i="1" l="1"/>
  <c r="O63" i="3" s="1"/>
  <c r="J308" i="1"/>
  <c r="M211" i="3" l="1"/>
  <c r="M210" i="3" s="1"/>
  <c r="L211" i="3"/>
  <c r="L210" i="3" s="1"/>
  <c r="K211" i="3"/>
  <c r="K210" i="3" s="1"/>
  <c r="H211" i="3"/>
  <c r="H210" i="3" s="1"/>
  <c r="G211" i="3"/>
  <c r="G210" i="3" s="1"/>
  <c r="F211" i="3"/>
  <c r="F210" i="3" s="1"/>
  <c r="J255" i="1" l="1"/>
  <c r="E255" i="1"/>
  <c r="P255" i="1" l="1"/>
  <c r="N185" i="3" l="1"/>
  <c r="M185" i="3"/>
  <c r="L185" i="3"/>
  <c r="K185" i="3"/>
  <c r="J185" i="3"/>
  <c r="H185" i="3"/>
  <c r="G185" i="3"/>
  <c r="F185" i="3"/>
  <c r="E185" i="3"/>
  <c r="J280" i="1"/>
  <c r="E280" i="1"/>
  <c r="E278" i="1"/>
  <c r="O307" i="1"/>
  <c r="O306" i="1" s="1"/>
  <c r="N307" i="1"/>
  <c r="N306" i="1" s="1"/>
  <c r="M307" i="1"/>
  <c r="M306" i="1" s="1"/>
  <c r="L307" i="1"/>
  <c r="L306" i="1" s="1"/>
  <c r="K307" i="1"/>
  <c r="K306" i="1" s="1"/>
  <c r="J307" i="1"/>
  <c r="J306" i="1" s="1"/>
  <c r="I307" i="1"/>
  <c r="I306" i="1" s="1"/>
  <c r="H307" i="1"/>
  <c r="H306" i="1" s="1"/>
  <c r="G307" i="1"/>
  <c r="G306" i="1" s="1"/>
  <c r="F307" i="1"/>
  <c r="F306" i="1" s="1"/>
  <c r="E308" i="1"/>
  <c r="P308" i="1" s="1"/>
  <c r="P307" i="1" s="1"/>
  <c r="P306" i="1" s="1"/>
  <c r="N211" i="3"/>
  <c r="N210" i="3" s="1"/>
  <c r="J211" i="3"/>
  <c r="J210" i="3" s="1"/>
  <c r="E307" i="1" l="1"/>
  <c r="E306" i="1" s="1"/>
  <c r="P280" i="1"/>
  <c r="O69" i="1"/>
  <c r="K69" i="1"/>
  <c r="F69" i="1"/>
  <c r="O130" i="1" l="1"/>
  <c r="N130" i="1"/>
  <c r="M130" i="1"/>
  <c r="L130" i="1"/>
  <c r="K130" i="1"/>
  <c r="I130" i="1"/>
  <c r="H130" i="1"/>
  <c r="G130" i="1"/>
  <c r="F130" i="1"/>
  <c r="J155" i="1"/>
  <c r="J156" i="1"/>
  <c r="E155" i="1"/>
  <c r="E156" i="1"/>
  <c r="J133" i="1" l="1"/>
  <c r="E130" i="1"/>
  <c r="E133" i="1"/>
  <c r="P156" i="1"/>
  <c r="P155" i="1"/>
  <c r="J130" i="1"/>
  <c r="P130" i="1" l="1"/>
  <c r="P133" i="1"/>
  <c r="D243" i="1"/>
  <c r="N216" i="3" l="1"/>
  <c r="M216" i="3"/>
  <c r="L216" i="3"/>
  <c r="K216" i="3"/>
  <c r="J216" i="3"/>
  <c r="H216" i="3"/>
  <c r="G216" i="3"/>
  <c r="F216" i="3"/>
  <c r="E216" i="3"/>
  <c r="F213" i="3" l="1"/>
  <c r="F171" i="3" s="1"/>
  <c r="F258" i="3" s="1"/>
  <c r="H213" i="3"/>
  <c r="H171" i="3" s="1"/>
  <c r="H258" i="3" s="1"/>
  <c r="K213" i="3"/>
  <c r="K171" i="3" s="1"/>
  <c r="K258" i="3" s="1"/>
  <c r="M213" i="3"/>
  <c r="M171" i="3" s="1"/>
  <c r="M258" i="3" s="1"/>
  <c r="E213" i="3"/>
  <c r="E171" i="3" s="1"/>
  <c r="E258" i="3" s="1"/>
  <c r="G213" i="3"/>
  <c r="G171" i="3" s="1"/>
  <c r="G258" i="3" s="1"/>
  <c r="L213" i="3"/>
  <c r="L171" i="3" s="1"/>
  <c r="L258" i="3" s="1"/>
  <c r="N213" i="3"/>
  <c r="N171" i="3" s="1"/>
  <c r="N258" i="3" s="1"/>
  <c r="J213" i="3"/>
  <c r="J171" i="3" s="1"/>
  <c r="J258" i="3" s="1"/>
  <c r="O135" i="1"/>
  <c r="N135" i="1"/>
  <c r="M135" i="1"/>
  <c r="L135" i="1"/>
  <c r="K135" i="1"/>
  <c r="I135" i="1"/>
  <c r="H135" i="1"/>
  <c r="G135" i="1"/>
  <c r="F135" i="1"/>
  <c r="O270" i="1"/>
  <c r="N270" i="1"/>
  <c r="M270" i="1"/>
  <c r="L270" i="1"/>
  <c r="K270" i="1"/>
  <c r="I270" i="1"/>
  <c r="H270" i="1"/>
  <c r="G270" i="1"/>
  <c r="F270" i="1"/>
  <c r="E270" i="1"/>
  <c r="F322" i="1" l="1"/>
  <c r="E277" i="3" s="1"/>
  <c r="H322" i="1"/>
  <c r="G277" i="3" s="1"/>
  <c r="K322" i="1"/>
  <c r="J277" i="3" s="1"/>
  <c r="M322" i="1"/>
  <c r="L277" i="3" s="1"/>
  <c r="O322" i="1"/>
  <c r="N277" i="3" s="1"/>
  <c r="G322" i="1"/>
  <c r="F277" i="3" s="1"/>
  <c r="I322" i="1"/>
  <c r="H277" i="3" s="1"/>
  <c r="L322" i="1"/>
  <c r="K277" i="3" s="1"/>
  <c r="N322" i="1"/>
  <c r="M277" i="3" s="1"/>
  <c r="E211" i="3" l="1"/>
  <c r="E210" i="3" s="1"/>
  <c r="M183" i="3" l="1"/>
  <c r="L183" i="3"/>
  <c r="K183" i="3"/>
  <c r="H183" i="3"/>
  <c r="G183" i="3"/>
  <c r="F183" i="3"/>
  <c r="E183" i="3"/>
  <c r="N181" i="3" l="1"/>
  <c r="M181" i="3"/>
  <c r="L181" i="3"/>
  <c r="K181" i="3"/>
  <c r="J181" i="3"/>
  <c r="H181" i="3"/>
  <c r="G181" i="3"/>
  <c r="F181" i="3"/>
  <c r="E181" i="3"/>
  <c r="M180" i="3"/>
  <c r="L180" i="3"/>
  <c r="K180" i="3"/>
  <c r="H180" i="3"/>
  <c r="G180" i="3"/>
  <c r="F180" i="3"/>
  <c r="E180" i="3"/>
  <c r="M184" i="3"/>
  <c r="L184" i="3"/>
  <c r="K184" i="3"/>
  <c r="H184" i="3"/>
  <c r="G184" i="3"/>
  <c r="F184" i="3"/>
  <c r="E184" i="3"/>
  <c r="J200" i="1" l="1"/>
  <c r="E200" i="1"/>
  <c r="D181" i="3" s="1"/>
  <c r="J153" i="1"/>
  <c r="E153" i="1"/>
  <c r="E43" i="1"/>
  <c r="E42" i="1"/>
  <c r="D183" i="3" s="1"/>
  <c r="J43" i="1"/>
  <c r="P43" i="1" s="1"/>
  <c r="J42" i="1"/>
  <c r="P42" i="1" l="1"/>
  <c r="P153" i="1"/>
  <c r="P200" i="1"/>
  <c r="O181" i="3" s="1"/>
  <c r="I181" i="3"/>
  <c r="N184" i="3"/>
  <c r="J184" i="3"/>
  <c r="E158" i="1" l="1"/>
  <c r="J158" i="1"/>
  <c r="J135" i="1" l="1"/>
  <c r="D216" i="3"/>
  <c r="E135" i="1"/>
  <c r="E322" i="1" s="1"/>
  <c r="P158" i="1"/>
  <c r="J285" i="1"/>
  <c r="J270" i="1" s="1"/>
  <c r="J322" i="1" l="1"/>
  <c r="D213" i="3"/>
  <c r="I216" i="3"/>
  <c r="P135" i="1"/>
  <c r="P285" i="1"/>
  <c r="P270" i="1" s="1"/>
  <c r="N203" i="3"/>
  <c r="M203" i="3"/>
  <c r="L203" i="3"/>
  <c r="K203" i="3"/>
  <c r="J203" i="3"/>
  <c r="H203" i="3"/>
  <c r="G203" i="3"/>
  <c r="F203" i="3"/>
  <c r="E203" i="3"/>
  <c r="N140" i="3"/>
  <c r="M140" i="3"/>
  <c r="L140" i="3"/>
  <c r="K140" i="3"/>
  <c r="J140" i="3"/>
  <c r="H140" i="3"/>
  <c r="G140" i="3"/>
  <c r="F140" i="3"/>
  <c r="N126" i="3"/>
  <c r="M126" i="3"/>
  <c r="L126" i="3"/>
  <c r="K126" i="3"/>
  <c r="J126" i="3"/>
  <c r="H126" i="3"/>
  <c r="G126" i="3"/>
  <c r="F126" i="3"/>
  <c r="E126" i="3"/>
  <c r="N124" i="3"/>
  <c r="M124" i="3"/>
  <c r="L124" i="3"/>
  <c r="K124" i="3"/>
  <c r="J124" i="3"/>
  <c r="H124" i="3"/>
  <c r="G124" i="3"/>
  <c r="F124" i="3"/>
  <c r="E124" i="3"/>
  <c r="N115" i="3"/>
  <c r="M115" i="3"/>
  <c r="L115" i="3"/>
  <c r="K115" i="3"/>
  <c r="J115" i="3"/>
  <c r="H115" i="3"/>
  <c r="G115" i="3"/>
  <c r="F115" i="3"/>
  <c r="E115" i="3"/>
  <c r="N113" i="3"/>
  <c r="M113" i="3"/>
  <c r="L113" i="3"/>
  <c r="K113" i="3"/>
  <c r="J113" i="3"/>
  <c r="H113" i="3"/>
  <c r="G113" i="3"/>
  <c r="F113" i="3"/>
  <c r="E113" i="3"/>
  <c r="N109" i="3"/>
  <c r="M109" i="3"/>
  <c r="L109" i="3"/>
  <c r="K109" i="3"/>
  <c r="J109" i="3"/>
  <c r="H109" i="3"/>
  <c r="G109" i="3"/>
  <c r="F109" i="3"/>
  <c r="N97" i="3"/>
  <c r="M97" i="3"/>
  <c r="L97" i="3"/>
  <c r="K97" i="3"/>
  <c r="J97" i="3"/>
  <c r="H97" i="3"/>
  <c r="G97" i="3"/>
  <c r="F97" i="3"/>
  <c r="E97" i="3"/>
  <c r="N96" i="3"/>
  <c r="M96" i="3"/>
  <c r="L96" i="3"/>
  <c r="K96" i="3"/>
  <c r="J96" i="3"/>
  <c r="H96" i="3"/>
  <c r="G96" i="3"/>
  <c r="F96" i="3"/>
  <c r="E96" i="3"/>
  <c r="N94" i="3"/>
  <c r="M94" i="3"/>
  <c r="L94" i="3"/>
  <c r="K94" i="3"/>
  <c r="J94" i="3"/>
  <c r="H94" i="3"/>
  <c r="G94" i="3"/>
  <c r="F94" i="3"/>
  <c r="E94" i="3"/>
  <c r="N92" i="3"/>
  <c r="M92" i="3"/>
  <c r="L92" i="3"/>
  <c r="K92" i="3"/>
  <c r="J92" i="3"/>
  <c r="H92" i="3"/>
  <c r="G92" i="3"/>
  <c r="F92" i="3"/>
  <c r="E92" i="3"/>
  <c r="N90" i="3"/>
  <c r="M90" i="3"/>
  <c r="L90" i="3"/>
  <c r="K90" i="3"/>
  <c r="J90" i="3"/>
  <c r="I90" i="3"/>
  <c r="H90" i="3"/>
  <c r="G90" i="3"/>
  <c r="F90" i="3"/>
  <c r="E90" i="3"/>
  <c r="N86" i="3"/>
  <c r="M86" i="3"/>
  <c r="L86" i="3"/>
  <c r="K86" i="3"/>
  <c r="J86" i="3"/>
  <c r="H86" i="3"/>
  <c r="G86" i="3"/>
  <c r="F86" i="3"/>
  <c r="N85" i="3"/>
  <c r="M85" i="3"/>
  <c r="L85" i="3"/>
  <c r="K85" i="3"/>
  <c r="J85" i="3"/>
  <c r="H85" i="3"/>
  <c r="G85" i="3"/>
  <c r="F85" i="3"/>
  <c r="E85" i="3"/>
  <c r="J69" i="1"/>
  <c r="E69" i="1"/>
  <c r="O129" i="1"/>
  <c r="N129" i="1"/>
  <c r="M129" i="1"/>
  <c r="L129" i="1"/>
  <c r="K129" i="1"/>
  <c r="I129" i="1"/>
  <c r="H129" i="1"/>
  <c r="G129" i="1"/>
  <c r="F129" i="1"/>
  <c r="F103" i="3" l="1"/>
  <c r="H103" i="3"/>
  <c r="K103" i="3"/>
  <c r="M103" i="3"/>
  <c r="G103" i="3"/>
  <c r="J103" i="3"/>
  <c r="L103" i="3"/>
  <c r="N103" i="3"/>
  <c r="D171" i="3"/>
  <c r="D258" i="3" s="1"/>
  <c r="P322" i="1"/>
  <c r="I213" i="3"/>
  <c r="I171" i="3" s="1"/>
  <c r="I258" i="3" s="1"/>
  <c r="I277" i="3" s="1"/>
  <c r="O216" i="3"/>
  <c r="P69" i="1"/>
  <c r="E326" i="1" l="1"/>
  <c r="D277" i="3"/>
  <c r="O213" i="3"/>
  <c r="O171" i="3" s="1"/>
  <c r="O258" i="3" s="1"/>
  <c r="O277" i="3" s="1"/>
  <c r="O223" i="1"/>
  <c r="N223" i="1"/>
  <c r="M223" i="1"/>
  <c r="L223" i="1"/>
  <c r="K223" i="1"/>
  <c r="I223" i="1"/>
  <c r="H223" i="1"/>
  <c r="G223" i="1"/>
  <c r="F223" i="1"/>
  <c r="O131" i="1" l="1"/>
  <c r="N131" i="1"/>
  <c r="M131" i="1"/>
  <c r="L131" i="1"/>
  <c r="K131" i="1"/>
  <c r="I131" i="1"/>
  <c r="H131" i="1"/>
  <c r="G131" i="1"/>
  <c r="O132" i="1" l="1"/>
  <c r="N132" i="1"/>
  <c r="M132" i="1"/>
  <c r="L132" i="1"/>
  <c r="I132" i="1"/>
  <c r="H132" i="1"/>
  <c r="G132" i="1"/>
  <c r="F132" i="1"/>
  <c r="J140" i="1"/>
  <c r="E140" i="1"/>
  <c r="J139" i="1"/>
  <c r="I86" i="3" s="1"/>
  <c r="J138" i="1"/>
  <c r="I85" i="3" s="1"/>
  <c r="E138" i="1"/>
  <c r="D85" i="3" s="1"/>
  <c r="J145" i="1"/>
  <c r="I92" i="3" s="1"/>
  <c r="E145" i="1"/>
  <c r="D92" i="3" s="1"/>
  <c r="E143" i="1"/>
  <c r="E134" i="1" l="1"/>
  <c r="D87" i="3"/>
  <c r="D83" i="3" s="1"/>
  <c r="J134" i="1"/>
  <c r="I87" i="3"/>
  <c r="F131" i="1"/>
  <c r="E86" i="3"/>
  <c r="P143" i="1"/>
  <c r="O90" i="3" s="1"/>
  <c r="D90" i="3"/>
  <c r="E129" i="1"/>
  <c r="J129" i="1"/>
  <c r="E139" i="1"/>
  <c r="P145" i="1"/>
  <c r="O92" i="3" s="1"/>
  <c r="P138" i="1"/>
  <c r="O85" i="3" s="1"/>
  <c r="P140" i="1"/>
  <c r="P134" i="1" l="1"/>
  <c r="O87" i="3"/>
  <c r="P139" i="1"/>
  <c r="O86" i="3" s="1"/>
  <c r="D86" i="3"/>
  <c r="P129" i="1"/>
  <c r="N195" i="3"/>
  <c r="N169" i="3" s="1"/>
  <c r="M195" i="3"/>
  <c r="M169" i="3" s="1"/>
  <c r="L195" i="3"/>
  <c r="L169" i="3" s="1"/>
  <c r="K195" i="3"/>
  <c r="K169" i="3" s="1"/>
  <c r="J195" i="3"/>
  <c r="J169" i="3" s="1"/>
  <c r="H195" i="3"/>
  <c r="H169" i="3" s="1"/>
  <c r="G195" i="3"/>
  <c r="G169" i="3" s="1"/>
  <c r="F195" i="3"/>
  <c r="F169" i="3" s="1"/>
  <c r="E195" i="3"/>
  <c r="E169" i="3" s="1"/>
  <c r="N175" i="3"/>
  <c r="N256" i="3" s="1"/>
  <c r="M175" i="3"/>
  <c r="M256" i="3" s="1"/>
  <c r="L175" i="3"/>
  <c r="L256" i="3" s="1"/>
  <c r="K175" i="3"/>
  <c r="K256" i="3" s="1"/>
  <c r="J175" i="3"/>
  <c r="J256" i="3" s="1"/>
  <c r="H175" i="3"/>
  <c r="H256" i="3" s="1"/>
  <c r="G175" i="3"/>
  <c r="G256" i="3" s="1"/>
  <c r="F175" i="3"/>
  <c r="F256" i="3" s="1"/>
  <c r="E175" i="3"/>
  <c r="E256" i="3" s="1"/>
  <c r="N82" i="3"/>
  <c r="M82" i="3"/>
  <c r="L82" i="3"/>
  <c r="K82" i="3"/>
  <c r="J82" i="3"/>
  <c r="H82" i="3"/>
  <c r="G82" i="3"/>
  <c r="F82" i="3"/>
  <c r="E82" i="3"/>
  <c r="N83" i="3"/>
  <c r="M83" i="3"/>
  <c r="L83" i="3"/>
  <c r="K83" i="3"/>
  <c r="J83" i="3"/>
  <c r="H83" i="3"/>
  <c r="G83" i="3"/>
  <c r="F83" i="3"/>
  <c r="E83" i="3"/>
  <c r="N81" i="3"/>
  <c r="M81" i="3"/>
  <c r="L81" i="3"/>
  <c r="K81" i="3"/>
  <c r="J81" i="3"/>
  <c r="H81" i="3"/>
  <c r="G81" i="3"/>
  <c r="F81" i="3"/>
  <c r="H80" i="3"/>
  <c r="G80" i="3"/>
  <c r="F80" i="3"/>
  <c r="E80" i="3"/>
  <c r="L275" i="3" l="1"/>
  <c r="H275" i="3"/>
  <c r="J275" i="3"/>
  <c r="G275" i="3"/>
  <c r="M275" i="3"/>
  <c r="N275" i="3"/>
  <c r="K275" i="3"/>
  <c r="F275" i="3"/>
  <c r="E275" i="3"/>
  <c r="F168" i="3"/>
  <c r="H168" i="3"/>
  <c r="K168" i="3"/>
  <c r="M168" i="3"/>
  <c r="E168" i="3"/>
  <c r="G168" i="3"/>
  <c r="J168" i="3"/>
  <c r="L168" i="3"/>
  <c r="N168" i="3"/>
  <c r="K80" i="3"/>
  <c r="M80" i="3"/>
  <c r="J80" i="3"/>
  <c r="L80" i="3"/>
  <c r="N80" i="3"/>
  <c r="J251" i="1"/>
  <c r="E251" i="1"/>
  <c r="D203" i="3" s="1"/>
  <c r="J247" i="1"/>
  <c r="E247" i="1"/>
  <c r="J199" i="1"/>
  <c r="I140" i="3" s="1"/>
  <c r="J185" i="1"/>
  <c r="I126" i="3" s="1"/>
  <c r="E185" i="1"/>
  <c r="D126" i="3" s="1"/>
  <c r="J183" i="1"/>
  <c r="I124" i="3" s="1"/>
  <c r="E183" i="1"/>
  <c r="D124" i="3" s="1"/>
  <c r="J179" i="1"/>
  <c r="I115" i="3" s="1"/>
  <c r="E179" i="1"/>
  <c r="D115" i="3" s="1"/>
  <c r="J177" i="1"/>
  <c r="I113" i="3" s="1"/>
  <c r="E177" i="1"/>
  <c r="D113" i="3" s="1"/>
  <c r="J173" i="1"/>
  <c r="J150" i="1"/>
  <c r="I97" i="3" s="1"/>
  <c r="E150" i="1"/>
  <c r="J149" i="1"/>
  <c r="E149" i="1"/>
  <c r="J147" i="1"/>
  <c r="I94" i="3" s="1"/>
  <c r="E147" i="1"/>
  <c r="J109" i="1"/>
  <c r="E109" i="1"/>
  <c r="J95" i="1"/>
  <c r="I62" i="3" s="1"/>
  <c r="E95" i="1"/>
  <c r="D62" i="3" s="1"/>
  <c r="J84" i="1"/>
  <c r="I50" i="3" s="1"/>
  <c r="I27" i="3" s="1"/>
  <c r="E84" i="1"/>
  <c r="D50" i="3" s="1"/>
  <c r="D27" i="3" s="1"/>
  <c r="J83" i="1"/>
  <c r="E83" i="1"/>
  <c r="J80" i="1"/>
  <c r="I45" i="3" s="1"/>
  <c r="I49" i="3" l="1"/>
  <c r="I25" i="3" s="1"/>
  <c r="J65" i="1"/>
  <c r="D49" i="3"/>
  <c r="D25" i="3" s="1"/>
  <c r="E65" i="1"/>
  <c r="J165" i="1"/>
  <c r="J225" i="1"/>
  <c r="I190" i="3"/>
  <c r="E225" i="1"/>
  <c r="D190" i="3"/>
  <c r="D175" i="3" s="1"/>
  <c r="D97" i="3"/>
  <c r="E132" i="1"/>
  <c r="D94" i="3"/>
  <c r="J70" i="1"/>
  <c r="I76" i="3"/>
  <c r="I29" i="3" s="1"/>
  <c r="E70" i="1"/>
  <c r="D76" i="3"/>
  <c r="D29" i="3" s="1"/>
  <c r="J68" i="1"/>
  <c r="E68" i="1"/>
  <c r="E173" i="1"/>
  <c r="E109" i="3"/>
  <c r="E199" i="1"/>
  <c r="E140" i="3"/>
  <c r="I109" i="3"/>
  <c r="I103" i="3" s="1"/>
  <c r="J223" i="1"/>
  <c r="I203" i="3"/>
  <c r="E131" i="1"/>
  <c r="D96" i="3"/>
  <c r="J131" i="1"/>
  <c r="I96" i="3"/>
  <c r="P251" i="1"/>
  <c r="E223" i="1"/>
  <c r="P247" i="1"/>
  <c r="J132" i="1"/>
  <c r="E80" i="1"/>
  <c r="P177" i="1"/>
  <c r="O113" i="3" s="1"/>
  <c r="P179" i="1"/>
  <c r="O115" i="3" s="1"/>
  <c r="P183" i="1"/>
  <c r="O124" i="3" s="1"/>
  <c r="P185" i="1"/>
  <c r="O126" i="3" s="1"/>
  <c r="P147" i="1"/>
  <c r="O94" i="3" s="1"/>
  <c r="P149" i="1"/>
  <c r="P150" i="1"/>
  <c r="O97" i="3" s="1"/>
  <c r="P83" i="1"/>
  <c r="P84" i="1"/>
  <c r="O50" i="3" s="1"/>
  <c r="O27" i="3" s="1"/>
  <c r="P95" i="1"/>
  <c r="O62" i="3" s="1"/>
  <c r="P109" i="1"/>
  <c r="D82" i="3" l="1"/>
  <c r="E320" i="1"/>
  <c r="J320" i="1"/>
  <c r="D256" i="3"/>
  <c r="O49" i="3"/>
  <c r="O25" i="3" s="1"/>
  <c r="P65" i="1"/>
  <c r="E165" i="1"/>
  <c r="E103" i="3"/>
  <c r="D109" i="3"/>
  <c r="P225" i="1"/>
  <c r="O190" i="3"/>
  <c r="P199" i="1"/>
  <c r="O140" i="3" s="1"/>
  <c r="P70" i="1"/>
  <c r="O76" i="3"/>
  <c r="O29" i="3" s="1"/>
  <c r="D45" i="3"/>
  <c r="P68" i="1"/>
  <c r="D140" i="3"/>
  <c r="P173" i="1"/>
  <c r="P223" i="1"/>
  <c r="O203" i="3"/>
  <c r="P131" i="1"/>
  <c r="O96" i="3"/>
  <c r="P80" i="1"/>
  <c r="P132" i="1"/>
  <c r="D275" i="3" l="1"/>
  <c r="P320" i="1"/>
  <c r="P165" i="1"/>
  <c r="D103" i="3"/>
  <c r="O109" i="3"/>
  <c r="O103" i="3" s="1"/>
  <c r="O45" i="3"/>
  <c r="C229" i="3"/>
  <c r="N232" i="3"/>
  <c r="N257" i="3" s="1"/>
  <c r="M232" i="3"/>
  <c r="M257" i="3" s="1"/>
  <c r="L232" i="3"/>
  <c r="L257" i="3" s="1"/>
  <c r="K232" i="3"/>
  <c r="K257" i="3" s="1"/>
  <c r="J232" i="3"/>
  <c r="J257" i="3" s="1"/>
  <c r="H232" i="3"/>
  <c r="H257" i="3" s="1"/>
  <c r="G232" i="3"/>
  <c r="G257" i="3" s="1"/>
  <c r="F232" i="3"/>
  <c r="F257" i="3" s="1"/>
  <c r="E232" i="3"/>
  <c r="E229" i="3" s="1"/>
  <c r="E227" i="3" s="1"/>
  <c r="D57" i="1"/>
  <c r="O19" i="1"/>
  <c r="O321" i="1" s="1"/>
  <c r="N19" i="1"/>
  <c r="N321" i="1" s="1"/>
  <c r="M19" i="1"/>
  <c r="M321" i="1" s="1"/>
  <c r="L19" i="1"/>
  <c r="L321" i="1" s="1"/>
  <c r="K19" i="1"/>
  <c r="K321" i="1" s="1"/>
  <c r="I19" i="1"/>
  <c r="I321" i="1" s="1"/>
  <c r="H19" i="1"/>
  <c r="H321" i="1" s="1"/>
  <c r="G19" i="1"/>
  <c r="G321" i="1" s="1"/>
  <c r="F19" i="1"/>
  <c r="F321" i="1" s="1"/>
  <c r="J57" i="1"/>
  <c r="J19" i="1" s="1"/>
  <c r="J321" i="1" s="1"/>
  <c r="E57" i="1"/>
  <c r="E19" i="1" s="1"/>
  <c r="E321" i="1" s="1"/>
  <c r="F276" i="3" l="1"/>
  <c r="K276" i="3"/>
  <c r="G276" i="3"/>
  <c r="L276" i="3"/>
  <c r="H276" i="3"/>
  <c r="M276" i="3"/>
  <c r="J276" i="3"/>
  <c r="N276" i="3"/>
  <c r="H325" i="1"/>
  <c r="M325" i="1"/>
  <c r="I325" i="1"/>
  <c r="N325" i="1"/>
  <c r="E257" i="3"/>
  <c r="E276" i="3" s="1"/>
  <c r="K325" i="1"/>
  <c r="O325" i="1"/>
  <c r="G325" i="1"/>
  <c r="L325" i="1"/>
  <c r="F325" i="1"/>
  <c r="F229" i="3"/>
  <c r="F227" i="3" s="1"/>
  <c r="K229" i="3"/>
  <c r="K227" i="3" s="1"/>
  <c r="M229" i="3"/>
  <c r="M227" i="3" s="1"/>
  <c r="H229" i="3"/>
  <c r="H227" i="3" s="1"/>
  <c r="G229" i="3"/>
  <c r="G227" i="3" s="1"/>
  <c r="J229" i="3"/>
  <c r="J227" i="3" s="1"/>
  <c r="L229" i="3"/>
  <c r="L227" i="3" s="1"/>
  <c r="N229" i="3"/>
  <c r="N227" i="3" s="1"/>
  <c r="I232" i="3"/>
  <c r="P57" i="1"/>
  <c r="D232" i="3"/>
  <c r="D257" i="3" l="1"/>
  <c r="D276" i="3" s="1"/>
  <c r="I229" i="3"/>
  <c r="I227" i="3" s="1"/>
  <c r="D229" i="3"/>
  <c r="D227" i="3" s="1"/>
  <c r="P19" i="1"/>
  <c r="P321" i="1" s="1"/>
  <c r="O232" i="3"/>
  <c r="E325" i="1" l="1"/>
  <c r="O229" i="3"/>
  <c r="O227" i="3" s="1"/>
  <c r="E152" i="1"/>
  <c r="J62" i="1"/>
  <c r="E62" i="1"/>
  <c r="I254" i="3" l="1"/>
  <c r="D254" i="3"/>
  <c r="P62" i="1"/>
  <c r="O254" i="3" l="1"/>
  <c r="J243" i="1"/>
  <c r="I185" i="3" s="1"/>
  <c r="E243" i="1"/>
  <c r="D185" i="3" s="1"/>
  <c r="C243" i="1"/>
  <c r="P243" i="1" l="1"/>
  <c r="O185" i="3" s="1"/>
  <c r="J183" i="3" l="1"/>
  <c r="G203" i="1"/>
  <c r="F203" i="1" l="1"/>
  <c r="E230" i="3" l="1"/>
  <c r="F230" i="3"/>
  <c r="G230" i="3"/>
  <c r="H230" i="3"/>
  <c r="J230" i="3"/>
  <c r="K230" i="3"/>
  <c r="L230" i="3"/>
  <c r="M230" i="3"/>
  <c r="N230" i="3"/>
  <c r="J260" i="1"/>
  <c r="E260" i="1"/>
  <c r="C260" i="1"/>
  <c r="D260" i="1"/>
  <c r="B260" i="1"/>
  <c r="P260" i="1" l="1"/>
  <c r="E234" i="3" l="1"/>
  <c r="F234" i="3"/>
  <c r="G234" i="3"/>
  <c r="H234" i="3"/>
  <c r="J234" i="3"/>
  <c r="K234" i="3"/>
  <c r="L234" i="3"/>
  <c r="M234" i="3"/>
  <c r="N234" i="3"/>
  <c r="J261" i="1"/>
  <c r="E261" i="1"/>
  <c r="C261" i="1"/>
  <c r="D261" i="1"/>
  <c r="B261" i="1"/>
  <c r="P261" i="1" l="1"/>
  <c r="E199" i="3" l="1"/>
  <c r="F199" i="3"/>
  <c r="G199" i="3"/>
  <c r="H199" i="3"/>
  <c r="J199" i="3"/>
  <c r="K199" i="3"/>
  <c r="L199" i="3"/>
  <c r="M199" i="3"/>
  <c r="N199" i="3"/>
  <c r="E201" i="3"/>
  <c r="F201" i="3"/>
  <c r="G201" i="3"/>
  <c r="H201" i="3"/>
  <c r="J201" i="3"/>
  <c r="K201" i="3"/>
  <c r="L201" i="3"/>
  <c r="M201" i="3"/>
  <c r="N201" i="3"/>
  <c r="E45" i="1"/>
  <c r="E47" i="1"/>
  <c r="J44" i="1"/>
  <c r="J45" i="1"/>
  <c r="I199" i="3" s="1"/>
  <c r="J47" i="1"/>
  <c r="I201" i="3" s="1"/>
  <c r="C45" i="1"/>
  <c r="D45" i="1"/>
  <c r="D47" i="1"/>
  <c r="B47" i="1"/>
  <c r="B45" i="1"/>
  <c r="D201" i="3" l="1"/>
  <c r="P47" i="1"/>
  <c r="O201" i="3" s="1"/>
  <c r="P45" i="1"/>
  <c r="O199" i="3" s="1"/>
  <c r="D199" i="3"/>
  <c r="N180" i="3" l="1"/>
  <c r="J180" i="3" l="1"/>
  <c r="E202" i="3" l="1"/>
  <c r="F202" i="3"/>
  <c r="G202" i="3"/>
  <c r="H202" i="3"/>
  <c r="J202" i="3"/>
  <c r="K202" i="3"/>
  <c r="L202" i="3"/>
  <c r="M202" i="3"/>
  <c r="N202" i="3"/>
  <c r="J250" i="1"/>
  <c r="E250" i="1"/>
  <c r="D206" i="3" s="1"/>
  <c r="B250" i="1"/>
  <c r="I202" i="3" l="1"/>
  <c r="I206" i="3"/>
  <c r="P250" i="1"/>
  <c r="D202" i="3"/>
  <c r="N187" i="3"/>
  <c r="M187" i="3"/>
  <c r="L187" i="3"/>
  <c r="K187" i="3"/>
  <c r="J187" i="3"/>
  <c r="H187" i="3"/>
  <c r="G187" i="3"/>
  <c r="F187" i="3"/>
  <c r="E187" i="3"/>
  <c r="J154" i="1"/>
  <c r="E154" i="1"/>
  <c r="D154" i="1"/>
  <c r="C154" i="1"/>
  <c r="B154" i="1"/>
  <c r="D281" i="1"/>
  <c r="C281" i="1"/>
  <c r="B281" i="1"/>
  <c r="D244" i="1"/>
  <c r="C244" i="1"/>
  <c r="B244" i="1"/>
  <c r="O202" i="3" l="1"/>
  <c r="O206" i="3"/>
  <c r="P154" i="1"/>
  <c r="J281" i="1"/>
  <c r="E281" i="1"/>
  <c r="J244" i="1"/>
  <c r="E244" i="1"/>
  <c r="D187" i="3" l="1"/>
  <c r="P281" i="1"/>
  <c r="I187" i="3"/>
  <c r="P244" i="1"/>
  <c r="O187" i="3" l="1"/>
  <c r="K299" i="1"/>
  <c r="J286" i="1" l="1"/>
  <c r="E286" i="1"/>
  <c r="E246" i="1"/>
  <c r="D189" i="3" s="1"/>
  <c r="J246" i="1" l="1"/>
  <c r="P286" i="1"/>
  <c r="P246" i="1" l="1"/>
  <c r="O189" i="3" s="1"/>
  <c r="I189" i="3"/>
  <c r="J282" i="1"/>
  <c r="E282" i="1"/>
  <c r="P282" i="1" l="1"/>
  <c r="N224" i="3" l="1"/>
  <c r="M224" i="3"/>
  <c r="L224" i="3"/>
  <c r="K224" i="3"/>
  <c r="J224" i="3"/>
  <c r="H224" i="3"/>
  <c r="G224" i="3"/>
  <c r="F224" i="3"/>
  <c r="E224" i="3"/>
  <c r="J159" i="1"/>
  <c r="I224" i="3" s="1"/>
  <c r="E159" i="1"/>
  <c r="D224" i="3" s="1"/>
  <c r="P159" i="1" l="1"/>
  <c r="D171" i="1"/>
  <c r="O224" i="3" l="1"/>
  <c r="B278" i="1" l="1"/>
  <c r="J278" i="1"/>
  <c r="I183" i="3" s="1"/>
  <c r="P278" i="1" l="1"/>
  <c r="O183" i="3" s="1"/>
  <c r="D201" i="1" l="1"/>
  <c r="F223" i="3"/>
  <c r="G223" i="3"/>
  <c r="H223" i="3"/>
  <c r="J223" i="3"/>
  <c r="K223" i="3"/>
  <c r="L223" i="3"/>
  <c r="M223" i="3"/>
  <c r="N223" i="3"/>
  <c r="F166" i="3"/>
  <c r="G166" i="3"/>
  <c r="H166" i="3"/>
  <c r="J166" i="3"/>
  <c r="K166" i="3"/>
  <c r="L166" i="3"/>
  <c r="M166" i="3"/>
  <c r="N166" i="3"/>
  <c r="G310" i="1"/>
  <c r="H310" i="1"/>
  <c r="I310" i="1"/>
  <c r="K310" i="1"/>
  <c r="L310" i="1"/>
  <c r="M310" i="1"/>
  <c r="N310" i="1"/>
  <c r="O310" i="1"/>
  <c r="G299" i="1"/>
  <c r="H299" i="1"/>
  <c r="L299" i="1"/>
  <c r="M299" i="1"/>
  <c r="N299" i="1"/>
  <c r="O299" i="1"/>
  <c r="G127" i="1"/>
  <c r="H127" i="1"/>
  <c r="I127" i="1"/>
  <c r="L127" i="1"/>
  <c r="M127" i="1"/>
  <c r="N127" i="1"/>
  <c r="I299" i="1" l="1"/>
  <c r="E223" i="3" l="1"/>
  <c r="F299" i="1" l="1"/>
  <c r="F127" i="1"/>
  <c r="D264" i="1" l="1"/>
  <c r="F310" i="1" l="1"/>
  <c r="O127" i="1" l="1"/>
  <c r="K127" i="1"/>
  <c r="J220" i="1"/>
  <c r="E220" i="1"/>
  <c r="C220" i="1"/>
  <c r="D220" i="1"/>
  <c r="B220" i="1"/>
  <c r="P220" i="1" l="1"/>
  <c r="E17" i="3"/>
  <c r="F17" i="3"/>
  <c r="G17" i="3"/>
  <c r="H17" i="3"/>
  <c r="J17" i="3"/>
  <c r="K17" i="3"/>
  <c r="L17" i="3"/>
  <c r="M17" i="3"/>
  <c r="N17" i="3"/>
  <c r="E84" i="3"/>
  <c r="F84" i="3"/>
  <c r="G84" i="3"/>
  <c r="H84" i="3"/>
  <c r="J84" i="3"/>
  <c r="K84" i="3"/>
  <c r="L84" i="3"/>
  <c r="M84" i="3"/>
  <c r="N84" i="3"/>
  <c r="E89" i="3"/>
  <c r="F89" i="3"/>
  <c r="G89" i="3"/>
  <c r="H89" i="3"/>
  <c r="J89" i="3"/>
  <c r="K89" i="3"/>
  <c r="L89" i="3"/>
  <c r="M89" i="3"/>
  <c r="N89" i="3"/>
  <c r="E91" i="3"/>
  <c r="F91" i="3"/>
  <c r="G91" i="3"/>
  <c r="H91" i="3"/>
  <c r="J91" i="3"/>
  <c r="K91" i="3"/>
  <c r="L91" i="3"/>
  <c r="M91" i="3"/>
  <c r="N91" i="3"/>
  <c r="E93" i="3"/>
  <c r="F93" i="3"/>
  <c r="G93" i="3"/>
  <c r="H93" i="3"/>
  <c r="J93" i="3"/>
  <c r="K93" i="3"/>
  <c r="L93" i="3"/>
  <c r="M93" i="3"/>
  <c r="N93" i="3"/>
  <c r="E95" i="3"/>
  <c r="F95" i="3"/>
  <c r="G95" i="3"/>
  <c r="H95" i="3"/>
  <c r="J95" i="3"/>
  <c r="K95" i="3"/>
  <c r="L95" i="3"/>
  <c r="M95" i="3"/>
  <c r="N95" i="3"/>
  <c r="E98" i="3"/>
  <c r="F98" i="3"/>
  <c r="G98" i="3"/>
  <c r="H98" i="3"/>
  <c r="J98" i="3"/>
  <c r="K98" i="3"/>
  <c r="L98" i="3"/>
  <c r="M98" i="3"/>
  <c r="N98" i="3"/>
  <c r="E99" i="3"/>
  <c r="F99" i="3"/>
  <c r="G99" i="3"/>
  <c r="H99" i="3"/>
  <c r="J99" i="3"/>
  <c r="K99" i="3"/>
  <c r="L99" i="3"/>
  <c r="M99" i="3"/>
  <c r="N99" i="3"/>
  <c r="E106" i="3"/>
  <c r="F106" i="3"/>
  <c r="G106" i="3"/>
  <c r="H106" i="3"/>
  <c r="K106" i="3"/>
  <c r="L106" i="3"/>
  <c r="M106" i="3"/>
  <c r="E107" i="3"/>
  <c r="F107" i="3"/>
  <c r="G107" i="3"/>
  <c r="H107" i="3"/>
  <c r="J107" i="3"/>
  <c r="K107" i="3"/>
  <c r="L107" i="3"/>
  <c r="M107" i="3"/>
  <c r="N107" i="3"/>
  <c r="E108" i="3"/>
  <c r="F108" i="3"/>
  <c r="G108" i="3"/>
  <c r="H108" i="3"/>
  <c r="J108" i="3"/>
  <c r="K108" i="3"/>
  <c r="L108" i="3"/>
  <c r="M108" i="3"/>
  <c r="N108" i="3"/>
  <c r="E110" i="3"/>
  <c r="F110" i="3"/>
  <c r="G110" i="3"/>
  <c r="H110" i="3"/>
  <c r="J110" i="3"/>
  <c r="K110" i="3"/>
  <c r="L110" i="3"/>
  <c r="M110" i="3"/>
  <c r="N110" i="3"/>
  <c r="E111" i="3"/>
  <c r="F111" i="3"/>
  <c r="G111" i="3"/>
  <c r="H111" i="3"/>
  <c r="J111" i="3"/>
  <c r="K111" i="3"/>
  <c r="L111" i="3"/>
  <c r="M111" i="3"/>
  <c r="N111" i="3"/>
  <c r="E112" i="3"/>
  <c r="F112" i="3"/>
  <c r="G112" i="3"/>
  <c r="H112" i="3"/>
  <c r="J112" i="3"/>
  <c r="K112" i="3"/>
  <c r="L112" i="3"/>
  <c r="M112" i="3"/>
  <c r="N112" i="3"/>
  <c r="E114" i="3"/>
  <c r="F114" i="3"/>
  <c r="G114" i="3"/>
  <c r="H114" i="3"/>
  <c r="J114" i="3"/>
  <c r="K114" i="3"/>
  <c r="L114" i="3"/>
  <c r="M114" i="3"/>
  <c r="N114" i="3"/>
  <c r="E116" i="3"/>
  <c r="F116" i="3"/>
  <c r="G116" i="3"/>
  <c r="H116" i="3"/>
  <c r="J116" i="3"/>
  <c r="K116" i="3"/>
  <c r="L116" i="3"/>
  <c r="M116" i="3"/>
  <c r="N116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0" i="3"/>
  <c r="F120" i="3"/>
  <c r="G120" i="3"/>
  <c r="H120" i="3"/>
  <c r="J120" i="3"/>
  <c r="K120" i="3"/>
  <c r="L120" i="3"/>
  <c r="M120" i="3"/>
  <c r="N120" i="3"/>
  <c r="E122" i="3"/>
  <c r="F122" i="3"/>
  <c r="G122" i="3"/>
  <c r="H122" i="3"/>
  <c r="J122" i="3"/>
  <c r="K122" i="3"/>
  <c r="L122" i="3"/>
  <c r="M122" i="3"/>
  <c r="N122" i="3"/>
  <c r="E123" i="3"/>
  <c r="F123" i="3"/>
  <c r="G123" i="3"/>
  <c r="H123" i="3"/>
  <c r="J123" i="3"/>
  <c r="K123" i="3"/>
  <c r="L123" i="3"/>
  <c r="M123" i="3"/>
  <c r="N123" i="3"/>
  <c r="E125" i="3"/>
  <c r="F125" i="3"/>
  <c r="G125" i="3"/>
  <c r="H125" i="3"/>
  <c r="J125" i="3"/>
  <c r="K125" i="3"/>
  <c r="L125" i="3"/>
  <c r="M125" i="3"/>
  <c r="N125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8" i="3"/>
  <c r="F138" i="3"/>
  <c r="G138" i="3"/>
  <c r="H138" i="3"/>
  <c r="J138" i="3"/>
  <c r="K138" i="3"/>
  <c r="L138" i="3"/>
  <c r="M138" i="3"/>
  <c r="N138" i="3"/>
  <c r="E142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5" i="3"/>
  <c r="F145" i="3"/>
  <c r="G145" i="3"/>
  <c r="H145" i="3"/>
  <c r="J145" i="3"/>
  <c r="K145" i="3"/>
  <c r="L145" i="3"/>
  <c r="M145" i="3"/>
  <c r="N145" i="3"/>
  <c r="E148" i="3"/>
  <c r="F148" i="3"/>
  <c r="G148" i="3"/>
  <c r="H148" i="3"/>
  <c r="J148" i="3"/>
  <c r="K148" i="3"/>
  <c r="L148" i="3"/>
  <c r="M148" i="3"/>
  <c r="N148" i="3"/>
  <c r="E149" i="3"/>
  <c r="F149" i="3"/>
  <c r="G149" i="3"/>
  <c r="H149" i="3"/>
  <c r="J149" i="3"/>
  <c r="K149" i="3"/>
  <c r="L149" i="3"/>
  <c r="M149" i="3"/>
  <c r="N149" i="3"/>
  <c r="E152" i="3"/>
  <c r="F152" i="3"/>
  <c r="G152" i="3"/>
  <c r="H152" i="3"/>
  <c r="J152" i="3"/>
  <c r="K152" i="3"/>
  <c r="L152" i="3"/>
  <c r="M152" i="3"/>
  <c r="N152" i="3"/>
  <c r="F153" i="3"/>
  <c r="G153" i="3"/>
  <c r="H153" i="3"/>
  <c r="J153" i="3"/>
  <c r="K153" i="3"/>
  <c r="L153" i="3"/>
  <c r="M153" i="3"/>
  <c r="N153" i="3"/>
  <c r="E154" i="3"/>
  <c r="F154" i="3"/>
  <c r="G154" i="3"/>
  <c r="H154" i="3"/>
  <c r="J154" i="3"/>
  <c r="K154" i="3"/>
  <c r="L154" i="3"/>
  <c r="M154" i="3"/>
  <c r="N154" i="3"/>
  <c r="E157" i="3"/>
  <c r="F157" i="3"/>
  <c r="G157" i="3"/>
  <c r="H157" i="3"/>
  <c r="J157" i="3"/>
  <c r="K157" i="3"/>
  <c r="L157" i="3"/>
  <c r="M157" i="3"/>
  <c r="N157" i="3"/>
  <c r="E158" i="3"/>
  <c r="F158" i="3"/>
  <c r="G158" i="3"/>
  <c r="H158" i="3"/>
  <c r="J158" i="3"/>
  <c r="K158" i="3"/>
  <c r="L158" i="3"/>
  <c r="M158" i="3"/>
  <c r="N158" i="3"/>
  <c r="E159" i="3"/>
  <c r="F159" i="3"/>
  <c r="G159" i="3"/>
  <c r="H159" i="3"/>
  <c r="J159" i="3"/>
  <c r="K159" i="3"/>
  <c r="L159" i="3"/>
  <c r="M159" i="3"/>
  <c r="N159" i="3"/>
  <c r="E160" i="3"/>
  <c r="F160" i="3"/>
  <c r="G160" i="3"/>
  <c r="H160" i="3"/>
  <c r="J160" i="3"/>
  <c r="K160" i="3"/>
  <c r="L160" i="3"/>
  <c r="M160" i="3"/>
  <c r="N160" i="3"/>
  <c r="E161" i="3"/>
  <c r="F161" i="3"/>
  <c r="G161" i="3"/>
  <c r="H161" i="3"/>
  <c r="J161" i="3"/>
  <c r="K161" i="3"/>
  <c r="L161" i="3"/>
  <c r="M161" i="3"/>
  <c r="N161" i="3"/>
  <c r="E162" i="3"/>
  <c r="F162" i="3"/>
  <c r="G162" i="3"/>
  <c r="H162" i="3"/>
  <c r="J162" i="3"/>
  <c r="K162" i="3"/>
  <c r="L162" i="3"/>
  <c r="M162" i="3"/>
  <c r="N162" i="3"/>
  <c r="E165" i="3"/>
  <c r="F165" i="3"/>
  <c r="G165" i="3"/>
  <c r="H165" i="3"/>
  <c r="J165" i="3"/>
  <c r="K165" i="3"/>
  <c r="L165" i="3"/>
  <c r="M165" i="3"/>
  <c r="N165" i="3"/>
  <c r="E173" i="3"/>
  <c r="E172" i="3" s="1"/>
  <c r="F173" i="3"/>
  <c r="F172" i="3" s="1"/>
  <c r="G173" i="3"/>
  <c r="G172" i="3" s="1"/>
  <c r="H173" i="3"/>
  <c r="H172" i="3" s="1"/>
  <c r="J173" i="3"/>
  <c r="J172" i="3" s="1"/>
  <c r="K173" i="3"/>
  <c r="K172" i="3" s="1"/>
  <c r="L173" i="3"/>
  <c r="L172" i="3" s="1"/>
  <c r="M173" i="3"/>
  <c r="M172" i="3" s="1"/>
  <c r="N173" i="3"/>
  <c r="N172" i="3" s="1"/>
  <c r="E177" i="3"/>
  <c r="E174" i="3" s="1"/>
  <c r="F177" i="3"/>
  <c r="F174" i="3" s="1"/>
  <c r="G177" i="3"/>
  <c r="G174" i="3" s="1"/>
  <c r="H177" i="3"/>
  <c r="H174" i="3" s="1"/>
  <c r="J177" i="3"/>
  <c r="J174" i="3" s="1"/>
  <c r="K177" i="3"/>
  <c r="K174" i="3" s="1"/>
  <c r="L177" i="3"/>
  <c r="L174" i="3" s="1"/>
  <c r="M177" i="3"/>
  <c r="M174" i="3" s="1"/>
  <c r="N177" i="3"/>
  <c r="N174" i="3" s="1"/>
  <c r="E188" i="3"/>
  <c r="F188" i="3"/>
  <c r="G188" i="3"/>
  <c r="H188" i="3"/>
  <c r="J188" i="3"/>
  <c r="K188" i="3"/>
  <c r="L188" i="3"/>
  <c r="M188" i="3"/>
  <c r="N188" i="3"/>
  <c r="E198" i="3"/>
  <c r="E194" i="3" s="1"/>
  <c r="F198" i="3"/>
  <c r="F194" i="3" s="1"/>
  <c r="G198" i="3"/>
  <c r="G194" i="3" s="1"/>
  <c r="H198" i="3"/>
  <c r="H194" i="3" s="1"/>
  <c r="J198" i="3"/>
  <c r="J194" i="3" s="1"/>
  <c r="K198" i="3"/>
  <c r="K194" i="3" s="1"/>
  <c r="L198" i="3"/>
  <c r="L194" i="3" s="1"/>
  <c r="M198" i="3"/>
  <c r="M194" i="3" s="1"/>
  <c r="N198" i="3"/>
  <c r="N194" i="3" s="1"/>
  <c r="E214" i="3"/>
  <c r="F214" i="3"/>
  <c r="G214" i="3"/>
  <c r="H214" i="3"/>
  <c r="J214" i="3"/>
  <c r="K214" i="3"/>
  <c r="L214" i="3"/>
  <c r="M214" i="3"/>
  <c r="N214" i="3"/>
  <c r="E217" i="3"/>
  <c r="F217" i="3"/>
  <c r="G217" i="3"/>
  <c r="H217" i="3"/>
  <c r="J217" i="3"/>
  <c r="K217" i="3"/>
  <c r="L217" i="3"/>
  <c r="M217" i="3"/>
  <c r="N217" i="3"/>
  <c r="E218" i="3"/>
  <c r="F218" i="3"/>
  <c r="G218" i="3"/>
  <c r="H218" i="3"/>
  <c r="J218" i="3"/>
  <c r="K218" i="3"/>
  <c r="L218" i="3"/>
  <c r="M218" i="3"/>
  <c r="N218" i="3"/>
  <c r="E219" i="3"/>
  <c r="F219" i="3"/>
  <c r="G219" i="3"/>
  <c r="H219" i="3"/>
  <c r="J219" i="3"/>
  <c r="K219" i="3"/>
  <c r="L219" i="3"/>
  <c r="M219" i="3"/>
  <c r="N219" i="3"/>
  <c r="F221" i="3"/>
  <c r="G221" i="3"/>
  <c r="H221" i="3"/>
  <c r="J221" i="3"/>
  <c r="K221" i="3"/>
  <c r="L221" i="3"/>
  <c r="M221" i="3"/>
  <c r="N221" i="3"/>
  <c r="E231" i="3"/>
  <c r="F231" i="3"/>
  <c r="G231" i="3"/>
  <c r="H231" i="3"/>
  <c r="J231" i="3"/>
  <c r="K231" i="3"/>
  <c r="L231" i="3"/>
  <c r="M231" i="3"/>
  <c r="N231" i="3"/>
  <c r="E233" i="3"/>
  <c r="F233" i="3"/>
  <c r="G233" i="3"/>
  <c r="H233" i="3"/>
  <c r="J233" i="3"/>
  <c r="K233" i="3"/>
  <c r="L233" i="3"/>
  <c r="M233" i="3"/>
  <c r="N233" i="3"/>
  <c r="E236" i="3"/>
  <c r="E235" i="3" s="1"/>
  <c r="F236" i="3"/>
  <c r="F235" i="3" s="1"/>
  <c r="G236" i="3"/>
  <c r="H236" i="3"/>
  <c r="J236" i="3"/>
  <c r="K236" i="3"/>
  <c r="K235" i="3" s="1"/>
  <c r="L236" i="3"/>
  <c r="M236" i="3"/>
  <c r="M235" i="3" s="1"/>
  <c r="N236" i="3"/>
  <c r="E239" i="3"/>
  <c r="E238" i="3" s="1"/>
  <c r="F239" i="3"/>
  <c r="F238" i="3" s="1"/>
  <c r="G239" i="3"/>
  <c r="G238" i="3" s="1"/>
  <c r="H239" i="3"/>
  <c r="H238" i="3" s="1"/>
  <c r="J239" i="3"/>
  <c r="J238" i="3" s="1"/>
  <c r="K239" i="3"/>
  <c r="K238" i="3" s="1"/>
  <c r="L239" i="3"/>
  <c r="L238" i="3" s="1"/>
  <c r="M239" i="3"/>
  <c r="M238" i="3" s="1"/>
  <c r="N239" i="3"/>
  <c r="N238" i="3" s="1"/>
  <c r="E240" i="3"/>
  <c r="F240" i="3"/>
  <c r="G240" i="3"/>
  <c r="H240" i="3"/>
  <c r="J240" i="3"/>
  <c r="K240" i="3"/>
  <c r="L240" i="3"/>
  <c r="M240" i="3"/>
  <c r="N240" i="3"/>
  <c r="D241" i="3"/>
  <c r="E241" i="3"/>
  <c r="F241" i="3"/>
  <c r="G241" i="3"/>
  <c r="H241" i="3"/>
  <c r="J241" i="3"/>
  <c r="K241" i="3"/>
  <c r="L241" i="3"/>
  <c r="M241" i="3"/>
  <c r="N241" i="3"/>
  <c r="J78" i="1"/>
  <c r="J312" i="1"/>
  <c r="J313" i="1"/>
  <c r="J314" i="1"/>
  <c r="I236" i="3" s="1"/>
  <c r="J315" i="1"/>
  <c r="J316" i="1"/>
  <c r="I240" i="3" s="1"/>
  <c r="J317" i="1"/>
  <c r="I241" i="3" s="1"/>
  <c r="J318" i="1"/>
  <c r="I245" i="3" s="1"/>
  <c r="I244" i="3" s="1"/>
  <c r="J311" i="1"/>
  <c r="J301" i="1"/>
  <c r="I173" i="3" s="1"/>
  <c r="I172" i="3" s="1"/>
  <c r="J302" i="1"/>
  <c r="J303" i="1"/>
  <c r="I217" i="3" s="1"/>
  <c r="J304" i="1"/>
  <c r="I218" i="3" s="1"/>
  <c r="J305" i="1"/>
  <c r="J300" i="1"/>
  <c r="J297" i="1"/>
  <c r="J272" i="1"/>
  <c r="J273" i="1"/>
  <c r="I165" i="3" s="1"/>
  <c r="J274" i="1"/>
  <c r="J275" i="1"/>
  <c r="I178" i="3" s="1"/>
  <c r="J276" i="1"/>
  <c r="I180" i="3" s="1"/>
  <c r="J279" i="1"/>
  <c r="J290" i="1"/>
  <c r="J291" i="1"/>
  <c r="J294" i="1"/>
  <c r="J271" i="1"/>
  <c r="J267" i="1"/>
  <c r="J231" i="1"/>
  <c r="J232" i="1"/>
  <c r="J233" i="1"/>
  <c r="I158" i="3" s="1"/>
  <c r="J234" i="1"/>
  <c r="I159" i="3" s="1"/>
  <c r="J235" i="1"/>
  <c r="I160" i="3" s="1"/>
  <c r="J236" i="1"/>
  <c r="J237" i="1"/>
  <c r="J241" i="1"/>
  <c r="J242" i="1"/>
  <c r="J245" i="1"/>
  <c r="I188" i="3" s="1"/>
  <c r="J256" i="1"/>
  <c r="J257" i="1"/>
  <c r="J262" i="1"/>
  <c r="J264" i="1"/>
  <c r="J229" i="1"/>
  <c r="J214" i="1"/>
  <c r="I142" i="3" s="1"/>
  <c r="J215" i="1"/>
  <c r="J216" i="1"/>
  <c r="J217" i="1"/>
  <c r="J219" i="1"/>
  <c r="J212" i="1"/>
  <c r="J206" i="1"/>
  <c r="I117" i="3" s="1"/>
  <c r="J207" i="1"/>
  <c r="I118" i="3" s="1"/>
  <c r="J205" i="1"/>
  <c r="J171" i="1"/>
  <c r="J172" i="1"/>
  <c r="J174" i="1"/>
  <c r="I110" i="3" s="1"/>
  <c r="J175" i="1"/>
  <c r="J176" i="1"/>
  <c r="I112" i="3" s="1"/>
  <c r="J178" i="1"/>
  <c r="I114" i="3" s="1"/>
  <c r="J180" i="1"/>
  <c r="I116" i="3" s="1"/>
  <c r="J181" i="1"/>
  <c r="I122" i="3" s="1"/>
  <c r="J182" i="1"/>
  <c r="I123" i="3" s="1"/>
  <c r="J184" i="1"/>
  <c r="I125" i="3" s="1"/>
  <c r="J186" i="1"/>
  <c r="I127" i="3" s="1"/>
  <c r="J187" i="1"/>
  <c r="I128" i="3" s="1"/>
  <c r="J188" i="1"/>
  <c r="I129" i="3" s="1"/>
  <c r="J189" i="1"/>
  <c r="I130" i="3" s="1"/>
  <c r="J190" i="1"/>
  <c r="J197" i="1"/>
  <c r="J198" i="1"/>
  <c r="J201" i="1"/>
  <c r="J168" i="1"/>
  <c r="J137" i="1"/>
  <c r="J142" i="1"/>
  <c r="J144" i="1"/>
  <c r="I91" i="3" s="1"/>
  <c r="J146" i="1"/>
  <c r="I93" i="3" s="1"/>
  <c r="J148" i="1"/>
  <c r="I95" i="3" s="1"/>
  <c r="J151" i="1"/>
  <c r="I98" i="3" s="1"/>
  <c r="J152" i="1"/>
  <c r="I99" i="3" s="1"/>
  <c r="J136" i="1"/>
  <c r="J82" i="1"/>
  <c r="I48" i="3" s="1"/>
  <c r="J85" i="1"/>
  <c r="I51" i="3" s="1"/>
  <c r="J94" i="1"/>
  <c r="I60" i="3" s="1"/>
  <c r="J97" i="1"/>
  <c r="I64" i="3" s="1"/>
  <c r="J98" i="1"/>
  <c r="I65" i="3" s="1"/>
  <c r="J100" i="1"/>
  <c r="I67" i="3" s="1"/>
  <c r="J108" i="1"/>
  <c r="I75" i="3" s="1"/>
  <c r="J77" i="1"/>
  <c r="J26" i="1"/>
  <c r="J27" i="1"/>
  <c r="J28" i="1"/>
  <c r="I119" i="3" s="1"/>
  <c r="J29" i="1"/>
  <c r="I120" i="3" s="1"/>
  <c r="J30" i="1"/>
  <c r="I121" i="3" s="1"/>
  <c r="J31" i="1"/>
  <c r="J32" i="1"/>
  <c r="J33" i="1"/>
  <c r="J34" i="1"/>
  <c r="J35" i="1"/>
  <c r="J36" i="1"/>
  <c r="I148" i="3" s="1"/>
  <c r="J37" i="1"/>
  <c r="I149" i="3" s="1"/>
  <c r="J38" i="1"/>
  <c r="I150" i="3" s="1"/>
  <c r="J39" i="1"/>
  <c r="I152" i="3" s="1"/>
  <c r="J40" i="1"/>
  <c r="I153" i="3" s="1"/>
  <c r="J41" i="1"/>
  <c r="I154" i="3" s="1"/>
  <c r="I198" i="3"/>
  <c r="I194" i="3" s="1"/>
  <c r="J49" i="1"/>
  <c r="J50" i="1"/>
  <c r="J51" i="1"/>
  <c r="J52" i="1"/>
  <c r="I221" i="3" s="1"/>
  <c r="J53" i="1"/>
  <c r="J54" i="1"/>
  <c r="J55" i="1"/>
  <c r="I230" i="3" s="1"/>
  <c r="J56" i="1"/>
  <c r="I231" i="3" s="1"/>
  <c r="J58" i="1"/>
  <c r="J59" i="1"/>
  <c r="I239" i="3"/>
  <c r="I238" i="3" s="1"/>
  <c r="J21" i="1"/>
  <c r="M100" i="3" l="1"/>
  <c r="K100" i="3"/>
  <c r="G100" i="3"/>
  <c r="L100" i="3"/>
  <c r="H100" i="3"/>
  <c r="F100" i="3"/>
  <c r="J289" i="1"/>
  <c r="J288" i="1" s="1"/>
  <c r="N155" i="3"/>
  <c r="L155" i="3"/>
  <c r="J155" i="3"/>
  <c r="G155" i="3"/>
  <c r="M155" i="3"/>
  <c r="K155" i="3"/>
  <c r="H155" i="3"/>
  <c r="F155" i="3"/>
  <c r="I19" i="3"/>
  <c r="I36" i="3"/>
  <c r="I237" i="3"/>
  <c r="I235" i="3" s="1"/>
  <c r="I139" i="3"/>
  <c r="M212" i="3"/>
  <c r="M167" i="3" s="1"/>
  <c r="K212" i="3"/>
  <c r="K167" i="3" s="1"/>
  <c r="H212" i="3"/>
  <c r="H167" i="3" s="1"/>
  <c r="F212" i="3"/>
  <c r="F167" i="3" s="1"/>
  <c r="N212" i="3"/>
  <c r="N167" i="3" s="1"/>
  <c r="L212" i="3"/>
  <c r="L167" i="3" s="1"/>
  <c r="J212" i="3"/>
  <c r="J167" i="3" s="1"/>
  <c r="G212" i="3"/>
  <c r="G167" i="3" s="1"/>
  <c r="H79" i="3"/>
  <c r="M79" i="3"/>
  <c r="K79" i="3"/>
  <c r="L79" i="3"/>
  <c r="F79" i="3"/>
  <c r="G79" i="3"/>
  <c r="E79" i="3"/>
  <c r="N79" i="3"/>
  <c r="J79" i="3"/>
  <c r="J203" i="1"/>
  <c r="I211" i="3"/>
  <c r="I210" i="3" s="1"/>
  <c r="I184" i="3"/>
  <c r="I84" i="3"/>
  <c r="I107" i="3"/>
  <c r="I89" i="3"/>
  <c r="I234" i="3"/>
  <c r="I233" i="3" s="1"/>
  <c r="I161" i="3"/>
  <c r="I157" i="3"/>
  <c r="I166" i="3"/>
  <c r="J310" i="1"/>
  <c r="I223" i="3"/>
  <c r="J299" i="1"/>
  <c r="J284" i="1"/>
  <c r="J269" i="1" s="1"/>
  <c r="I145" i="3"/>
  <c r="I143" i="3"/>
  <c r="I219" i="3"/>
  <c r="I144" i="3"/>
  <c r="E153" i="3"/>
  <c r="E146" i="3" s="1"/>
  <c r="I177" i="3"/>
  <c r="L228" i="3"/>
  <c r="J228" i="3"/>
  <c r="G228" i="3"/>
  <c r="I108" i="3"/>
  <c r="I214" i="3"/>
  <c r="I146" i="3"/>
  <c r="I131" i="3"/>
  <c r="N228" i="3"/>
  <c r="H228" i="3"/>
  <c r="M228" i="3"/>
  <c r="M226" i="3" s="1"/>
  <c r="K228" i="3"/>
  <c r="K226" i="3" s="1"/>
  <c r="F228" i="3"/>
  <c r="F226" i="3" s="1"/>
  <c r="E228" i="3"/>
  <c r="E226" i="3" s="1"/>
  <c r="I162" i="3"/>
  <c r="I228" i="3"/>
  <c r="M146" i="3"/>
  <c r="F146" i="3"/>
  <c r="I138" i="3"/>
  <c r="I111" i="3"/>
  <c r="N235" i="3"/>
  <c r="L235" i="3"/>
  <c r="J235" i="3"/>
  <c r="H235" i="3"/>
  <c r="G235" i="3"/>
  <c r="K146" i="3"/>
  <c r="L141" i="3"/>
  <c r="H141" i="3"/>
  <c r="N141" i="3"/>
  <c r="J141" i="3"/>
  <c r="G141" i="3"/>
  <c r="M141" i="3"/>
  <c r="K141" i="3"/>
  <c r="F141" i="3"/>
  <c r="E141" i="3"/>
  <c r="N146" i="3"/>
  <c r="L146" i="3"/>
  <c r="J146" i="3"/>
  <c r="H146" i="3"/>
  <c r="G146" i="3"/>
  <c r="J259" i="1"/>
  <c r="J222" i="1" s="1"/>
  <c r="I174" i="3" l="1"/>
  <c r="I250" i="3"/>
  <c r="I242" i="3" s="1"/>
  <c r="M255" i="3"/>
  <c r="F255" i="3"/>
  <c r="K255" i="3"/>
  <c r="I155" i="3"/>
  <c r="I222" i="3"/>
  <c r="I17" i="3"/>
  <c r="I79" i="3"/>
  <c r="I141" i="3"/>
  <c r="L226" i="3"/>
  <c r="L255" i="3" s="1"/>
  <c r="G226" i="3"/>
  <c r="G255" i="3" s="1"/>
  <c r="N226" i="3"/>
  <c r="J226" i="3"/>
  <c r="I226" i="3"/>
  <c r="H226" i="3"/>
  <c r="H255" i="3" s="1"/>
  <c r="E314" i="1"/>
  <c r="D236" i="3" s="1"/>
  <c r="D314" i="1"/>
  <c r="B314" i="1"/>
  <c r="E166" i="3" l="1"/>
  <c r="E155" i="3" s="1"/>
  <c r="E221" i="3"/>
  <c r="J157" i="1"/>
  <c r="P314" i="1"/>
  <c r="O236" i="3" s="1"/>
  <c r="J128" i="1" l="1"/>
  <c r="J127" i="1" s="1"/>
  <c r="I215" i="3"/>
  <c r="I212" i="3" s="1"/>
  <c r="I167" i="3" s="1"/>
  <c r="E212" i="3"/>
  <c r="E167" i="3" s="1"/>
  <c r="E245" i="1" l="1"/>
  <c r="C245" i="1"/>
  <c r="D245" i="1"/>
  <c r="B245" i="1"/>
  <c r="D188" i="3" l="1"/>
  <c r="P245" i="1"/>
  <c r="O188" i="3" s="1"/>
  <c r="E127" i="3" l="1"/>
  <c r="E100" i="3" s="1"/>
  <c r="E255" i="3" l="1"/>
  <c r="J79" i="1"/>
  <c r="J64" i="1" s="1"/>
  <c r="I38" i="3" l="1"/>
  <c r="I24" i="3" s="1"/>
  <c r="J211" i="1"/>
  <c r="D53" i="1"/>
  <c r="D294" i="1"/>
  <c r="D259" i="1"/>
  <c r="C215" i="1"/>
  <c r="B215" i="1"/>
  <c r="D206" i="1"/>
  <c r="P317" i="1"/>
  <c r="O241" i="3" s="1"/>
  <c r="E312" i="1"/>
  <c r="E313" i="1"/>
  <c r="E315" i="1"/>
  <c r="E316" i="1"/>
  <c r="D240" i="3" s="1"/>
  <c r="E318" i="1"/>
  <c r="D245" i="3" s="1"/>
  <c r="D244" i="3" s="1"/>
  <c r="E311" i="1"/>
  <c r="K309" i="1"/>
  <c r="L309" i="1"/>
  <c r="M309" i="1"/>
  <c r="N309" i="1"/>
  <c r="O309" i="1"/>
  <c r="F309" i="1"/>
  <c r="G309" i="1"/>
  <c r="H309" i="1"/>
  <c r="I309" i="1"/>
  <c r="E301" i="1"/>
  <c r="D173" i="3" s="1"/>
  <c r="D172" i="3" s="1"/>
  <c r="E302" i="1"/>
  <c r="E303" i="1"/>
  <c r="D217" i="3" s="1"/>
  <c r="E304" i="1"/>
  <c r="D218" i="3" s="1"/>
  <c r="E305" i="1"/>
  <c r="E300" i="1"/>
  <c r="K298" i="1"/>
  <c r="L298" i="1"/>
  <c r="M298" i="1"/>
  <c r="N298" i="1"/>
  <c r="O298" i="1"/>
  <c r="F298" i="1"/>
  <c r="G298" i="1"/>
  <c r="H298" i="1"/>
  <c r="I298" i="1"/>
  <c r="J296" i="1"/>
  <c r="J295" i="1" s="1"/>
  <c r="E297" i="1"/>
  <c r="E296" i="1" s="1"/>
  <c r="E295" i="1" s="1"/>
  <c r="K296" i="1"/>
  <c r="K295" i="1" s="1"/>
  <c r="L296" i="1"/>
  <c r="L295" i="1" s="1"/>
  <c r="M296" i="1"/>
  <c r="M295" i="1" s="1"/>
  <c r="N296" i="1"/>
  <c r="N295" i="1" s="1"/>
  <c r="O296" i="1"/>
  <c r="O295" i="1" s="1"/>
  <c r="F296" i="1"/>
  <c r="F295" i="1" s="1"/>
  <c r="G296" i="1"/>
  <c r="G295" i="1" s="1"/>
  <c r="H296" i="1"/>
  <c r="H295" i="1" s="1"/>
  <c r="I296" i="1"/>
  <c r="I295" i="1" s="1"/>
  <c r="E291" i="1"/>
  <c r="E294" i="1"/>
  <c r="E290" i="1"/>
  <c r="K288" i="1"/>
  <c r="L288" i="1"/>
  <c r="M288" i="1"/>
  <c r="N288" i="1"/>
  <c r="O288" i="1"/>
  <c r="F288" i="1"/>
  <c r="G288" i="1"/>
  <c r="H288" i="1"/>
  <c r="I288" i="1"/>
  <c r="E272" i="1"/>
  <c r="E273" i="1"/>
  <c r="D165" i="3" s="1"/>
  <c r="E274" i="1"/>
  <c r="E275" i="1"/>
  <c r="D178" i="3" s="1"/>
  <c r="E276" i="1"/>
  <c r="D180" i="3" s="1"/>
  <c r="E279" i="1"/>
  <c r="E284" i="1"/>
  <c r="E271" i="1"/>
  <c r="K268" i="1"/>
  <c r="M268" i="1"/>
  <c r="N268" i="1"/>
  <c r="O268" i="1"/>
  <c r="F268" i="1"/>
  <c r="G268" i="1"/>
  <c r="H268" i="1"/>
  <c r="I268" i="1"/>
  <c r="J266" i="1"/>
  <c r="J265" i="1" s="1"/>
  <c r="E267" i="1"/>
  <c r="E266" i="1" s="1"/>
  <c r="E265" i="1" s="1"/>
  <c r="K266" i="1"/>
  <c r="K265" i="1" s="1"/>
  <c r="L266" i="1"/>
  <c r="L265" i="1" s="1"/>
  <c r="M266" i="1"/>
  <c r="M265" i="1" s="1"/>
  <c r="N266" i="1"/>
  <c r="N265" i="1" s="1"/>
  <c r="O266" i="1"/>
  <c r="O265" i="1" s="1"/>
  <c r="F266" i="1"/>
  <c r="F265" i="1" s="1"/>
  <c r="G266" i="1"/>
  <c r="G265" i="1" s="1"/>
  <c r="H266" i="1"/>
  <c r="H265" i="1" s="1"/>
  <c r="I266" i="1"/>
  <c r="I265" i="1" s="1"/>
  <c r="E231" i="1"/>
  <c r="E232" i="1"/>
  <c r="D157" i="3" s="1"/>
  <c r="E233" i="1"/>
  <c r="E234" i="1"/>
  <c r="D159" i="3" s="1"/>
  <c r="E235" i="1"/>
  <c r="E236" i="1"/>
  <c r="E237" i="1"/>
  <c r="E240" i="1"/>
  <c r="E241" i="1"/>
  <c r="E242" i="1"/>
  <c r="P242" i="1" s="1"/>
  <c r="E256" i="1"/>
  <c r="E257" i="1"/>
  <c r="P257" i="1" s="1"/>
  <c r="E259" i="1"/>
  <c r="P259" i="1" s="1"/>
  <c r="E262" i="1"/>
  <c r="P262" i="1" s="1"/>
  <c r="E264" i="1"/>
  <c r="E229" i="1"/>
  <c r="K221" i="1"/>
  <c r="L221" i="1"/>
  <c r="M221" i="1"/>
  <c r="N221" i="1"/>
  <c r="O221" i="1"/>
  <c r="F221" i="1"/>
  <c r="G221" i="1"/>
  <c r="H221" i="1"/>
  <c r="I221" i="1"/>
  <c r="E214" i="1"/>
  <c r="E215" i="1"/>
  <c r="E216" i="1"/>
  <c r="E217" i="1"/>
  <c r="E219" i="1"/>
  <c r="E212" i="1"/>
  <c r="K210" i="1"/>
  <c r="L210" i="1"/>
  <c r="M210" i="1"/>
  <c r="N210" i="1"/>
  <c r="F210" i="1"/>
  <c r="G210" i="1"/>
  <c r="H210" i="1"/>
  <c r="I210" i="1"/>
  <c r="E206" i="1"/>
  <c r="D117" i="3" s="1"/>
  <c r="E207" i="1"/>
  <c r="D118" i="3" s="1"/>
  <c r="E205" i="1"/>
  <c r="K202" i="1"/>
  <c r="L202" i="1"/>
  <c r="M202" i="1"/>
  <c r="N202" i="1"/>
  <c r="O202" i="1"/>
  <c r="F202" i="1"/>
  <c r="G202" i="1"/>
  <c r="H202" i="1"/>
  <c r="I202" i="1"/>
  <c r="E170" i="1"/>
  <c r="D106" i="3" s="1"/>
  <c r="E171" i="1"/>
  <c r="E172" i="1"/>
  <c r="E174" i="1"/>
  <c r="D110" i="3" s="1"/>
  <c r="E175" i="1"/>
  <c r="E176" i="1"/>
  <c r="D112" i="3" s="1"/>
  <c r="E178" i="1"/>
  <c r="D114" i="3" s="1"/>
  <c r="E180" i="1"/>
  <c r="E181" i="1"/>
  <c r="D122" i="3" s="1"/>
  <c r="E182" i="1"/>
  <c r="E184" i="1"/>
  <c r="D125" i="3" s="1"/>
  <c r="E186" i="1"/>
  <c r="D127" i="3" s="1"/>
  <c r="E187" i="1"/>
  <c r="D128" i="3" s="1"/>
  <c r="E188" i="1"/>
  <c r="D129" i="3" s="1"/>
  <c r="E189" i="1"/>
  <c r="D130" i="3" s="1"/>
  <c r="E190" i="1"/>
  <c r="E197" i="1"/>
  <c r="E198" i="1"/>
  <c r="E201" i="1"/>
  <c r="E168" i="1"/>
  <c r="L161" i="1"/>
  <c r="M161" i="1"/>
  <c r="N161" i="1"/>
  <c r="F161" i="1"/>
  <c r="G161" i="1"/>
  <c r="H161" i="1"/>
  <c r="I161" i="1"/>
  <c r="E137" i="1"/>
  <c r="E142" i="1"/>
  <c r="E144" i="1"/>
  <c r="D91" i="3" s="1"/>
  <c r="E146" i="1"/>
  <c r="D93" i="3" s="1"/>
  <c r="E148" i="1"/>
  <c r="D95" i="3" s="1"/>
  <c r="E151" i="1"/>
  <c r="D98" i="3" s="1"/>
  <c r="D99" i="3"/>
  <c r="E157" i="1"/>
  <c r="E136" i="1"/>
  <c r="K63" i="1"/>
  <c r="L63" i="1"/>
  <c r="M63" i="1"/>
  <c r="N63" i="1"/>
  <c r="O63" i="1"/>
  <c r="F63" i="1"/>
  <c r="G63" i="1"/>
  <c r="H63" i="1"/>
  <c r="I63" i="1"/>
  <c r="E78" i="1"/>
  <c r="E79" i="1"/>
  <c r="E82" i="1"/>
  <c r="D48" i="3" s="1"/>
  <c r="E85" i="1"/>
  <c r="D51" i="3" s="1"/>
  <c r="E94" i="1"/>
  <c r="D60" i="3" s="1"/>
  <c r="E97" i="1"/>
  <c r="D64" i="3" s="1"/>
  <c r="E98" i="1"/>
  <c r="D65" i="3" s="1"/>
  <c r="E100" i="1"/>
  <c r="D67" i="3" s="1"/>
  <c r="E108" i="1"/>
  <c r="D75" i="3" s="1"/>
  <c r="E77" i="1"/>
  <c r="E23" i="1"/>
  <c r="D21" i="3" s="1"/>
  <c r="E26" i="1"/>
  <c r="E27" i="1"/>
  <c r="E28" i="1"/>
  <c r="D119" i="3" s="1"/>
  <c r="E29" i="1"/>
  <c r="D120" i="3" s="1"/>
  <c r="E30" i="1"/>
  <c r="D121" i="3" s="1"/>
  <c r="E31" i="1"/>
  <c r="E32" i="1"/>
  <c r="E33" i="1"/>
  <c r="E34" i="1"/>
  <c r="E35" i="1"/>
  <c r="E36" i="1"/>
  <c r="D148" i="3" s="1"/>
  <c r="E37" i="1"/>
  <c r="D149" i="3" s="1"/>
  <c r="E38" i="1"/>
  <c r="E39" i="1"/>
  <c r="D152" i="3" s="1"/>
  <c r="E40" i="1"/>
  <c r="E41" i="1"/>
  <c r="E44" i="1"/>
  <c r="D198" i="3" s="1"/>
  <c r="D194" i="3" s="1"/>
  <c r="E49" i="1"/>
  <c r="E50" i="1"/>
  <c r="E51" i="1"/>
  <c r="E52" i="1"/>
  <c r="D221" i="3" s="1"/>
  <c r="E53" i="1"/>
  <c r="E54" i="1"/>
  <c r="E55" i="1"/>
  <c r="D230" i="3" s="1"/>
  <c r="E56" i="1"/>
  <c r="D231" i="3" s="1"/>
  <c r="E58" i="1"/>
  <c r="E59" i="1"/>
  <c r="E60" i="1"/>
  <c r="D239" i="3" s="1"/>
  <c r="D238" i="3" s="1"/>
  <c r="E21" i="1"/>
  <c r="K17" i="1"/>
  <c r="M17" i="1"/>
  <c r="N17" i="1"/>
  <c r="O17" i="1"/>
  <c r="F17" i="1"/>
  <c r="G17" i="1"/>
  <c r="H17" i="1"/>
  <c r="I17" i="1"/>
  <c r="L17" i="1"/>
  <c r="D154" i="3" l="1"/>
  <c r="E18" i="1"/>
  <c r="E222" i="1"/>
  <c r="E269" i="1"/>
  <c r="E268" i="1" s="1"/>
  <c r="E299" i="1"/>
  <c r="E298" i="1" s="1"/>
  <c r="E64" i="1"/>
  <c r="E63" i="1" s="1"/>
  <c r="E221" i="1"/>
  <c r="E128" i="1"/>
  <c r="E127" i="1" s="1"/>
  <c r="E162" i="1"/>
  <c r="E161" i="1" s="1"/>
  <c r="E211" i="1"/>
  <c r="E210" i="1" s="1"/>
  <c r="E203" i="1"/>
  <c r="E202" i="1" s="1"/>
  <c r="E289" i="1"/>
  <c r="E288" i="1" s="1"/>
  <c r="E310" i="1"/>
  <c r="E309" i="1" s="1"/>
  <c r="D36" i="3"/>
  <c r="E17" i="1"/>
  <c r="D150" i="3"/>
  <c r="D142" i="3"/>
  <c r="I319" i="1"/>
  <c r="G319" i="1"/>
  <c r="M319" i="1"/>
  <c r="D19" i="3"/>
  <c r="D17" i="3" s="1"/>
  <c r="H319" i="1"/>
  <c r="N319" i="1"/>
  <c r="F319" i="1"/>
  <c r="D116" i="3"/>
  <c r="D38" i="3"/>
  <c r="D237" i="3"/>
  <c r="D235" i="3" s="1"/>
  <c r="D215" i="3"/>
  <c r="D139" i="3"/>
  <c r="D222" i="3"/>
  <c r="D153" i="3"/>
  <c r="D211" i="3"/>
  <c r="D210" i="3" s="1"/>
  <c r="D184" i="3"/>
  <c r="P198" i="1"/>
  <c r="D84" i="3"/>
  <c r="P231" i="1"/>
  <c r="D107" i="3"/>
  <c r="D89" i="3"/>
  <c r="D160" i="3"/>
  <c r="D234" i="3"/>
  <c r="D233" i="3" s="1"/>
  <c r="D161" i="3"/>
  <c r="D166" i="3"/>
  <c r="D223" i="3"/>
  <c r="P264" i="1"/>
  <c r="D158" i="3"/>
  <c r="D162" i="3"/>
  <c r="D219" i="3"/>
  <c r="D123" i="3"/>
  <c r="D214" i="3"/>
  <c r="P229" i="1"/>
  <c r="O210" i="1"/>
  <c r="D144" i="3"/>
  <c r="D131" i="3"/>
  <c r="D177" i="3"/>
  <c r="D145" i="3"/>
  <c r="D143" i="3"/>
  <c r="J210" i="1"/>
  <c r="D228" i="3"/>
  <c r="P201" i="1"/>
  <c r="D138" i="3"/>
  <c r="D111" i="3"/>
  <c r="D108" i="3"/>
  <c r="P21" i="1"/>
  <c r="P59" i="1"/>
  <c r="P56" i="1"/>
  <c r="O231" i="3" s="1"/>
  <c r="P54" i="1"/>
  <c r="P52" i="1"/>
  <c r="O221" i="3" s="1"/>
  <c r="P50" i="1"/>
  <c r="P108" i="1"/>
  <c r="O75" i="3" s="1"/>
  <c r="P100" i="1"/>
  <c r="O67" i="3" s="1"/>
  <c r="P98" i="1"/>
  <c r="O65" i="3" s="1"/>
  <c r="P85" i="1"/>
  <c r="O51" i="3" s="1"/>
  <c r="P82" i="1"/>
  <c r="O48" i="3" s="1"/>
  <c r="P79" i="1"/>
  <c r="P136" i="1"/>
  <c r="P189" i="1"/>
  <c r="O130" i="3" s="1"/>
  <c r="P187" i="1"/>
  <c r="O128" i="3" s="1"/>
  <c r="P184" i="1"/>
  <c r="O125" i="3" s="1"/>
  <c r="P181" i="1"/>
  <c r="O122" i="3" s="1"/>
  <c r="P178" i="1"/>
  <c r="O114" i="3" s="1"/>
  <c r="P175" i="1"/>
  <c r="P172" i="1"/>
  <c r="P240" i="1"/>
  <c r="P236" i="1"/>
  <c r="P233" i="1"/>
  <c r="O158" i="3" s="1"/>
  <c r="P275" i="1"/>
  <c r="O178" i="3" s="1"/>
  <c r="P318" i="1"/>
  <c r="O245" i="3" s="1"/>
  <c r="O244" i="3" s="1"/>
  <c r="P60" i="1"/>
  <c r="O239" i="3" s="1"/>
  <c r="O238" i="3" s="1"/>
  <c r="P58" i="1"/>
  <c r="P55" i="1"/>
  <c r="O230" i="3" s="1"/>
  <c r="P53" i="1"/>
  <c r="P51" i="1"/>
  <c r="O219" i="3" s="1"/>
  <c r="P49" i="1"/>
  <c r="P97" i="1"/>
  <c r="O64" i="3" s="1"/>
  <c r="P94" i="1"/>
  <c r="O60" i="3" s="1"/>
  <c r="P168" i="1"/>
  <c r="P190" i="1"/>
  <c r="P188" i="1"/>
  <c r="O129" i="3" s="1"/>
  <c r="P186" i="1"/>
  <c r="O127" i="3" s="1"/>
  <c r="P182" i="1"/>
  <c r="O123" i="3" s="1"/>
  <c r="P180" i="1"/>
  <c r="O116" i="3" s="1"/>
  <c r="P176" i="1"/>
  <c r="O112" i="3" s="1"/>
  <c r="P174" i="1"/>
  <c r="O110" i="3" s="1"/>
  <c r="P171" i="1"/>
  <c r="P237" i="1"/>
  <c r="P235" i="1"/>
  <c r="P234" i="1"/>
  <c r="O159" i="3" s="1"/>
  <c r="P276" i="1"/>
  <c r="O180" i="3" s="1"/>
  <c r="P311" i="1"/>
  <c r="J221" i="1"/>
  <c r="P256" i="1"/>
  <c r="P290" i="1"/>
  <c r="P291" i="1"/>
  <c r="P303" i="1"/>
  <c r="O217" i="3" s="1"/>
  <c r="J298" i="1"/>
  <c r="P315" i="1"/>
  <c r="P312" i="1"/>
  <c r="P207" i="1"/>
  <c r="O118" i="3" s="1"/>
  <c r="P206" i="1"/>
  <c r="O117" i="3" s="1"/>
  <c r="P44" i="1"/>
  <c r="O198" i="3" s="1"/>
  <c r="O194" i="3" s="1"/>
  <c r="P38" i="1"/>
  <c r="O150" i="3" s="1"/>
  <c r="P36" i="1"/>
  <c r="O148" i="3" s="1"/>
  <c r="P34" i="1"/>
  <c r="P32" i="1"/>
  <c r="P30" i="1"/>
  <c r="O121" i="3" s="1"/>
  <c r="P28" i="1"/>
  <c r="O119" i="3" s="1"/>
  <c r="P26" i="1"/>
  <c r="P212" i="1"/>
  <c r="P284" i="1"/>
  <c r="P297" i="1"/>
  <c r="P296" i="1" s="1"/>
  <c r="P295" i="1" s="1"/>
  <c r="P304" i="1"/>
  <c r="O218" i="3" s="1"/>
  <c r="P302" i="1"/>
  <c r="P301" i="1"/>
  <c r="O173" i="3" s="1"/>
  <c r="O172" i="3" s="1"/>
  <c r="P305" i="1"/>
  <c r="P241" i="1"/>
  <c r="P41" i="1"/>
  <c r="P39" i="1"/>
  <c r="O152" i="3" s="1"/>
  <c r="P37" i="1"/>
  <c r="O149" i="3" s="1"/>
  <c r="P35" i="1"/>
  <c r="P31" i="1"/>
  <c r="P29" i="1"/>
  <c r="O120" i="3" s="1"/>
  <c r="P27" i="1"/>
  <c r="P157" i="1"/>
  <c r="P152" i="1"/>
  <c r="O99" i="3" s="1"/>
  <c r="P151" i="1"/>
  <c r="O98" i="3" s="1"/>
  <c r="P148" i="1"/>
  <c r="O95" i="3" s="1"/>
  <c r="P146" i="1"/>
  <c r="O93" i="3" s="1"/>
  <c r="P144" i="1"/>
  <c r="O91" i="3" s="1"/>
  <c r="P142" i="1"/>
  <c r="P137" i="1"/>
  <c r="J202" i="1"/>
  <c r="P217" i="1"/>
  <c r="P219" i="1"/>
  <c r="P214" i="1"/>
  <c r="P279" i="1"/>
  <c r="O184" i="3" s="1"/>
  <c r="P274" i="1"/>
  <c r="P23" i="1"/>
  <c r="O21" i="3" s="1"/>
  <c r="P33" i="1"/>
  <c r="P232" i="1"/>
  <c r="O157" i="3" s="1"/>
  <c r="P294" i="1"/>
  <c r="P40" i="1"/>
  <c r="O153" i="3" s="1"/>
  <c r="P78" i="1"/>
  <c r="O36" i="3" s="1"/>
  <c r="P205" i="1"/>
  <c r="P216" i="1"/>
  <c r="P215" i="1"/>
  <c r="P313" i="1"/>
  <c r="P271" i="1"/>
  <c r="P272" i="1"/>
  <c r="P316" i="1"/>
  <c r="O240" i="3" s="1"/>
  <c r="J309" i="1"/>
  <c r="J63" i="1"/>
  <c r="P300" i="1"/>
  <c r="P267" i="1"/>
  <c r="P266" i="1" s="1"/>
  <c r="P265" i="1" s="1"/>
  <c r="P77" i="1"/>
  <c r="J17" i="1"/>
  <c r="P197" i="1"/>
  <c r="O154" i="3" l="1"/>
  <c r="P18" i="1"/>
  <c r="D174" i="3"/>
  <c r="M324" i="1"/>
  <c r="L279" i="3" s="1"/>
  <c r="L274" i="3"/>
  <c r="N324" i="1"/>
  <c r="M279" i="3" s="1"/>
  <c r="M274" i="3"/>
  <c r="I324" i="1"/>
  <c r="H279" i="3" s="1"/>
  <c r="H274" i="3"/>
  <c r="P222" i="1"/>
  <c r="H324" i="1"/>
  <c r="G279" i="3" s="1"/>
  <c r="G274" i="3"/>
  <c r="F324" i="1"/>
  <c r="E279" i="3" s="1"/>
  <c r="E274" i="3"/>
  <c r="G324" i="1"/>
  <c r="F279" i="3" s="1"/>
  <c r="F274" i="3"/>
  <c r="D24" i="3"/>
  <c r="P64" i="1"/>
  <c r="P63" i="1" s="1"/>
  <c r="D226" i="3"/>
  <c r="O250" i="3"/>
  <c r="O242" i="3" s="1"/>
  <c r="D250" i="3"/>
  <c r="D242" i="3" s="1"/>
  <c r="D100" i="3"/>
  <c r="P289" i="1"/>
  <c r="D155" i="3"/>
  <c r="E319" i="1"/>
  <c r="O19" i="3"/>
  <c r="O17" i="3" s="1"/>
  <c r="O139" i="3"/>
  <c r="O38" i="3"/>
  <c r="O24" i="3" s="1"/>
  <c r="D79" i="3"/>
  <c r="O215" i="3"/>
  <c r="O237" i="3"/>
  <c r="O235" i="3" s="1"/>
  <c r="D212" i="3"/>
  <c r="P211" i="1"/>
  <c r="O222" i="3"/>
  <c r="D146" i="3"/>
  <c r="P128" i="1"/>
  <c r="P127" i="1" s="1"/>
  <c r="P203" i="1"/>
  <c r="O211" i="3"/>
  <c r="O210" i="3" s="1"/>
  <c r="O142" i="3"/>
  <c r="O131" i="3"/>
  <c r="O84" i="3"/>
  <c r="O107" i="3"/>
  <c r="O89" i="3"/>
  <c r="O160" i="3"/>
  <c r="O234" i="3"/>
  <c r="O233" i="3" s="1"/>
  <c r="O161" i="3"/>
  <c r="O223" i="3"/>
  <c r="O166" i="3"/>
  <c r="P310" i="1"/>
  <c r="P299" i="1"/>
  <c r="O177" i="3"/>
  <c r="O174" i="3" s="1"/>
  <c r="O138" i="3"/>
  <c r="D141" i="3"/>
  <c r="O214" i="3"/>
  <c r="O228" i="3"/>
  <c r="O162" i="3"/>
  <c r="O145" i="3"/>
  <c r="O144" i="3"/>
  <c r="O111" i="3"/>
  <c r="O146" i="3"/>
  <c r="O143" i="3"/>
  <c r="O108" i="3"/>
  <c r="L268" i="1"/>
  <c r="L319" i="1" s="1"/>
  <c r="L324" i="1" l="1"/>
  <c r="K279" i="3" s="1"/>
  <c r="K274" i="3"/>
  <c r="D167" i="3"/>
  <c r="D255" i="3" s="1"/>
  <c r="E324" i="1" s="1"/>
  <c r="D279" i="3" s="1"/>
  <c r="O212" i="3"/>
  <c r="O167" i="3" s="1"/>
  <c r="O79" i="3"/>
  <c r="O226" i="3"/>
  <c r="O141" i="3"/>
  <c r="P273" i="1"/>
  <c r="P269" i="1" s="1"/>
  <c r="J268" i="1"/>
  <c r="D274" i="3" l="1"/>
  <c r="O165" i="3"/>
  <c r="O155" i="3" s="1"/>
  <c r="J106" i="3" l="1"/>
  <c r="J100" i="3" s="1"/>
  <c r="K161" i="1"/>
  <c r="K319" i="1" s="1"/>
  <c r="N106" i="3"/>
  <c r="N100" i="3" s="1"/>
  <c r="O161" i="1"/>
  <c r="O319" i="1" s="1"/>
  <c r="J170" i="1"/>
  <c r="J162" i="1" s="1"/>
  <c r="N255" i="3" l="1"/>
  <c r="O324" i="1" s="1"/>
  <c r="N279" i="3" s="1"/>
  <c r="J255" i="3"/>
  <c r="K324" i="1" s="1"/>
  <c r="J279" i="3" s="1"/>
  <c r="I106" i="3"/>
  <c r="I100" i="3" s="1"/>
  <c r="P170" i="1"/>
  <c r="P162" i="1" s="1"/>
  <c r="P17" i="1"/>
  <c r="P288" i="1"/>
  <c r="P309" i="1"/>
  <c r="N274" i="3" l="1"/>
  <c r="J274" i="3"/>
  <c r="I255" i="3"/>
  <c r="O106" i="3"/>
  <c r="O100" i="3" s="1"/>
  <c r="P161" i="1"/>
  <c r="J161" i="1"/>
  <c r="J319" i="1" s="1"/>
  <c r="P298" i="1"/>
  <c r="P268" i="1"/>
  <c r="P221" i="1"/>
  <c r="P210" i="1"/>
  <c r="P202" i="1"/>
  <c r="I274" i="3" l="1"/>
  <c r="J324" i="1"/>
  <c r="I279" i="3" s="1"/>
  <c r="O255" i="3"/>
  <c r="P319" i="1"/>
  <c r="C56" i="1"/>
  <c r="O274" i="3" l="1"/>
  <c r="P324" i="1"/>
  <c r="O279" i="3" s="1"/>
  <c r="C313" i="1"/>
  <c r="D313" i="1"/>
  <c r="B313" i="1"/>
  <c r="C257" i="1"/>
  <c r="D257" i="1"/>
  <c r="B257" i="1"/>
  <c r="C174" i="1" l="1"/>
  <c r="D174" i="1"/>
  <c r="B174" i="1"/>
  <c r="C33" i="1"/>
  <c r="B33" i="1"/>
  <c r="B148" i="1"/>
  <c r="C148" i="1"/>
  <c r="D148" i="1"/>
  <c r="B182" i="1"/>
  <c r="C182" i="1"/>
  <c r="D182" i="1"/>
  <c r="B184" i="1"/>
  <c r="C184" i="1"/>
  <c r="C178" i="1"/>
  <c r="D178" i="1"/>
  <c r="B178" i="1"/>
  <c r="C294" i="1"/>
  <c r="B294" i="1"/>
  <c r="C291" i="1"/>
  <c r="D291" i="1"/>
  <c r="B291" i="1"/>
  <c r="D152" i="1"/>
  <c r="C152" i="1"/>
  <c r="B152" i="1"/>
  <c r="C151" i="1"/>
  <c r="D151" i="1"/>
  <c r="B151" i="1"/>
  <c r="C53" i="1"/>
  <c r="B53" i="1"/>
  <c r="C201" i="1"/>
  <c r="B201" i="1"/>
  <c r="C197" i="1"/>
  <c r="D197" i="1"/>
  <c r="C198" i="1"/>
  <c r="B198" i="1"/>
  <c r="B197" i="1"/>
  <c r="C190" i="1"/>
  <c r="D190" i="1"/>
  <c r="B190" i="1"/>
  <c r="C189" i="1"/>
  <c r="D189" i="1"/>
  <c r="B189" i="1"/>
  <c r="C188" i="1"/>
  <c r="B188" i="1"/>
  <c r="C187" i="1"/>
  <c r="D187" i="1"/>
  <c r="B187" i="1"/>
  <c r="C186" i="1"/>
  <c r="D186" i="1"/>
  <c r="B186" i="1"/>
  <c r="C181" i="1"/>
  <c r="D181" i="1"/>
  <c r="B181" i="1"/>
  <c r="C180" i="1"/>
  <c r="D180" i="1"/>
  <c r="B180" i="1"/>
  <c r="C176" i="1"/>
  <c r="D176" i="1"/>
  <c r="B176" i="1"/>
  <c r="C175" i="1"/>
  <c r="D175" i="1"/>
  <c r="B175" i="1"/>
  <c r="C172" i="1"/>
  <c r="D172" i="1"/>
  <c r="B172" i="1"/>
  <c r="C171" i="1"/>
  <c r="B171" i="1"/>
  <c r="C170" i="1"/>
  <c r="D170" i="1"/>
  <c r="B170" i="1"/>
  <c r="C157" i="1"/>
  <c r="B157" i="1"/>
  <c r="C146" i="1"/>
  <c r="D146" i="1"/>
  <c r="B146" i="1"/>
  <c r="C144" i="1"/>
  <c r="D144" i="1"/>
  <c r="B144" i="1"/>
  <c r="C142" i="1"/>
  <c r="B142" i="1"/>
  <c r="C137" i="1"/>
  <c r="B137" i="1"/>
  <c r="C98" i="1"/>
  <c r="C100" i="1"/>
  <c r="C79" i="1"/>
  <c r="B79" i="1"/>
  <c r="C78" i="1"/>
  <c r="B78" i="1"/>
  <c r="C60" i="1"/>
  <c r="D60" i="1"/>
  <c r="B60" i="1"/>
  <c r="C59" i="1"/>
  <c r="D59" i="1"/>
  <c r="B59" i="1"/>
  <c r="C58" i="1"/>
  <c r="D58" i="1"/>
  <c r="B58" i="1"/>
  <c r="B56" i="1"/>
  <c r="C55" i="1"/>
  <c r="D55" i="1"/>
  <c r="B55" i="1"/>
  <c r="C54" i="1"/>
  <c r="D54" i="1"/>
  <c r="B54" i="1"/>
  <c r="C52" i="1"/>
  <c r="D52" i="1"/>
  <c r="B52" i="1"/>
  <c r="C51" i="1"/>
  <c r="B51" i="1"/>
  <c r="C50" i="1"/>
  <c r="D50" i="1"/>
  <c r="B50" i="1"/>
  <c r="C49" i="1"/>
  <c r="B49" i="1"/>
  <c r="C44" i="1"/>
  <c r="D44" i="1"/>
  <c r="B44" i="1"/>
  <c r="C31" i="1"/>
  <c r="D31" i="1"/>
  <c r="C32" i="1"/>
  <c r="B32" i="1"/>
  <c r="B31" i="1"/>
  <c r="C34" i="1"/>
  <c r="C35" i="1"/>
  <c r="B35" i="1"/>
  <c r="B34" i="1"/>
  <c r="C41" i="1"/>
  <c r="D41" i="1"/>
  <c r="B41" i="1"/>
  <c r="C40" i="1"/>
  <c r="D40" i="1"/>
  <c r="B40" i="1"/>
  <c r="C39" i="1"/>
  <c r="B39" i="1"/>
  <c r="C38" i="1"/>
  <c r="B38" i="1"/>
  <c r="C37" i="1"/>
  <c r="B37" i="1"/>
  <c r="C36" i="1"/>
  <c r="B36" i="1"/>
  <c r="C30" i="1"/>
  <c r="B30" i="1"/>
  <c r="C29" i="1"/>
  <c r="D29" i="1"/>
  <c r="B29" i="1"/>
  <c r="C28" i="1"/>
  <c r="B28" i="1"/>
  <c r="C27" i="1"/>
  <c r="D27" i="1"/>
  <c r="B27" i="1"/>
  <c r="C26" i="1"/>
  <c r="B26" i="1"/>
  <c r="C23" i="1"/>
  <c r="D23" i="1"/>
  <c r="B23" i="1"/>
  <c r="D207" i="1"/>
  <c r="C207" i="1"/>
  <c r="B207" i="1"/>
  <c r="C214" i="1"/>
  <c r="D214" i="1"/>
  <c r="B214" i="1"/>
  <c r="C216" i="1"/>
  <c r="D216" i="1"/>
  <c r="C217" i="1"/>
  <c r="D217" i="1"/>
  <c r="B217" i="1"/>
  <c r="B216" i="1"/>
  <c r="C219" i="1"/>
  <c r="B219" i="1"/>
  <c r="C231" i="1"/>
  <c r="D231" i="1"/>
  <c r="B231" i="1"/>
  <c r="C235" i="1"/>
  <c r="D235" i="1"/>
  <c r="B235" i="1"/>
  <c r="C234" i="1"/>
  <c r="D234" i="1"/>
  <c r="B234" i="1"/>
  <c r="C233" i="1"/>
  <c r="D233" i="1"/>
  <c r="B233" i="1"/>
  <c r="C232" i="1"/>
  <c r="D232" i="1"/>
  <c r="B232" i="1"/>
  <c r="C236" i="1"/>
  <c r="D236" i="1"/>
  <c r="B236" i="1"/>
  <c r="C237" i="1"/>
  <c r="D237" i="1"/>
  <c r="B237" i="1"/>
  <c r="C240" i="1"/>
  <c r="D240" i="1"/>
  <c r="B240" i="1"/>
  <c r="C241" i="1"/>
  <c r="B241" i="1"/>
  <c r="C242" i="1"/>
  <c r="B242" i="1"/>
  <c r="C256" i="1"/>
  <c r="B256" i="1"/>
  <c r="C262" i="1"/>
  <c r="D262" i="1"/>
  <c r="B262" i="1"/>
  <c r="C264" i="1"/>
  <c r="B264" i="1"/>
  <c r="C272" i="1"/>
  <c r="D272" i="1"/>
  <c r="B272" i="1"/>
  <c r="C273" i="1"/>
  <c r="B273" i="1"/>
  <c r="C274" i="1"/>
  <c r="D274" i="1"/>
  <c r="B274" i="1"/>
  <c r="C276" i="1"/>
  <c r="B276" i="1"/>
  <c r="C275" i="1"/>
  <c r="B275" i="1"/>
  <c r="C279" i="1"/>
  <c r="B279" i="1"/>
  <c r="C284" i="1"/>
  <c r="B284" i="1"/>
  <c r="C301" i="1"/>
  <c r="D301" i="1"/>
  <c r="B301" i="1"/>
  <c r="C302" i="1"/>
  <c r="D302" i="1"/>
  <c r="B302" i="1"/>
  <c r="C303" i="1"/>
  <c r="D303" i="1"/>
  <c r="B303" i="1"/>
  <c r="C304" i="1"/>
  <c r="D304" i="1"/>
  <c r="B304" i="1"/>
  <c r="C305" i="1"/>
  <c r="D305" i="1"/>
  <c r="B305" i="1"/>
  <c r="C312" i="1"/>
  <c r="B312" i="1"/>
  <c r="C315" i="1"/>
  <c r="D315" i="1"/>
  <c r="B315" i="1"/>
  <c r="C316" i="1"/>
  <c r="D316" i="1"/>
  <c r="B316" i="1"/>
  <c r="C317" i="1"/>
  <c r="D317" i="1"/>
  <c r="C318" i="1"/>
  <c r="D318" i="1"/>
  <c r="B318" i="1"/>
  <c r="C311" i="1"/>
  <c r="B311" i="1"/>
  <c r="C300" i="1"/>
  <c r="B300" i="1"/>
  <c r="C297" i="1"/>
  <c r="B297" i="1"/>
  <c r="C290" i="1"/>
  <c r="B290" i="1"/>
  <c r="C271" i="1"/>
  <c r="B271" i="1"/>
  <c r="C267" i="1"/>
  <c r="B267" i="1"/>
  <c r="C229" i="1"/>
  <c r="B229" i="1"/>
  <c r="C212" i="1"/>
  <c r="B212" i="1"/>
  <c r="C205" i="1"/>
  <c r="B205" i="1"/>
  <c r="C168" i="1"/>
  <c r="B168" i="1"/>
  <c r="C136" i="1"/>
  <c r="B136" i="1"/>
  <c r="C77" i="1"/>
  <c r="B77" i="1"/>
  <c r="C21" i="1"/>
  <c r="B21" i="1"/>
  <c r="E81" i="3" l="1"/>
  <c r="D81" i="3" l="1"/>
  <c r="I81" i="3"/>
  <c r="O81" i="3" l="1"/>
  <c r="D80" i="3" l="1"/>
  <c r="I83" i="3"/>
  <c r="I82" i="3"/>
  <c r="I257" i="3" s="1"/>
  <c r="I276" i="3" s="1"/>
  <c r="O83" i="3"/>
  <c r="J325" i="1" l="1"/>
  <c r="O82" i="3"/>
  <c r="I80" i="3"/>
  <c r="O257" i="3" l="1"/>
  <c r="O276" i="3" s="1"/>
  <c r="O80" i="3"/>
  <c r="P325" i="1" l="1"/>
  <c r="I195" i="3"/>
  <c r="I169" i="3" s="1"/>
  <c r="D195" i="3"/>
  <c r="D169" i="3" s="1"/>
  <c r="O195" i="3" l="1"/>
  <c r="O169" i="3" s="1"/>
  <c r="D168" i="3" l="1"/>
  <c r="I175" i="3" l="1"/>
  <c r="I256" i="3" s="1"/>
  <c r="O175" i="3"/>
  <c r="O256" i="3" s="1"/>
  <c r="I275" i="3" l="1"/>
  <c r="O275" i="3"/>
  <c r="O168" i="3"/>
  <c r="I168" i="3"/>
</calcChain>
</file>

<file path=xl/sharedStrings.xml><?xml version="1.0" encoding="utf-8"?>
<sst xmlns="http://schemas.openxmlformats.org/spreadsheetml/2006/main" count="1069" uniqueCount="627">
  <si>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</si>
  <si>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</si>
  <si>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</si>
  <si>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</si>
  <si>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</si>
  <si>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</si>
  <si>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</si>
  <si>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</si>
  <si>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</si>
  <si>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</si>
  <si>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</si>
  <si>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</si>
  <si>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</si>
  <si>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</si>
  <si>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</si>
  <si>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</si>
  <si>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</si>
  <si>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</si>
  <si>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</si>
  <si>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</si>
  <si>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</si>
  <si>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</si>
  <si>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</si>
  <si>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</si>
  <si>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</si>
  <si>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</si>
  <si>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</si>
  <si>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</si>
  <si>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</si>
  <si>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</si>
  <si>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</si>
  <si>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</si>
  <si>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</si>
  <si>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</si>
  <si>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</si>
  <si>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</si>
  <si>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</si>
  <si>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</si>
  <si>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</si>
  <si>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</si>
  <si>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</si>
  <si>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</si>
  <si>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</si>
  <si>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</si>
  <si>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</si>
  <si>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</si>
  <si>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</si>
  <si>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</si>
  <si>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</si>
  <si>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</si>
  <si>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</si>
  <si>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</si>
  <si>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</si>
  <si>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</si>
  <si>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</si>
  <si>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</si>
  <si>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</si>
  <si>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</si>
  <si>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</si>
  <si>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</si>
  <si>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</si>
  <si>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</si>
  <si>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</si>
  <si>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</si>
  <si>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</si>
  <si>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</si>
  <si>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</si>
  <si>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</si>
  <si>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</si>
  <si>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</si>
  <si>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</si>
  <si>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</si>
  <si>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</si>
  <si>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</si>
  <si>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</si>
  <si>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</si>
  <si>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</si>
  <si>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</si>
  <si>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</si>
  <si>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</si>
  <si>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</si>
  <si>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</si>
  <si>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</si>
  <si>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</si>
  <si>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</si>
  <si>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</si>
  <si>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</si>
  <si>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</si>
  <si>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</si>
  <si>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</si>
  <si>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</si>
  <si>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</si>
  <si>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</si>
  <si>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</si>
  <si>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</si>
  <si>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</si>
  <si>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</si>
  <si>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</si>
  <si>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</si>
  <si>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</si>
  <si>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</si>
  <si>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</si>
  <si>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</si>
  <si>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</si>
  <si>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</si>
  <si>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</si>
  <si>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</si>
  <si>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</si>
  <si>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</si>
  <si>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</si>
  <si>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</si>
  <si>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</si>
  <si>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</si>
  <si>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</si>
  <si>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</si>
  <si>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</si>
  <si>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</si>
  <si>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</si>
  <si>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</si>
  <si>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</si>
  <si>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</si>
  <si>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</si>
  <si>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</si>
  <si>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</si>
  <si>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</si>
  <si>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</si>
  <si>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</si>
  <si>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</si>
  <si>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</si>
  <si>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</si>
  <si>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</si>
  <si>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</si>
  <si>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</si>
  <si>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</si>
  <si>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</si>
  <si>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</si>
  <si>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</si>
  <si>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</si>
  <si>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</si>
  <si>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</si>
  <si>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</si>
  <si>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</si>
  <si>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</si>
  <si>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</si>
  <si>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</si>
  <si>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</si>
  <si>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</si>
  <si>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</si>
  <si>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</si>
  <si>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</si>
  <si>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</si>
  <si>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</si>
  <si>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</si>
  <si>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</si>
  <si>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</si>
  <si>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</si>
  <si>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</si>
  <si>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</si>
  <si>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</si>
  <si>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</si>
  <si>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</si>
  <si>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</si>
  <si>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</si>
  <si>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</si>
  <si>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</si>
  <si>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</si>
  <si>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</si>
  <si>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</si>
  <si>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</si>
  <si>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</si>
  <si>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</si>
  <si>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</si>
  <si>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</si>
  <si>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</si>
  <si>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</si>
  <si>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</si>
  <si>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</si>
  <si>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</si>
  <si>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</si>
  <si>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</si>
  <si>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</si>
  <si>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</si>
  <si>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</si>
  <si>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</si>
  <si>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</si>
  <si>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</si>
  <si>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</si>
  <si>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</si>
  <si>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</si>
  <si>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</si>
  <si>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</si>
  <si>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</si>
  <si>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</si>
  <si>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</si>
  <si>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</si>
  <si>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</si>
  <si>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</si>
  <si>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</si>
  <si>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</si>
  <si>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</si>
  <si>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</si>
  <si>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</si>
  <si>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</si>
  <si>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</si>
  <si>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</si>
  <si>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</si>
  <si>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</si>
  <si>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</si>
  <si>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</si>
  <si>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</si>
  <si>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</si>
  <si>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</si>
  <si>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</si>
  <si>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</si>
  <si>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</si>
  <si>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</si>
  <si>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</si>
  <si>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</si>
  <si>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</si>
  <si>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</si>
  <si>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</si>
  <si>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</si>
  <si>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</si>
  <si>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</si>
  <si>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</si>
  <si>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</si>
  <si>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</si>
  <si>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</si>
  <si>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</si>
  <si>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</si>
  <si>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</si>
  <si>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</si>
  <si>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</si>
  <si>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</si>
  <si>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</si>
  <si>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</si>
  <si>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</si>
  <si>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</si>
  <si>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</si>
  <si>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</si>
  <si>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</si>
  <si>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</si>
  <si>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</si>
  <si>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</si>
  <si>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</si>
  <si>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</si>
  <si>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</si>
  <si>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</si>
  <si>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</si>
  <si>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</si>
  <si>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</si>
  <si>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</si>
  <si>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</si>
  <si>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</si>
  <si>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</si>
  <si>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</si>
  <si>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</si>
  <si>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</si>
  <si>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</si>
  <si>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</si>
  <si>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</si>
  <si>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</si>
  <si>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</si>
  <si>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</si>
  <si>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</si>
  <si>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</si>
  <si>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</si>
  <si>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</si>
  <si>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</si>
  <si>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</si>
  <si>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</si>
  <si>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</si>
  <si>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</si>
  <si>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</si>
  <si>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</si>
  <si>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</si>
  <si>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</si>
  <si>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</si>
  <si>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</si>
  <si>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</si>
  <si>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</si>
  <si>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</si>
  <si>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</si>
  <si>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</si>
  <si>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</si>
  <si>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</si>
  <si>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</si>
  <si>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</si>
  <si>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</si>
  <si>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</si>
  <si>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</si>
  <si>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</si>
  <si>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</si>
  <si>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</si>
  <si>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</si>
  <si>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</si>
  <si>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</si>
  <si>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</si>
  <si>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</si>
  <si>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</si>
  <si>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</si>
  <si>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</si>
  <si>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</si>
  <si>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</si>
  <si>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</si>
  <si>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</si>
  <si>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</si>
  <si>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</si>
  <si>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</si>
  <si>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</si>
  <si>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</si>
  <si>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</si>
  <si>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</si>
  <si>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</si>
  <si>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</si>
  <si>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</si>
  <si>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</si>
  <si>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</si>
  <si>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</si>
  <si>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</si>
  <si>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</si>
  <si>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</si>
  <si>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</si>
  <si>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</si>
  <si>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</si>
  <si>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</si>
  <si>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</si>
  <si>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</si>
  <si>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</si>
  <si>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</si>
  <si>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</si>
  <si>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</si>
  <si>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</si>
  <si>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</si>
  <si>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</si>
  <si>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</si>
  <si>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</si>
  <si>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</si>
  <si>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</si>
  <si>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</si>
  <si>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</si>
  <si>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</si>
  <si>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</si>
  <si>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</si>
  <si>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</si>
  <si>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</si>
  <si>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</si>
  <si>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</si>
  <si>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</si>
  <si>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</si>
  <si>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</si>
  <si>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</si>
  <si>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</si>
  <si>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</si>
  <si>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</si>
  <si>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</si>
  <si>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</si>
  <si>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</si>
  <si>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</si>
  <si>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</si>
  <si>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</si>
  <si>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</si>
  <si>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</si>
  <si>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</si>
  <si>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</si>
  <si>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</si>
  <si>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</si>
  <si>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</si>
  <si>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</si>
  <si>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</si>
  <si>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</si>
  <si>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</si>
  <si>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</si>
  <si>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</si>
  <si>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</si>
  <si>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</si>
  <si>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</si>
  <si>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</si>
  <si>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</si>
  <si>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</si>
  <si>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</si>
  <si>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</si>
  <si>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</si>
  <si>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</si>
  <si>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</si>
  <si>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</si>
  <si>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</si>
  <si>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</si>
  <si>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</si>
  <si>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</si>
  <si>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</si>
  <si>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</si>
  <si>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</si>
  <si>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</si>
  <si>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</si>
  <si>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</si>
  <si>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</si>
  <si>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</si>
  <si>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</si>
  <si>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</si>
  <si>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</si>
  <si>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</si>
  <si>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</si>
  <si>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</si>
  <si>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</si>
  <si>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</si>
  <si>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</si>
  <si>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</si>
  <si>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</si>
  <si>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</si>
  <si>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</si>
  <si>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</si>
  <si>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</si>
  <si>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</si>
  <si>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</si>
  <si>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</si>
  <si>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</si>
  <si>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</si>
  <si>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</si>
  <si>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</si>
  <si>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</si>
  <si>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</si>
  <si>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</si>
  <si>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</si>
  <si>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</si>
  <si>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</si>
  <si>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</si>
  <si>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</si>
  <si>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</si>
  <si>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</si>
  <si>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</si>
  <si>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</si>
  <si>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</si>
  <si>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</si>
  <si>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</si>
  <si>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</si>
  <si>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</si>
  <si>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</si>
  <si>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</si>
  <si>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</si>
  <si>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</si>
  <si>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</si>
  <si>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</si>
  <si>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</si>
  <si>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</si>
  <si>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</si>
  <si>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</si>
  <si>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</si>
  <si>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</si>
  <si>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РОЗПОДІЛ
видатків бюджету Сумської міської територіальної громади на 2021 рік за головними розпорядниками бюджетних коштів </t>
  </si>
  <si>
    <t>РОЗПОДІЛ
видатків бюджету Сумської міської територіальної громади на 2021 рік за програмною класифікацією видатків та кредитування місцевого бюджету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</si>
  <si>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</si>
  <si>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</si>
  <si>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</si>
  <si>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</si>
  <si>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</si>
  <si>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</si>
  <si>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</si>
  <si>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</si>
  <si>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</si>
  <si>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</si>
  <si>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</si>
  <si>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</si>
  <si>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</si>
  <si>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</si>
  <si>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</si>
  <si>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</si>
  <si>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</si>
  <si>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</si>
  <si>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</si>
  <si>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</si>
  <si>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</si>
  <si>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</si>
  <si>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</si>
  <si>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</si>
  <si>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</si>
  <si>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</si>
  <si>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</si>
  <si>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</si>
  <si>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</si>
  <si>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</si>
  <si>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</si>
  <si>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</si>
  <si>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</si>
  <si>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</si>
  <si>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</si>
  <si>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</si>
  <si>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</si>
  <si>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</si>
  <si>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</si>
  <si>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</si>
  <si>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</si>
  <si>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</si>
  <si>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</si>
  <si>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</si>
  <si>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</si>
  <si>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</si>
  <si>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</si>
  <si>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</si>
  <si>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</si>
  <si>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</si>
  <si>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</si>
  <si>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</si>
  <si>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</si>
  <si>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</si>
  <si>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</si>
  <si>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</si>
  <si>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</si>
  <si>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</si>
  <si>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</si>
  <si>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</si>
  <si>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</si>
  <si>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</si>
  <si>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</si>
  <si>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</si>
  <si>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</si>
  <si>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</si>
  <si>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</si>
  <si>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</si>
  <si>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</si>
  <si>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</si>
  <si>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</si>
  <si>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</si>
  <si>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</si>
  <si>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</si>
  <si>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</si>
  <si>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</si>
  <si>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</si>
  <si>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</si>
  <si>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</si>
  <si>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</si>
  <si>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</si>
  <si>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</si>
  <si>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</si>
  <si>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</si>
  <si>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(зі змінами)»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</si>
  <si>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</si>
  <si>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</si>
  <si>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</si>
  <si>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</si>
  <si>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</si>
  <si>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</si>
  <si>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</si>
  <si>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</si>
  <si>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</si>
  <si>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t>Міжбюджетні трансферти, 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</si>
  <si>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</si>
  <si>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</si>
  <si>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</si>
  <si>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</si>
  <si>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</si>
  <si>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</si>
  <si>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</si>
  <si>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____________</t>
  </si>
  <si>
    <t>0617363</t>
  </si>
  <si>
    <t>1617370</t>
  </si>
  <si>
    <t>7370</t>
  </si>
  <si>
    <t>0611172</t>
  </si>
  <si>
    <t>0611182</t>
  </si>
  <si>
    <t>1172</t>
  </si>
  <si>
    <t>1182</t>
  </si>
  <si>
    <t xml:space="preserve">Виконання заходів в рамках реалізації програми "Спроможна школа для кращих результатів",  у т.ч. за рахунок: 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</si>
  <si>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</si>
  <si>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</si>
  <si>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</si>
  <si>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 xml:space="preserve">Утримання та навчально-тренувальна робота комунальних дитячо-юнацьких спортивних шкіл,  у т.ч. за рахунок: 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</si>
  <si>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</si>
  <si>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</si>
  <si>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</si>
  <si>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</si>
  <si>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</si>
  <si>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</si>
  <si>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</si>
  <si>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</si>
  <si>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</si>
  <si>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</si>
  <si>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«Про       внесення        змін       до        рішення</t>
  </si>
  <si>
    <t>до      рішення      Сумської     міської         ради</t>
  </si>
  <si>
    <t xml:space="preserve">Сумської  міської  ради від 24 грудня 2020 року </t>
  </si>
  <si>
    <t xml:space="preserve">№ 62 - МР «Про   бюджет    Сумської     міської </t>
  </si>
  <si>
    <t>«Про       внесення       змін       до         рішення</t>
  </si>
  <si>
    <t>до      рішення      Сумської      міської        ради</t>
  </si>
  <si>
    <t>територіальної     громади    на      2021       рік»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</si>
  <si>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</si>
  <si>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Надання загальної середньої освіти закладами загальної середньої освіти 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</si>
  <si>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</si>
  <si>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</si>
  <si>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</si>
  <si>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</si>
  <si>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</si>
  <si>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</si>
  <si>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</si>
  <si>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</si>
  <si>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Фізична культура і спорт,  у т.ч. за рахунок:</t>
  </si>
  <si>
    <t>Утримання та навчально-тренувальна робота комунальних дитячо-юнацьких спортивних шкіл,  у т.ч. за рахунок:</t>
  </si>
  <si>
    <t>Будівництво та регіональний розвиток,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</si>
  <si>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</t>
    </r>
  </si>
  <si>
    <t>Транспорт та транспортна інфраструктура, дорожнє господарство,  у т.ч. за рахунок:</t>
  </si>
  <si>
    <t>Компенсаційні виплати на пільговий проїзд автомобільним транспортом окремим категоріям громадян, у т.ч. за рахунок: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</si>
  <si>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школа",  у т.ч. за рахунок: 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</si>
  <si>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</si>
  <si>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</si>
  <si>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</si>
  <si>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</si>
  <si>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</si>
  <si>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</si>
  <si>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</si>
  <si>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</si>
  <si>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анресії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</si>
  <si>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</si>
  <si>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   Додаток 3</t>
  </si>
  <si>
    <t>територіальної     громади      на      2021      рік»</t>
  </si>
  <si>
    <t xml:space="preserve">                               Додаток 8</t>
  </si>
  <si>
    <t xml:space="preserve">Сумської  міської ради від 24 грудня 2020 року </t>
  </si>
  <si>
    <t xml:space="preserve">№ 62 - МР «Про   бюджет    Сумської    міської 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</si>
  <si>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 </t>
    </r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</si>
  <si>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</si>
  <si>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Багатопрофільна стаціонарна медична допомога населенню, у т.ч. за рахунок:</t>
  </si>
  <si>
    <t xml:space="preserve">                          ____________</t>
  </si>
  <si>
    <t>Багатопрофільна стаціонарна медична допомога населенню,  у т.ч. за рахунок:</t>
  </si>
  <si>
    <t>Виконавець: Липова С.А.</t>
  </si>
  <si>
    <t>1216083</t>
  </si>
  <si>
    <t>Сумський міський голова</t>
  </si>
  <si>
    <t>0219770</t>
  </si>
  <si>
    <t>від  27  жовтня   2021     року    №  2204  -   МР</t>
  </si>
  <si>
    <t>від    27    жовтня  2021    року    №  2204  -  МР</t>
  </si>
  <si>
    <t>Олександр ЛИСЕНКО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</si>
</sst>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4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71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/>
    <xf numFmtId="3" fontId="36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right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" fontId="3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4" fontId="41" fillId="0" borderId="7" xfId="0" applyNumberFormat="1" applyFont="1" applyFill="1" applyBorder="1" applyAlignment="1">
      <alignment horizontal="right" wrapText="1"/>
    </xf>
    <xf numFmtId="4" fontId="42" fillId="0" borderId="7" xfId="0" applyNumberFormat="1" applyFont="1" applyFill="1" applyBorder="1" applyAlignment="1">
      <alignment horizontal="right" wrapText="1"/>
    </xf>
    <xf numFmtId="4" fontId="43" fillId="0" borderId="7" xfId="0" applyNumberFormat="1" applyFont="1" applyFill="1" applyBorder="1" applyAlignment="1">
      <alignment horizontal="right" wrapText="1"/>
    </xf>
    <xf numFmtId="3" fontId="21" fillId="0" borderId="7" xfId="0" applyNumberFormat="1" applyFont="1" applyFill="1" applyBorder="1" applyAlignment="1">
      <alignment vertical="center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4" fillId="0" borderId="7" xfId="0" applyNumberFormat="1" applyFont="1" applyFill="1" applyBorder="1" applyAlignment="1" applyProtection="1">
      <alignment horizontal="center" vertical="center" wrapText="1"/>
    </xf>
    <xf numFmtId="49" fontId="45" fillId="0" borderId="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8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/>
    <xf numFmtId="49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horizontal="left" wrapText="1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wrapText="1"/>
    </xf>
    <xf numFmtId="0" fontId="28" fillId="0" borderId="0" xfId="0" applyFont="1" applyFill="1" applyBorder="1"/>
    <xf numFmtId="0" fontId="21" fillId="0" borderId="0" xfId="0" applyFont="1" applyFill="1" applyAlignment="1">
      <alignment vertical="center" wrapText="1"/>
    </xf>
    <xf numFmtId="4" fontId="50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Border="1" applyAlignment="1">
      <alignment horizontal="right" wrapText="1"/>
    </xf>
    <xf numFmtId="49" fontId="52" fillId="0" borderId="0" xfId="0" applyNumberFormat="1" applyFont="1" applyFill="1" applyBorder="1" applyAlignment="1" applyProtection="1"/>
    <xf numFmtId="3" fontId="52" fillId="0" borderId="0" xfId="0" applyNumberFormat="1" applyFont="1" applyFill="1" applyBorder="1" applyAlignment="1">
      <alignment horizontal="center"/>
    </xf>
    <xf numFmtId="3" fontId="52" fillId="0" borderId="0" xfId="0" applyNumberFormat="1" applyFont="1" applyFill="1" applyBorder="1"/>
    <xf numFmtId="0" fontId="31" fillId="0" borderId="7" xfId="0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/>
    </xf>
    <xf numFmtId="3" fontId="21" fillId="0" borderId="0" xfId="0" applyNumberFormat="1" applyFont="1" applyFill="1" applyAlignment="1">
      <alignment vertical="center"/>
    </xf>
    <xf numFmtId="49" fontId="50" fillId="0" borderId="0" xfId="0" applyNumberFormat="1" applyFont="1" applyFill="1" applyBorder="1" applyAlignment="1"/>
    <xf numFmtId="49" fontId="50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 wrapText="1"/>
    </xf>
    <xf numFmtId="3" fontId="51" fillId="0" borderId="0" xfId="0" applyNumberFormat="1" applyFont="1" applyFill="1" applyAlignment="1"/>
    <xf numFmtId="3" fontId="51" fillId="0" borderId="0" xfId="0" applyNumberFormat="1" applyFont="1" applyFill="1" applyBorder="1" applyAlignment="1"/>
    <xf numFmtId="1" fontId="53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39" fillId="0" borderId="0" xfId="0" applyNumberFormat="1" applyFont="1" applyFill="1" applyAlignment="1">
      <alignment horizontal="left"/>
    </xf>
    <xf numFmtId="0" fontId="39" fillId="0" borderId="0" xfId="0" applyFont="1" applyFill="1" applyAlignment="1"/>
    <xf numFmtId="3" fontId="33" fillId="0" borderId="0" xfId="0" applyNumberFormat="1" applyFont="1" applyFill="1" applyBorder="1" applyAlignment="1">
      <alignment horizontal="center" wrapText="1"/>
    </xf>
    <xf numFmtId="4" fontId="29" fillId="0" borderId="0" xfId="0" applyNumberFormat="1" applyFont="1" applyFill="1" applyBorder="1" applyAlignment="1">
      <alignment horizontal="right" wrapText="1"/>
    </xf>
    <xf numFmtId="3" fontId="26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4" fontId="21" fillId="0" borderId="0" xfId="0" applyNumberFormat="1" applyFont="1" applyFill="1" applyBorder="1"/>
    <xf numFmtId="49" fontId="46" fillId="0" borderId="0" xfId="0" applyNumberFormat="1" applyFont="1" applyFill="1" applyAlignment="1" applyProtection="1">
      <alignment horizontal="center"/>
    </xf>
    <xf numFmtId="0" fontId="37" fillId="0" borderId="0" xfId="0" applyNumberFormat="1" applyFont="1" applyFill="1" applyAlignment="1" applyProtection="1">
      <alignment horizontal="center" vertical="top"/>
    </xf>
    <xf numFmtId="3" fontId="47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39" fillId="0" borderId="0" xfId="0" applyNumberFormat="1" applyFont="1" applyFill="1" applyAlignment="1">
      <alignment horizontal="left"/>
    </xf>
    <xf numFmtId="49" fontId="28" fillId="0" borderId="0" xfId="0" applyNumberFormat="1" applyFont="1" applyFill="1" applyBorder="1" applyAlignment="1" applyProtection="1"/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8" fillId="0" borderId="7" xfId="0" applyNumberFormat="1" applyFont="1" applyFill="1" applyBorder="1" applyAlignment="1" applyProtection="1">
      <alignment horizontal="center" vertical="center" wrapText="1"/>
    </xf>
    <xf numFmtId="49" fontId="46" fillId="0" borderId="0" xfId="0" applyNumberFormat="1" applyFont="1" applyFill="1" applyAlignment="1" applyProtection="1">
      <alignment horizontal="center" vertical="center"/>
    </xf>
    <xf numFmtId="0" fontId="39" fillId="0" borderId="0" xfId="0" applyFont="1" applyFill="1" applyAlignment="1"/>
    <xf numFmtId="0" fontId="40" fillId="0" borderId="0" xfId="0" applyNumberFormat="1" applyFont="1" applyFill="1" applyBorder="1" applyAlignment="1" applyProtection="1">
      <alignment horizontal="center" vertical="top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G1703"/>
  <sheetViews>
    <sheetView showGridLines="0" showZeros="0" view="pageBreakPreview" zoomScale="60" zoomScaleNormal="82" workbookViewId="0">
      <pane xSplit="4" ySplit="16" topLeftCell="E319" activePane="bottomRight" state="frozen"/>
      <selection pane="topRight" activeCell="E1" sqref="E1"/>
      <selection pane="bottomLeft" activeCell="A17" sqref="A17"/>
      <selection pane="bottomRight" activeCell="N327" sqref="N327"/>
    </sheetView>
  </sheetViews>
  <sheetFormatPr defaultColWidth="9.1640625" defaultRowHeight="15" x14ac:dyDescent="0.25"/>
  <cols>
    <col min="1" max="1" width="16.1640625" style="57" customWidth="1"/>
    <col min="2" max="2" width="15.33203125" style="18" customWidth="1"/>
    <col min="3" max="3" width="14.6640625" style="18" customWidth="1"/>
    <col min="4" max="4" width="62" style="26" customWidth="1"/>
    <col min="5" max="5" width="22.83203125" style="47" customWidth="1"/>
    <col min="6" max="6" width="22.5" style="47" customWidth="1"/>
    <col min="7" max="7" width="23.83203125" style="47" customWidth="1"/>
    <col min="8" max="8" width="19.33203125" style="47" customWidth="1"/>
    <col min="9" max="9" width="19.6640625" style="47" customWidth="1"/>
    <col min="10" max="10" width="20.5" style="47" customWidth="1"/>
    <col min="11" max="11" width="22.5" style="47" customWidth="1"/>
    <col min="12" max="12" width="18.33203125" style="47" customWidth="1"/>
    <col min="13" max="13" width="19.5" style="47" customWidth="1"/>
    <col min="14" max="14" width="18" style="47" customWidth="1"/>
    <col min="15" max="15" width="21.1640625" style="47" customWidth="1"/>
    <col min="16" max="16" width="23" style="156" bestFit="1" customWidth="1"/>
    <col min="17" max="17" width="11.5" style="28" customWidth="1"/>
    <col min="18" max="18" width="34" style="28" customWidth="1"/>
    <col min="19" max="527" width="9.1640625" style="28"/>
    <col min="528" max="16384" width="9.1640625" style="20"/>
  </cols>
  <sheetData>
    <row r="1" spans="1:527" ht="26.25" customHeight="1" x14ac:dyDescent="0.4">
      <c r="K1" s="152" t="s">
        <v>610</v>
      </c>
      <c r="L1" s="152"/>
      <c r="M1" s="152"/>
      <c r="N1" s="152"/>
      <c r="O1" s="152"/>
      <c r="P1" s="152"/>
    </row>
    <row r="2" spans="1:527" ht="26.25" customHeight="1" x14ac:dyDescent="0.25">
      <c r="K2" s="92" t="s">
        <v>577</v>
      </c>
      <c r="L2" s="92"/>
      <c r="M2" s="92"/>
      <c r="N2" s="92"/>
      <c r="O2" s="92"/>
      <c r="P2" s="92"/>
    </row>
    <row r="3" spans="1:527" ht="26.25" customHeight="1" x14ac:dyDescent="0.4">
      <c r="K3" s="162" t="s">
        <v>576</v>
      </c>
      <c r="L3" s="162"/>
      <c r="M3" s="162"/>
      <c r="N3" s="162"/>
      <c r="O3" s="162"/>
      <c r="P3" s="162"/>
    </row>
    <row r="4" spans="1:527" ht="26.25" customHeight="1" x14ac:dyDescent="0.4">
      <c r="K4" s="162" t="s">
        <v>578</v>
      </c>
      <c r="L4" s="162"/>
      <c r="M4" s="162"/>
      <c r="N4" s="162"/>
      <c r="O4" s="162"/>
      <c r="P4" s="162"/>
    </row>
    <row r="5" spans="1:527" ht="26.25" customHeight="1" x14ac:dyDescent="0.4">
      <c r="K5" s="162" t="s">
        <v>579</v>
      </c>
      <c r="L5" s="162"/>
      <c r="M5" s="162"/>
      <c r="N5" s="162"/>
      <c r="O5" s="162"/>
      <c r="P5" s="162"/>
    </row>
    <row r="6" spans="1:527" ht="28.5" customHeight="1" x14ac:dyDescent="0.4">
      <c r="K6" s="162" t="s">
        <v>611</v>
      </c>
      <c r="L6" s="162"/>
      <c r="M6" s="162"/>
      <c r="N6" s="162"/>
      <c r="O6" s="162"/>
      <c r="P6" s="162"/>
    </row>
    <row r="7" spans="1:527" ht="28.5" customHeight="1" x14ac:dyDescent="0.4">
      <c r="K7" s="151" t="s">
        <v>535</v>
      </c>
      <c r="L7" s="151"/>
      <c r="M7" s="151"/>
      <c r="N7" s="151"/>
      <c r="O7" s="151"/>
      <c r="P7" s="151"/>
    </row>
    <row r="8" spans="1:527" ht="26.25" customHeight="1" x14ac:dyDescent="0.4">
      <c r="K8" s="162" t="s">
        <v>624</v>
      </c>
      <c r="L8" s="162"/>
      <c r="M8" s="162"/>
      <c r="N8" s="162"/>
      <c r="O8" s="162"/>
      <c r="P8" s="162"/>
    </row>
    <row r="9" spans="1:527" ht="26.25" x14ac:dyDescent="0.4">
      <c r="L9" s="62"/>
      <c r="M9" s="62"/>
      <c r="N9" s="62"/>
      <c r="O9" s="62"/>
      <c r="P9" s="62"/>
    </row>
    <row r="10" spans="1:527" s="44" customFormat="1" ht="71.25" customHeight="1" x14ac:dyDescent="0.3">
      <c r="A10" s="164" t="s">
        <v>449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</row>
    <row r="11" spans="1:527" s="44" customFormat="1" ht="23.25" customHeight="1" x14ac:dyDescent="0.35">
      <c r="A11" s="158" t="s">
        <v>587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</row>
    <row r="12" spans="1:527" s="44" customFormat="1" ht="19.5" customHeight="1" x14ac:dyDescent="0.3">
      <c r="A12" s="159" t="s">
        <v>586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</row>
    <row r="13" spans="1:527" s="46" customFormat="1" ht="14.25" customHeight="1" x14ac:dyDescent="0.3">
      <c r="A13" s="55"/>
      <c r="B13" s="50"/>
      <c r="C13" s="50"/>
      <c r="D13" s="1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153" t="s">
        <v>358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</row>
    <row r="14" spans="1:527" s="21" customFormat="1" ht="34.5" customHeight="1" x14ac:dyDescent="0.2">
      <c r="A14" s="165" t="s">
        <v>336</v>
      </c>
      <c r="B14" s="166" t="s">
        <v>337</v>
      </c>
      <c r="C14" s="166" t="s">
        <v>327</v>
      </c>
      <c r="D14" s="166" t="s">
        <v>338</v>
      </c>
      <c r="E14" s="167" t="s">
        <v>224</v>
      </c>
      <c r="F14" s="167"/>
      <c r="G14" s="167"/>
      <c r="H14" s="167"/>
      <c r="I14" s="167"/>
      <c r="J14" s="167" t="s">
        <v>225</v>
      </c>
      <c r="K14" s="167"/>
      <c r="L14" s="167"/>
      <c r="M14" s="167"/>
      <c r="N14" s="167"/>
      <c r="O14" s="167"/>
      <c r="P14" s="167" t="s">
        <v>226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</row>
    <row r="15" spans="1:527" s="21" customFormat="1" ht="19.5" customHeight="1" x14ac:dyDescent="0.2">
      <c r="A15" s="165"/>
      <c r="B15" s="166"/>
      <c r="C15" s="166"/>
      <c r="D15" s="166"/>
      <c r="E15" s="161" t="s">
        <v>328</v>
      </c>
      <c r="F15" s="161" t="s">
        <v>227</v>
      </c>
      <c r="G15" s="160" t="s">
        <v>228</v>
      </c>
      <c r="H15" s="160"/>
      <c r="I15" s="161" t="s">
        <v>229</v>
      </c>
      <c r="J15" s="161" t="s">
        <v>328</v>
      </c>
      <c r="K15" s="161" t="s">
        <v>329</v>
      </c>
      <c r="L15" s="161" t="s">
        <v>227</v>
      </c>
      <c r="M15" s="160" t="s">
        <v>228</v>
      </c>
      <c r="N15" s="160"/>
      <c r="O15" s="161" t="s">
        <v>229</v>
      </c>
      <c r="P15" s="167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</row>
    <row r="16" spans="1:527" s="21" customFormat="1" ht="88.5" customHeight="1" x14ac:dyDescent="0.2">
      <c r="A16" s="165"/>
      <c r="B16" s="166"/>
      <c r="C16" s="166"/>
      <c r="D16" s="166"/>
      <c r="E16" s="161"/>
      <c r="F16" s="161"/>
      <c r="G16" s="150" t="s">
        <v>230</v>
      </c>
      <c r="H16" s="150" t="s">
        <v>231</v>
      </c>
      <c r="I16" s="161"/>
      <c r="J16" s="161"/>
      <c r="K16" s="161"/>
      <c r="L16" s="161"/>
      <c r="M16" s="150" t="s">
        <v>230</v>
      </c>
      <c r="N16" s="150" t="s">
        <v>231</v>
      </c>
      <c r="O16" s="161"/>
      <c r="P16" s="167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</row>
    <row r="17" spans="1:527" s="27" customFormat="1" ht="24" customHeight="1" x14ac:dyDescent="0.25">
      <c r="A17" s="120" t="s">
        <v>149</v>
      </c>
      <c r="B17" s="121"/>
      <c r="C17" s="121"/>
      <c r="D17" s="122" t="s">
        <v>35</v>
      </c>
      <c r="E17" s="95">
        <f>E18</f>
        <v>260134435.34</v>
      </c>
      <c r="F17" s="95">
        <f t="shared" ref="F17:J17" si="0">F18</f>
        <v>197455739.34</v>
      </c>
      <c r="G17" s="95">
        <f t="shared" si="0"/>
        <v>107772335</v>
      </c>
      <c r="H17" s="95">
        <f t="shared" si="0"/>
        <v>5918057</v>
      </c>
      <c r="I17" s="95">
        <f t="shared" si="0"/>
        <v>62678696</v>
      </c>
      <c r="J17" s="95">
        <f t="shared" si="0"/>
        <v>40104759.659999996</v>
      </c>
      <c r="K17" s="95">
        <f t="shared" ref="K17" si="1">K18</f>
        <v>39581964.659999996</v>
      </c>
      <c r="L17" s="95">
        <f t="shared" ref="L17" si="2">L18</f>
        <v>522795</v>
      </c>
      <c r="M17" s="95">
        <f t="shared" ref="M17" si="3">M18</f>
        <v>119291</v>
      </c>
      <c r="N17" s="95">
        <f t="shared" ref="N17" si="4">N18</f>
        <v>51832</v>
      </c>
      <c r="O17" s="95">
        <f t="shared" ref="O17:P17" si="5">O18</f>
        <v>39581964.659999996</v>
      </c>
      <c r="P17" s="95">
        <f t="shared" si="5"/>
        <v>300239195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</row>
    <row r="18" spans="1:527" s="34" customFormat="1" ht="36" customHeight="1" x14ac:dyDescent="0.25">
      <c r="A18" s="96" t="s">
        <v>150</v>
      </c>
      <c r="B18" s="97"/>
      <c r="C18" s="97"/>
      <c r="D18" s="77" t="s">
        <v>520</v>
      </c>
      <c r="E18" s="98">
        <f>E21+E22+E23+E24+E26+E27+E28+E29+E30+E31+E32+E33+E34+E35+E36+E37+E38+E39+E40+E41+E42+E43+E44+E46+E48+E49+E50+E51+E52+E53+E54+E55+E56+E58+E59+E60+E45+E47+E62+E61</f>
        <v>260134435.34</v>
      </c>
      <c r="F18" s="98">
        <f t="shared" ref="F18:P18" si="6">F21+F22+F23+F24+F26+F27+F28+F29+F30+F31+F32+F33+F34+F35+F36+F37+F38+F39+F40+F41+F42+F43+F44+F46+F48+F49+F50+F51+F52+F53+F54+F55+F56+F58+F59+F60+F45+F47+F62+F61</f>
        <v>197455739.34</v>
      </c>
      <c r="G18" s="98">
        <f t="shared" si="6"/>
        <v>107772335</v>
      </c>
      <c r="H18" s="98">
        <f t="shared" si="6"/>
        <v>5918057</v>
      </c>
      <c r="I18" s="98">
        <f t="shared" si="6"/>
        <v>62678696</v>
      </c>
      <c r="J18" s="98">
        <f t="shared" si="6"/>
        <v>40104759.659999996</v>
      </c>
      <c r="K18" s="98">
        <f t="shared" si="6"/>
        <v>39581964.659999996</v>
      </c>
      <c r="L18" s="98">
        <f t="shared" si="6"/>
        <v>522795</v>
      </c>
      <c r="M18" s="98">
        <f t="shared" si="6"/>
        <v>119291</v>
      </c>
      <c r="N18" s="98">
        <f t="shared" si="6"/>
        <v>51832</v>
      </c>
      <c r="O18" s="98">
        <f t="shared" si="6"/>
        <v>39581964.659999996</v>
      </c>
      <c r="P18" s="98">
        <f t="shared" si="6"/>
        <v>300239195</v>
      </c>
      <c r="Q18" s="33"/>
      <c r="R18" s="32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</row>
    <row r="19" spans="1:527" s="34" customFormat="1" ht="63" x14ac:dyDescent="0.25">
      <c r="A19" s="96"/>
      <c r="B19" s="97"/>
      <c r="C19" s="97"/>
      <c r="D19" s="77" t="s">
        <v>382</v>
      </c>
      <c r="E19" s="98">
        <f>E57</f>
        <v>588815</v>
      </c>
      <c r="F19" s="98">
        <f t="shared" ref="F19:P19" si="7">F57</f>
        <v>588815</v>
      </c>
      <c r="G19" s="98">
        <f t="shared" si="7"/>
        <v>482635</v>
      </c>
      <c r="H19" s="98">
        <f t="shared" si="7"/>
        <v>0</v>
      </c>
      <c r="I19" s="98">
        <f t="shared" si="7"/>
        <v>0</v>
      </c>
      <c r="J19" s="98">
        <f t="shared" si="7"/>
        <v>0</v>
      </c>
      <c r="K19" s="98">
        <f t="shared" si="7"/>
        <v>0</v>
      </c>
      <c r="L19" s="98">
        <f t="shared" si="7"/>
        <v>0</v>
      </c>
      <c r="M19" s="98">
        <f t="shared" si="7"/>
        <v>0</v>
      </c>
      <c r="N19" s="98">
        <f t="shared" si="7"/>
        <v>0</v>
      </c>
      <c r="O19" s="98">
        <f t="shared" si="7"/>
        <v>0</v>
      </c>
      <c r="P19" s="98">
        <f t="shared" si="7"/>
        <v>588815</v>
      </c>
      <c r="Q19" s="33"/>
      <c r="R19" s="32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</row>
    <row r="20" spans="1:527" s="34" customFormat="1" ht="63" hidden="1" customHeight="1" x14ac:dyDescent="0.25">
      <c r="A20" s="96"/>
      <c r="B20" s="97"/>
      <c r="C20" s="97"/>
      <c r="D20" s="77" t="str">
        <f>'дод 8'!C23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0" s="98">
        <f>E25</f>
        <v>0</v>
      </c>
      <c r="F20" s="98">
        <f t="shared" ref="F20:P20" si="8">F25</f>
        <v>0</v>
      </c>
      <c r="G20" s="98">
        <f t="shared" si="8"/>
        <v>0</v>
      </c>
      <c r="H20" s="98">
        <f t="shared" si="8"/>
        <v>0</v>
      </c>
      <c r="I20" s="98">
        <f t="shared" si="8"/>
        <v>0</v>
      </c>
      <c r="J20" s="98">
        <f t="shared" si="8"/>
        <v>0</v>
      </c>
      <c r="K20" s="98">
        <f t="shared" si="8"/>
        <v>0</v>
      </c>
      <c r="L20" s="98">
        <f t="shared" si="8"/>
        <v>0</v>
      </c>
      <c r="M20" s="98">
        <f t="shared" si="8"/>
        <v>0</v>
      </c>
      <c r="N20" s="98">
        <f t="shared" si="8"/>
        <v>0</v>
      </c>
      <c r="O20" s="98">
        <f t="shared" si="8"/>
        <v>0</v>
      </c>
      <c r="P20" s="98">
        <f t="shared" si="8"/>
        <v>0</v>
      </c>
      <c r="Q20" s="33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</row>
    <row r="21" spans="1:527" s="22" customFormat="1" ht="48" customHeight="1" x14ac:dyDescent="0.25">
      <c r="A21" s="59" t="s">
        <v>151</v>
      </c>
      <c r="B21" s="93" t="str">
        <f>'дод 8'!A19</f>
        <v>0160</v>
      </c>
      <c r="C21" s="93" t="str">
        <f>'дод 8'!B19</f>
        <v>0111</v>
      </c>
      <c r="D21" s="36" t="s">
        <v>494</v>
      </c>
      <c r="E21" s="99">
        <f t="shared" ref="E21:E62" si="9">F21+I21</f>
        <v>113179546</v>
      </c>
      <c r="F21" s="99">
        <f>112926046+38700+214800</f>
        <v>113179546</v>
      </c>
      <c r="G21" s="99">
        <f>82129700+31700</f>
        <v>82161400</v>
      </c>
      <c r="H21" s="99">
        <f>3011146+214800</f>
        <v>3225946</v>
      </c>
      <c r="I21" s="99"/>
      <c r="J21" s="99">
        <f>L21+O21</f>
        <v>0</v>
      </c>
      <c r="K21" s="99">
        <v>0</v>
      </c>
      <c r="L21" s="99"/>
      <c r="M21" s="99"/>
      <c r="N21" s="99"/>
      <c r="O21" s="99">
        <v>0</v>
      </c>
      <c r="P21" s="99">
        <f t="shared" ref="P21:P62" si="10">E21+J21</f>
        <v>113179546</v>
      </c>
      <c r="Q21" s="23"/>
      <c r="R21" s="32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</row>
    <row r="22" spans="1:527" s="22" customFormat="1" ht="35.25" hidden="1" customHeight="1" x14ac:dyDescent="0.25">
      <c r="A22" s="59" t="s">
        <v>452</v>
      </c>
      <c r="B22" s="59" t="s">
        <v>90</v>
      </c>
      <c r="C22" s="59" t="s">
        <v>462</v>
      </c>
      <c r="D22" s="36" t="s">
        <v>453</v>
      </c>
      <c r="E22" s="99">
        <f t="shared" si="9"/>
        <v>0</v>
      </c>
      <c r="F22" s="99">
        <f>200000-200000</f>
        <v>0</v>
      </c>
      <c r="G22" s="99"/>
      <c r="H22" s="99"/>
      <c r="I22" s="99"/>
      <c r="J22" s="99">
        <f>L22+O22</f>
        <v>0</v>
      </c>
      <c r="K22" s="99"/>
      <c r="L22" s="99"/>
      <c r="M22" s="99"/>
      <c r="N22" s="99"/>
      <c r="O22" s="99"/>
      <c r="P22" s="99">
        <f t="shared" si="10"/>
        <v>0</v>
      </c>
      <c r="Q22" s="23"/>
      <c r="R22" s="32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</row>
    <row r="23" spans="1:527" s="22" customFormat="1" ht="28.5" customHeight="1" x14ac:dyDescent="0.25">
      <c r="A23" s="59" t="s">
        <v>241</v>
      </c>
      <c r="B23" s="93" t="str">
        <f>'дод 8'!A21</f>
        <v>0180</v>
      </c>
      <c r="C23" s="93" t="str">
        <f>'дод 8'!B21</f>
        <v>0133</v>
      </c>
      <c r="D23" s="60" t="str">
        <f>'дод 8'!C21</f>
        <v>Інша діяльність у сфері державного управління</v>
      </c>
      <c r="E23" s="99">
        <f t="shared" si="9"/>
        <v>396000</v>
      </c>
      <c r="F23" s="99">
        <v>396000</v>
      </c>
      <c r="G23" s="99"/>
      <c r="H23" s="99"/>
      <c r="I23" s="99"/>
      <c r="J23" s="99">
        <f t="shared" ref="J23:J25" si="11">L23+O23</f>
        <v>0</v>
      </c>
      <c r="K23" s="99"/>
      <c r="L23" s="99"/>
      <c r="M23" s="99"/>
      <c r="N23" s="99"/>
      <c r="O23" s="99"/>
      <c r="P23" s="99">
        <f t="shared" si="10"/>
        <v>396000</v>
      </c>
      <c r="Q23" s="23"/>
      <c r="R23" s="32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</row>
    <row r="24" spans="1:527" s="22" customFormat="1" ht="15.75" hidden="1" customHeight="1" x14ac:dyDescent="0.25">
      <c r="A24" s="59" t="s">
        <v>434</v>
      </c>
      <c r="B24" s="59" t="s">
        <v>435</v>
      </c>
      <c r="C24" s="59" t="s">
        <v>119</v>
      </c>
      <c r="D24" s="60" t="s">
        <v>436</v>
      </c>
      <c r="E24" s="99">
        <f t="shared" si="9"/>
        <v>0</v>
      </c>
      <c r="F24" s="99"/>
      <c r="G24" s="99"/>
      <c r="H24" s="99"/>
      <c r="I24" s="99"/>
      <c r="J24" s="99">
        <f t="shared" si="11"/>
        <v>0</v>
      </c>
      <c r="K24" s="99"/>
      <c r="L24" s="99"/>
      <c r="M24" s="99"/>
      <c r="N24" s="99"/>
      <c r="O24" s="99"/>
      <c r="P24" s="99">
        <f t="shared" si="10"/>
        <v>0</v>
      </c>
      <c r="Q24" s="23"/>
      <c r="R24" s="32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</row>
    <row r="25" spans="1:527" s="24" customFormat="1" ht="60" hidden="1" customHeight="1" x14ac:dyDescent="0.25">
      <c r="A25" s="84"/>
      <c r="B25" s="100"/>
      <c r="C25" s="100"/>
      <c r="D25" s="87" t="str">
        <f>'дод 8'!C23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5" s="101">
        <f t="shared" si="9"/>
        <v>0</v>
      </c>
      <c r="F25" s="101"/>
      <c r="G25" s="101"/>
      <c r="H25" s="101"/>
      <c r="I25" s="101"/>
      <c r="J25" s="101">
        <f t="shared" si="11"/>
        <v>0</v>
      </c>
      <c r="K25" s="101"/>
      <c r="L25" s="101"/>
      <c r="M25" s="101"/>
      <c r="N25" s="101"/>
      <c r="O25" s="101"/>
      <c r="P25" s="101">
        <f t="shared" si="10"/>
        <v>0</v>
      </c>
      <c r="Q25" s="30"/>
      <c r="R25" s="32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</row>
    <row r="26" spans="1:527" s="22" customFormat="1" ht="46.5" customHeight="1" x14ac:dyDescent="0.25">
      <c r="A26" s="59" t="s">
        <v>257</v>
      </c>
      <c r="B26" s="93" t="str">
        <f>'дод 8'!A108</f>
        <v>3033</v>
      </c>
      <c r="C26" s="93" t="str">
        <f>'дод 8'!B108</f>
        <v>1070</v>
      </c>
      <c r="D26" s="60" t="s">
        <v>411</v>
      </c>
      <c r="E26" s="99">
        <f t="shared" si="9"/>
        <v>350460</v>
      </c>
      <c r="F26" s="99">
        <f>314360+36100</f>
        <v>350460</v>
      </c>
      <c r="G26" s="99"/>
      <c r="H26" s="99"/>
      <c r="I26" s="99"/>
      <c r="J26" s="99">
        <f t="shared" ref="J26:J62" si="12">L26+O26</f>
        <v>0</v>
      </c>
      <c r="K26" s="99"/>
      <c r="L26" s="99"/>
      <c r="M26" s="99"/>
      <c r="N26" s="99"/>
      <c r="O26" s="99"/>
      <c r="P26" s="99">
        <f t="shared" si="10"/>
        <v>350460</v>
      </c>
      <c r="Q26" s="23"/>
      <c r="R26" s="32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</row>
    <row r="27" spans="1:527" s="22" customFormat="1" ht="31.5" customHeight="1" x14ac:dyDescent="0.25">
      <c r="A27" s="59" t="s">
        <v>152</v>
      </c>
      <c r="B27" s="93" t="str">
        <f>'дод 8'!A111</f>
        <v>3036</v>
      </c>
      <c r="C27" s="93" t="str">
        <f>'дод 8'!B111</f>
        <v>1070</v>
      </c>
      <c r="D27" s="60" t="str">
        <f>'дод 8'!C111</f>
        <v>Компенсаційні виплати на пільговий проїзд електротранспортом окремим категоріям громадян</v>
      </c>
      <c r="E27" s="99">
        <f t="shared" si="9"/>
        <v>467186</v>
      </c>
      <c r="F27" s="99">
        <f>465886-45400+46700</f>
        <v>467186</v>
      </c>
      <c r="G27" s="99"/>
      <c r="H27" s="99"/>
      <c r="I27" s="99"/>
      <c r="J27" s="99">
        <f t="shared" si="12"/>
        <v>0</v>
      </c>
      <c r="K27" s="99"/>
      <c r="L27" s="99"/>
      <c r="M27" s="99"/>
      <c r="N27" s="99"/>
      <c r="O27" s="99"/>
      <c r="P27" s="99">
        <f t="shared" si="10"/>
        <v>467186</v>
      </c>
      <c r="Q27" s="23"/>
      <c r="R27" s="32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</row>
    <row r="28" spans="1:527" s="22" customFormat="1" ht="36" customHeight="1" x14ac:dyDescent="0.25">
      <c r="A28" s="59" t="s">
        <v>153</v>
      </c>
      <c r="B28" s="93" t="str">
        <f>'дод 8'!A119</f>
        <v>3121</v>
      </c>
      <c r="C28" s="93" t="str">
        <f>'дод 8'!B119</f>
        <v>1040</v>
      </c>
      <c r="D28" s="60" t="s">
        <v>501</v>
      </c>
      <c r="E28" s="99">
        <f t="shared" si="9"/>
        <v>3220140</v>
      </c>
      <c r="F28" s="99">
        <f>3210440+9700</f>
        <v>3220140</v>
      </c>
      <c r="G28" s="99">
        <v>2407050</v>
      </c>
      <c r="H28" s="99">
        <f>43630+9700</f>
        <v>53330</v>
      </c>
      <c r="I28" s="99"/>
      <c r="J28" s="99">
        <f t="shared" si="12"/>
        <v>0</v>
      </c>
      <c r="K28" s="99"/>
      <c r="L28" s="99"/>
      <c r="M28" s="99"/>
      <c r="N28" s="99"/>
      <c r="O28" s="99"/>
      <c r="P28" s="99">
        <f t="shared" si="10"/>
        <v>3220140</v>
      </c>
      <c r="Q28" s="23"/>
      <c r="R28" s="32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</row>
    <row r="29" spans="1:527" s="22" customFormat="1" ht="48.75" customHeight="1" x14ac:dyDescent="0.25">
      <c r="A29" s="59" t="s">
        <v>154</v>
      </c>
      <c r="B29" s="93" t="str">
        <f>'дод 8'!A120</f>
        <v>3131</v>
      </c>
      <c r="C29" s="93" t="str">
        <f>'дод 8'!B120</f>
        <v>1040</v>
      </c>
      <c r="D29" s="60" t="str">
        <f>'дод 8'!C120</f>
        <v>Здійснення заходів та реалізація проектів на виконання Державної цільової соціальної програми "Молодь України"</v>
      </c>
      <c r="E29" s="99">
        <f t="shared" si="9"/>
        <v>783850</v>
      </c>
      <c r="F29" s="99">
        <v>783850</v>
      </c>
      <c r="G29" s="99"/>
      <c r="H29" s="99"/>
      <c r="I29" s="99"/>
      <c r="J29" s="99">
        <f t="shared" si="12"/>
        <v>0</v>
      </c>
      <c r="K29" s="99"/>
      <c r="L29" s="99"/>
      <c r="M29" s="99"/>
      <c r="N29" s="99"/>
      <c r="O29" s="99"/>
      <c r="P29" s="99">
        <f t="shared" si="10"/>
        <v>783850</v>
      </c>
      <c r="Q29" s="23"/>
      <c r="R29" s="32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</row>
    <row r="30" spans="1:527" s="22" customFormat="1" ht="78.75" x14ac:dyDescent="0.25">
      <c r="A30" s="59" t="s">
        <v>155</v>
      </c>
      <c r="B30" s="93" t="str">
        <f>'дод 8'!A121</f>
        <v>3140</v>
      </c>
      <c r="C30" s="93" t="str">
        <f>'дод 8'!B121</f>
        <v>1040</v>
      </c>
      <c r="D30" s="60" t="s">
        <v>20</v>
      </c>
      <c r="E30" s="99">
        <f t="shared" si="9"/>
        <v>280000</v>
      </c>
      <c r="F30" s="99">
        <v>280000</v>
      </c>
      <c r="G30" s="99"/>
      <c r="H30" s="99"/>
      <c r="I30" s="99"/>
      <c r="J30" s="99">
        <f t="shared" si="12"/>
        <v>0</v>
      </c>
      <c r="K30" s="99"/>
      <c r="L30" s="99"/>
      <c r="M30" s="99"/>
      <c r="N30" s="99"/>
      <c r="O30" s="99"/>
      <c r="P30" s="99">
        <f t="shared" si="10"/>
        <v>280000</v>
      </c>
      <c r="Q30" s="23"/>
      <c r="R30" s="32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</row>
    <row r="31" spans="1:527" s="22" customFormat="1" ht="32.25" customHeight="1" x14ac:dyDescent="0.25">
      <c r="A31" s="59" t="s">
        <v>305</v>
      </c>
      <c r="B31" s="93" t="str">
        <f>'дод 8'!A138</f>
        <v>3241</v>
      </c>
      <c r="C31" s="93" t="str">
        <f>'дод 8'!B138</f>
        <v>1090</v>
      </c>
      <c r="D31" s="60" t="str">
        <f>'дод 8'!C138</f>
        <v>Забезпечення діяльності інших закладів у сфері соціального захисту і соціального забезпечення</v>
      </c>
      <c r="E31" s="99">
        <f t="shared" si="9"/>
        <v>1552892</v>
      </c>
      <c r="F31" s="99">
        <f>1539992+12900</f>
        <v>1552892</v>
      </c>
      <c r="G31" s="99">
        <v>1078950</v>
      </c>
      <c r="H31" s="99">
        <f>118232+12900</f>
        <v>131132</v>
      </c>
      <c r="I31" s="99"/>
      <c r="J31" s="99">
        <f t="shared" si="12"/>
        <v>0</v>
      </c>
      <c r="K31" s="99"/>
      <c r="L31" s="99"/>
      <c r="M31" s="99"/>
      <c r="N31" s="99"/>
      <c r="O31" s="99"/>
      <c r="P31" s="99">
        <f t="shared" si="10"/>
        <v>1552892</v>
      </c>
      <c r="Q31" s="23"/>
      <c r="R31" s="32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</row>
    <row r="32" spans="1:527" s="22" customFormat="1" ht="33.75" customHeight="1" x14ac:dyDescent="0.25">
      <c r="A32" s="59" t="s">
        <v>306</v>
      </c>
      <c r="B32" s="93" t="str">
        <f>'дод 8'!A139</f>
        <v>3242</v>
      </c>
      <c r="C32" s="93" t="str">
        <f>'дод 8'!B139</f>
        <v>1090</v>
      </c>
      <c r="D32" s="60" t="s">
        <v>412</v>
      </c>
      <c r="E32" s="99">
        <f t="shared" si="9"/>
        <v>257400</v>
      </c>
      <c r="F32" s="99">
        <v>257400</v>
      </c>
      <c r="G32" s="99"/>
      <c r="H32" s="99"/>
      <c r="I32" s="99"/>
      <c r="J32" s="99">
        <f t="shared" si="12"/>
        <v>0</v>
      </c>
      <c r="K32" s="99"/>
      <c r="L32" s="99"/>
      <c r="M32" s="99"/>
      <c r="N32" s="99"/>
      <c r="O32" s="99"/>
      <c r="P32" s="99">
        <f t="shared" si="10"/>
        <v>257400</v>
      </c>
      <c r="Q32" s="23"/>
      <c r="R32" s="32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</row>
    <row r="33" spans="1:527" s="22" customFormat="1" ht="49.5" customHeight="1" x14ac:dyDescent="0.25">
      <c r="A33" s="59" t="s">
        <v>318</v>
      </c>
      <c r="B33" s="93" t="str">
        <f>'дод 8'!A143</f>
        <v>4060</v>
      </c>
      <c r="C33" s="93" t="str">
        <f>'дод 8'!B143</f>
        <v>0828</v>
      </c>
      <c r="D33" s="60" t="s">
        <v>321</v>
      </c>
      <c r="E33" s="99">
        <f t="shared" si="9"/>
        <v>4909309</v>
      </c>
      <c r="F33" s="102">
        <f>4945509-36200</f>
        <v>4909309</v>
      </c>
      <c r="G33" s="99">
        <v>2526200</v>
      </c>
      <c r="H33" s="99">
        <f>724709-36200</f>
        <v>688509</v>
      </c>
      <c r="I33" s="99"/>
      <c r="J33" s="99">
        <f t="shared" si="12"/>
        <v>0</v>
      </c>
      <c r="K33" s="99"/>
      <c r="L33" s="99"/>
      <c r="M33" s="99"/>
      <c r="N33" s="99"/>
      <c r="O33" s="99"/>
      <c r="P33" s="99">
        <f t="shared" si="10"/>
        <v>4909309</v>
      </c>
      <c r="Q33" s="23"/>
      <c r="R33" s="32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</row>
    <row r="34" spans="1:527" s="22" customFormat="1" ht="30.75" customHeight="1" x14ac:dyDescent="0.25">
      <c r="A34" s="59" t="s">
        <v>303</v>
      </c>
      <c r="B34" s="93" t="str">
        <f>'дод 8'!A144</f>
        <v>4081</v>
      </c>
      <c r="C34" s="93" t="str">
        <f>'дод 8'!B144</f>
        <v>0829</v>
      </c>
      <c r="D34" s="60" t="s">
        <v>343</v>
      </c>
      <c r="E34" s="99">
        <f t="shared" si="9"/>
        <v>3073881</v>
      </c>
      <c r="F34" s="99">
        <f>2963381+92000+18500</f>
        <v>3073881</v>
      </c>
      <c r="G34" s="99">
        <f>1687000-15000</f>
        <v>1672000</v>
      </c>
      <c r="H34" s="99">
        <f>93181+18500</f>
        <v>111681</v>
      </c>
      <c r="I34" s="99"/>
      <c r="J34" s="99">
        <f t="shared" si="12"/>
        <v>65000</v>
      </c>
      <c r="K34" s="99">
        <v>65000</v>
      </c>
      <c r="L34" s="99"/>
      <c r="M34" s="99"/>
      <c r="N34" s="99"/>
      <c r="O34" s="99">
        <v>65000</v>
      </c>
      <c r="P34" s="99">
        <f t="shared" si="10"/>
        <v>3138881</v>
      </c>
      <c r="Q34" s="23"/>
      <c r="R34" s="32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</row>
    <row r="35" spans="1:527" s="22" customFormat="1" ht="25.5" customHeight="1" x14ac:dyDescent="0.25">
      <c r="A35" s="59" t="s">
        <v>304</v>
      </c>
      <c r="B35" s="93" t="str">
        <f>'дод 8'!A145</f>
        <v>4082</v>
      </c>
      <c r="C35" s="93" t="str">
        <f>'дод 8'!B145</f>
        <v>0829</v>
      </c>
      <c r="D35" s="60" t="s">
        <v>295</v>
      </c>
      <c r="E35" s="99">
        <f t="shared" si="9"/>
        <v>417511</v>
      </c>
      <c r="F35" s="99">
        <f>424181-6670</f>
        <v>417511</v>
      </c>
      <c r="G35" s="99"/>
      <c r="H35" s="99"/>
      <c r="I35" s="99"/>
      <c r="J35" s="99">
        <f t="shared" si="12"/>
        <v>0</v>
      </c>
      <c r="K35" s="99"/>
      <c r="L35" s="99"/>
      <c r="M35" s="99"/>
      <c r="N35" s="99"/>
      <c r="O35" s="99"/>
      <c r="P35" s="99">
        <f t="shared" si="10"/>
        <v>417511</v>
      </c>
      <c r="Q35" s="23"/>
      <c r="R35" s="32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</row>
    <row r="36" spans="1:527" s="22" customFormat="1" ht="36.75" customHeight="1" x14ac:dyDescent="0.25">
      <c r="A36" s="103" t="s">
        <v>156</v>
      </c>
      <c r="B36" s="42" t="str">
        <f>'дод 8'!A148</f>
        <v>5011</v>
      </c>
      <c r="C36" s="42" t="str">
        <f>'дод 8'!B148</f>
        <v>0810</v>
      </c>
      <c r="D36" s="36" t="s">
        <v>21</v>
      </c>
      <c r="E36" s="99">
        <f t="shared" si="9"/>
        <v>710000</v>
      </c>
      <c r="F36" s="99">
        <v>710000</v>
      </c>
      <c r="G36" s="99"/>
      <c r="H36" s="99"/>
      <c r="I36" s="99"/>
      <c r="J36" s="99">
        <f t="shared" si="12"/>
        <v>0</v>
      </c>
      <c r="K36" s="99"/>
      <c r="L36" s="99"/>
      <c r="M36" s="99"/>
      <c r="N36" s="99"/>
      <c r="O36" s="99"/>
      <c r="P36" s="99">
        <f t="shared" si="10"/>
        <v>710000</v>
      </c>
      <c r="Q36" s="23"/>
      <c r="R36" s="32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</row>
    <row r="37" spans="1:527" s="22" customFormat="1" ht="34.5" customHeight="1" x14ac:dyDescent="0.25">
      <c r="A37" s="103" t="s">
        <v>157</v>
      </c>
      <c r="B37" s="42" t="str">
        <f>'дод 8'!A149</f>
        <v>5012</v>
      </c>
      <c r="C37" s="42" t="str">
        <f>'дод 8'!B149</f>
        <v>0810</v>
      </c>
      <c r="D37" s="36" t="s">
        <v>16</v>
      </c>
      <c r="E37" s="99">
        <f t="shared" si="9"/>
        <v>1031480</v>
      </c>
      <c r="F37" s="99">
        <v>1031480</v>
      </c>
      <c r="G37" s="99"/>
      <c r="H37" s="99"/>
      <c r="I37" s="99"/>
      <c r="J37" s="99">
        <f t="shared" si="12"/>
        <v>0</v>
      </c>
      <c r="K37" s="99"/>
      <c r="L37" s="99"/>
      <c r="M37" s="99"/>
      <c r="N37" s="99"/>
      <c r="O37" s="99"/>
      <c r="P37" s="99">
        <f t="shared" si="10"/>
        <v>1031480</v>
      </c>
      <c r="Q37" s="23"/>
      <c r="R37" s="32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</row>
    <row r="38" spans="1:527" s="22" customFormat="1" ht="34.5" customHeight="1" x14ac:dyDescent="0.25">
      <c r="A38" s="103" t="s">
        <v>158</v>
      </c>
      <c r="B38" s="42" t="str">
        <f>'дод 8'!A150</f>
        <v>5031</v>
      </c>
      <c r="C38" s="42" t="str">
        <f>'дод 8'!B150</f>
        <v>0810</v>
      </c>
      <c r="D38" s="36" t="s">
        <v>605</v>
      </c>
      <c r="E38" s="99">
        <f t="shared" si="9"/>
        <v>18195883</v>
      </c>
      <c r="F38" s="99">
        <f>18039683+5000+81600+69600</f>
        <v>18195883</v>
      </c>
      <c r="G38" s="99">
        <f>12968625-3090+66900</f>
        <v>13032435</v>
      </c>
      <c r="H38" s="99">
        <f>840273+69600</f>
        <v>909873</v>
      </c>
      <c r="I38" s="99"/>
      <c r="J38" s="99">
        <f t="shared" si="12"/>
        <v>200700</v>
      </c>
      <c r="K38" s="99">
        <v>200700</v>
      </c>
      <c r="L38" s="99"/>
      <c r="M38" s="99"/>
      <c r="N38" s="99"/>
      <c r="O38" s="99">
        <v>200700</v>
      </c>
      <c r="P38" s="99">
        <f t="shared" si="10"/>
        <v>18396583</v>
      </c>
      <c r="Q38" s="23"/>
      <c r="R38" s="32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</row>
    <row r="39" spans="1:527" s="22" customFormat="1" ht="33.75" customHeight="1" x14ac:dyDescent="0.25">
      <c r="A39" s="103" t="s">
        <v>357</v>
      </c>
      <c r="B39" s="42" t="str">
        <f>'дод 8'!A152</f>
        <v>5032</v>
      </c>
      <c r="C39" s="42" t="str">
        <f>'дод 8'!B152</f>
        <v>0810</v>
      </c>
      <c r="D39" s="36" t="s">
        <v>22</v>
      </c>
      <c r="E39" s="99">
        <f t="shared" si="9"/>
        <v>14979942</v>
      </c>
      <c r="F39" s="99">
        <f>14952642+10000+17300</f>
        <v>14979942</v>
      </c>
      <c r="G39" s="99"/>
      <c r="H39" s="99"/>
      <c r="I39" s="99"/>
      <c r="J39" s="99">
        <f t="shared" si="12"/>
        <v>372100</v>
      </c>
      <c r="K39" s="99">
        <v>372100</v>
      </c>
      <c r="L39" s="99"/>
      <c r="M39" s="99"/>
      <c r="N39" s="99"/>
      <c r="O39" s="99">
        <v>372100</v>
      </c>
      <c r="P39" s="99">
        <f t="shared" si="10"/>
        <v>15352042</v>
      </c>
      <c r="Q39" s="23"/>
      <c r="R39" s="32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</row>
    <row r="40" spans="1:527" s="22" customFormat="1" ht="63" x14ac:dyDescent="0.25">
      <c r="A40" s="103" t="s">
        <v>159</v>
      </c>
      <c r="B40" s="42" t="str">
        <f>'дод 8'!A153</f>
        <v>5061</v>
      </c>
      <c r="C40" s="42" t="str">
        <f>'дод 8'!B153</f>
        <v>0810</v>
      </c>
      <c r="D40" s="36" t="str">
        <f>'дод 8'!C153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99">
        <f t="shared" si="9"/>
        <v>5088784</v>
      </c>
      <c r="F40" s="99">
        <f>4983184+105600</f>
        <v>5088784</v>
      </c>
      <c r="G40" s="99">
        <v>2987400</v>
      </c>
      <c r="H40" s="99">
        <f>319039+105600</f>
        <v>424639</v>
      </c>
      <c r="I40" s="99"/>
      <c r="J40" s="99">
        <f t="shared" si="12"/>
        <v>1742994</v>
      </c>
      <c r="K40" s="99">
        <v>1530000</v>
      </c>
      <c r="L40" s="99">
        <v>212994</v>
      </c>
      <c r="M40" s="99">
        <v>119291</v>
      </c>
      <c r="N40" s="99">
        <v>50432</v>
      </c>
      <c r="O40" s="99">
        <v>1530000</v>
      </c>
      <c r="P40" s="99">
        <f t="shared" si="10"/>
        <v>6831778</v>
      </c>
      <c r="Q40" s="23"/>
      <c r="R40" s="32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</row>
    <row r="41" spans="1:527" s="22" customFormat="1" ht="47.25" x14ac:dyDescent="0.25">
      <c r="A41" s="103" t="s">
        <v>349</v>
      </c>
      <c r="B41" s="42" t="str">
        <f>'дод 8'!A154</f>
        <v>5062</v>
      </c>
      <c r="C41" s="42" t="str">
        <f>'дод 8'!B154</f>
        <v>0810</v>
      </c>
      <c r="D41" s="36" t="str">
        <f>'дод 8'!C154</f>
        <v>Підтримка спорту вищих досягнень та організацій, які здійснюють фізкультурно-спортивну діяльність в регіоні</v>
      </c>
      <c r="E41" s="99">
        <f t="shared" si="9"/>
        <v>15566395</v>
      </c>
      <c r="F41" s="99">
        <f>14968695+500000+47700+50000</f>
        <v>15566395</v>
      </c>
      <c r="G41" s="99"/>
      <c r="H41" s="99"/>
      <c r="I41" s="99"/>
      <c r="J41" s="99">
        <f t="shared" si="12"/>
        <v>0</v>
      </c>
      <c r="K41" s="99"/>
      <c r="L41" s="99"/>
      <c r="M41" s="99"/>
      <c r="N41" s="99"/>
      <c r="O41" s="99"/>
      <c r="P41" s="99">
        <f t="shared" si="10"/>
        <v>15566395</v>
      </c>
      <c r="Q41" s="23"/>
      <c r="R41" s="32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</row>
    <row r="42" spans="1:527" s="22" customFormat="1" ht="39" customHeight="1" x14ac:dyDescent="0.25">
      <c r="A42" s="103" t="s">
        <v>414</v>
      </c>
      <c r="B42" s="42">
        <v>7325</v>
      </c>
      <c r="C42" s="73" t="s">
        <v>111</v>
      </c>
      <c r="D42" s="6" t="s">
        <v>546</v>
      </c>
      <c r="E42" s="99">
        <f t="shared" si="9"/>
        <v>0</v>
      </c>
      <c r="F42" s="99"/>
      <c r="G42" s="99"/>
      <c r="H42" s="99"/>
      <c r="I42" s="99"/>
      <c r="J42" s="99">
        <f t="shared" si="12"/>
        <v>9790000</v>
      </c>
      <c r="K42" s="99">
        <v>9790000</v>
      </c>
      <c r="L42" s="99"/>
      <c r="M42" s="99"/>
      <c r="N42" s="99"/>
      <c r="O42" s="99">
        <v>9790000</v>
      </c>
      <c r="P42" s="99">
        <f t="shared" si="10"/>
        <v>9790000</v>
      </c>
      <c r="Q42" s="23"/>
      <c r="R42" s="32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</row>
    <row r="43" spans="1:527" s="22" customFormat="1" ht="18.75" x14ac:dyDescent="0.25">
      <c r="A43" s="103" t="s">
        <v>415</v>
      </c>
      <c r="B43" s="42">
        <v>7330</v>
      </c>
      <c r="C43" s="73" t="s">
        <v>111</v>
      </c>
      <c r="D43" s="6" t="s">
        <v>547</v>
      </c>
      <c r="E43" s="99">
        <f t="shared" si="9"/>
        <v>0</v>
      </c>
      <c r="F43" s="99"/>
      <c r="G43" s="99"/>
      <c r="H43" s="99"/>
      <c r="I43" s="99"/>
      <c r="J43" s="99">
        <f t="shared" si="12"/>
        <v>400000</v>
      </c>
      <c r="K43" s="99">
        <v>400000</v>
      </c>
      <c r="L43" s="99"/>
      <c r="M43" s="99"/>
      <c r="N43" s="99"/>
      <c r="O43" s="99">
        <v>400000</v>
      </c>
      <c r="P43" s="99">
        <f t="shared" si="10"/>
        <v>400000</v>
      </c>
      <c r="Q43" s="23"/>
      <c r="R43" s="32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</row>
    <row r="44" spans="1:527" s="22" customFormat="1" ht="31.5" x14ac:dyDescent="0.25">
      <c r="A44" s="103" t="s">
        <v>160</v>
      </c>
      <c r="B44" s="42" t="str">
        <f>'дод 8'!A198</f>
        <v>7412</v>
      </c>
      <c r="C44" s="42" t="str">
        <f>'дод 8'!B198</f>
        <v>0451</v>
      </c>
      <c r="D44" s="36" t="str">
        <f>'дод 8'!C198</f>
        <v>Регулювання цін на послуги місцевого автотранспорту</v>
      </c>
      <c r="E44" s="99">
        <f t="shared" si="9"/>
        <v>6542500</v>
      </c>
      <c r="F44" s="99"/>
      <c r="G44" s="99"/>
      <c r="H44" s="99"/>
      <c r="I44" s="99">
        <v>6542500</v>
      </c>
      <c r="J44" s="99">
        <f t="shared" si="12"/>
        <v>0</v>
      </c>
      <c r="K44" s="99"/>
      <c r="L44" s="99"/>
      <c r="M44" s="99"/>
      <c r="N44" s="99"/>
      <c r="O44" s="99"/>
      <c r="P44" s="99">
        <f t="shared" si="10"/>
        <v>6542500</v>
      </c>
      <c r="Q44" s="23"/>
      <c r="R44" s="32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</row>
    <row r="45" spans="1:527" s="22" customFormat="1" ht="24" customHeight="1" x14ac:dyDescent="0.25">
      <c r="A45" s="103" t="s">
        <v>377</v>
      </c>
      <c r="B45" s="42">
        <f>'дод 8'!A199</f>
        <v>7413</v>
      </c>
      <c r="C45" s="42" t="str">
        <f>'дод 8'!B199</f>
        <v>0451</v>
      </c>
      <c r="D45" s="104" t="str">
        <f>'дод 8'!C199</f>
        <v>Інші заходи у сфері автотранспорту</v>
      </c>
      <c r="E45" s="99">
        <f t="shared" si="9"/>
        <v>12800000</v>
      </c>
      <c r="F45" s="99"/>
      <c r="G45" s="99"/>
      <c r="H45" s="99"/>
      <c r="I45" s="99">
        <v>12800000</v>
      </c>
      <c r="J45" s="99">
        <f t="shared" si="12"/>
        <v>0</v>
      </c>
      <c r="K45" s="99"/>
      <c r="L45" s="99"/>
      <c r="M45" s="99"/>
      <c r="N45" s="99"/>
      <c r="O45" s="99"/>
      <c r="P45" s="99">
        <f t="shared" si="10"/>
        <v>12800000</v>
      </c>
      <c r="Q45" s="23"/>
      <c r="R45" s="32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</row>
    <row r="46" spans="1:527" s="22" customFormat="1" ht="31.5" x14ac:dyDescent="0.25">
      <c r="A46" s="103" t="s">
        <v>567</v>
      </c>
      <c r="B46" s="42">
        <v>7422</v>
      </c>
      <c r="C46" s="103" t="s">
        <v>413</v>
      </c>
      <c r="D46" s="104" t="s">
        <v>568</v>
      </c>
      <c r="E46" s="99">
        <f t="shared" si="9"/>
        <v>5893900</v>
      </c>
      <c r="F46" s="99"/>
      <c r="G46" s="99"/>
      <c r="H46" s="99"/>
      <c r="I46" s="99">
        <f>4314400+1579500</f>
        <v>5893900</v>
      </c>
      <c r="J46" s="99">
        <f t="shared" si="12"/>
        <v>0</v>
      </c>
      <c r="K46" s="99"/>
      <c r="L46" s="99"/>
      <c r="M46" s="99"/>
      <c r="N46" s="99"/>
      <c r="O46" s="99"/>
      <c r="P46" s="99">
        <f t="shared" si="10"/>
        <v>5893900</v>
      </c>
      <c r="Q46" s="23"/>
      <c r="R46" s="32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</row>
    <row r="47" spans="1:527" s="22" customFormat="1" ht="24" customHeight="1" x14ac:dyDescent="0.25">
      <c r="A47" s="103" t="s">
        <v>378</v>
      </c>
      <c r="B47" s="42">
        <f>'дод 8'!A201</f>
        <v>7426</v>
      </c>
      <c r="C47" s="103" t="s">
        <v>413</v>
      </c>
      <c r="D47" s="104" t="str">
        <f>'дод 8'!C201</f>
        <v>Інші заходи у сфері електротранспорту</v>
      </c>
      <c r="E47" s="99">
        <f t="shared" si="9"/>
        <v>37442296</v>
      </c>
      <c r="F47" s="99"/>
      <c r="G47" s="99"/>
      <c r="H47" s="99"/>
      <c r="I47" s="99">
        <v>37442296</v>
      </c>
      <c r="J47" s="99">
        <f t="shared" si="12"/>
        <v>0</v>
      </c>
      <c r="K47" s="99"/>
      <c r="L47" s="99"/>
      <c r="M47" s="99"/>
      <c r="N47" s="99"/>
      <c r="O47" s="99"/>
      <c r="P47" s="99">
        <f t="shared" si="10"/>
        <v>37442296</v>
      </c>
      <c r="Q47" s="23"/>
      <c r="R47" s="32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</row>
    <row r="48" spans="1:527" s="22" customFormat="1" ht="24" customHeight="1" x14ac:dyDescent="0.25">
      <c r="A48" s="103" t="s">
        <v>454</v>
      </c>
      <c r="B48" s="103" t="s">
        <v>455</v>
      </c>
      <c r="C48" s="103" t="s">
        <v>400</v>
      </c>
      <c r="D48" s="104" t="s">
        <v>461</v>
      </c>
      <c r="E48" s="99">
        <f t="shared" si="9"/>
        <v>140000</v>
      </c>
      <c r="F48" s="99">
        <v>140000</v>
      </c>
      <c r="G48" s="99"/>
      <c r="H48" s="99"/>
      <c r="I48" s="99"/>
      <c r="J48" s="99">
        <f t="shared" si="12"/>
        <v>0</v>
      </c>
      <c r="K48" s="99"/>
      <c r="L48" s="99"/>
      <c r="M48" s="99"/>
      <c r="N48" s="99"/>
      <c r="O48" s="99"/>
      <c r="P48" s="99">
        <f t="shared" si="10"/>
        <v>140000</v>
      </c>
      <c r="Q48" s="23"/>
      <c r="R48" s="32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</row>
    <row r="49" spans="1:527" s="22" customFormat="1" ht="30.75" customHeight="1" x14ac:dyDescent="0.25">
      <c r="A49" s="103" t="s">
        <v>233</v>
      </c>
      <c r="B49" s="42" t="str">
        <f>'дод 8'!A211</f>
        <v>7530</v>
      </c>
      <c r="C49" s="42" t="str">
        <f>'дод 8'!B211</f>
        <v>0460</v>
      </c>
      <c r="D49" s="36" t="s">
        <v>234</v>
      </c>
      <c r="E49" s="99">
        <f t="shared" si="9"/>
        <v>6490000</v>
      </c>
      <c r="F49" s="99">
        <f>7250000-280000-480000</f>
        <v>6490000</v>
      </c>
      <c r="G49" s="99"/>
      <c r="H49" s="99"/>
      <c r="I49" s="99"/>
      <c r="J49" s="99">
        <f t="shared" si="12"/>
        <v>3910000</v>
      </c>
      <c r="K49" s="99">
        <f>3150000+280000+480000</f>
        <v>3910000</v>
      </c>
      <c r="L49" s="99"/>
      <c r="M49" s="99"/>
      <c r="N49" s="99"/>
      <c r="O49" s="99">
        <f>3150000+280000+480000</f>
        <v>3910000</v>
      </c>
      <c r="P49" s="99">
        <f t="shared" si="10"/>
        <v>10400000</v>
      </c>
      <c r="Q49" s="23"/>
      <c r="R49" s="32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</row>
    <row r="50" spans="1:527" s="22" customFormat="1" ht="31.5" customHeight="1" x14ac:dyDescent="0.25">
      <c r="A50" s="103" t="s">
        <v>161</v>
      </c>
      <c r="B50" s="42" t="str">
        <f>'дод 8'!A214</f>
        <v>7610</v>
      </c>
      <c r="C50" s="42" t="str">
        <f>'дод 8'!B214</f>
        <v>0411</v>
      </c>
      <c r="D50" s="36" t="str">
        <f>'дод 8'!C214</f>
        <v>Сприяння розвитку малого та середнього підприємництва</v>
      </c>
      <c r="E50" s="99">
        <f t="shared" si="9"/>
        <v>60000</v>
      </c>
      <c r="F50" s="99">
        <v>60000</v>
      </c>
      <c r="G50" s="99"/>
      <c r="H50" s="99"/>
      <c r="I50" s="99"/>
      <c r="J50" s="99">
        <f t="shared" si="12"/>
        <v>0</v>
      </c>
      <c r="K50" s="99"/>
      <c r="L50" s="99"/>
      <c r="M50" s="99"/>
      <c r="N50" s="99"/>
      <c r="O50" s="99"/>
      <c r="P50" s="99">
        <f t="shared" si="10"/>
        <v>60000</v>
      </c>
      <c r="Q50" s="23"/>
      <c r="R50" s="32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</row>
    <row r="51" spans="1:527" s="22" customFormat="1" ht="33.75" customHeight="1" x14ac:dyDescent="0.25">
      <c r="A51" s="103" t="s">
        <v>162</v>
      </c>
      <c r="B51" s="42" t="str">
        <f>'дод 8'!A219</f>
        <v>7670</v>
      </c>
      <c r="C51" s="42" t="str">
        <f>'дод 8'!B219</f>
        <v>0490</v>
      </c>
      <c r="D51" s="36" t="s">
        <v>24</v>
      </c>
      <c r="E51" s="99">
        <f t="shared" si="9"/>
        <v>0</v>
      </c>
      <c r="F51" s="99"/>
      <c r="G51" s="99"/>
      <c r="H51" s="99"/>
      <c r="I51" s="99"/>
      <c r="J51" s="99">
        <f t="shared" si="12"/>
        <v>18997900</v>
      </c>
      <c r="K51" s="99">
        <v>18997900</v>
      </c>
      <c r="L51" s="99"/>
      <c r="M51" s="99"/>
      <c r="N51" s="99"/>
      <c r="O51" s="99">
        <v>18997900</v>
      </c>
      <c r="P51" s="99">
        <f t="shared" si="10"/>
        <v>18997900</v>
      </c>
      <c r="Q51" s="23"/>
      <c r="R51" s="32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</row>
    <row r="52" spans="1:527" s="22" customFormat="1" ht="36.75" customHeight="1" x14ac:dyDescent="0.25">
      <c r="A52" s="103" t="s">
        <v>247</v>
      </c>
      <c r="B52" s="42" t="str">
        <f>'дод 8'!A221</f>
        <v>7680</v>
      </c>
      <c r="C52" s="42" t="str">
        <f>'дод 8'!B221</f>
        <v>0490</v>
      </c>
      <c r="D52" s="36" t="str">
        <f>'дод 8'!C221</f>
        <v>Членські внески до асоціацій органів місцевого самоврядування</v>
      </c>
      <c r="E52" s="99">
        <f t="shared" si="9"/>
        <v>356337</v>
      </c>
      <c r="F52" s="99">
        <v>356337</v>
      </c>
      <c r="G52" s="99"/>
      <c r="H52" s="99"/>
      <c r="I52" s="99"/>
      <c r="J52" s="99">
        <f t="shared" si="12"/>
        <v>0</v>
      </c>
      <c r="K52" s="99"/>
      <c r="L52" s="99"/>
      <c r="M52" s="99"/>
      <c r="N52" s="99"/>
      <c r="O52" s="99"/>
      <c r="P52" s="99">
        <f t="shared" si="10"/>
        <v>356337</v>
      </c>
      <c r="Q52" s="23"/>
      <c r="R52" s="32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</row>
    <row r="53" spans="1:527" s="22" customFormat="1" ht="120.75" customHeight="1" x14ac:dyDescent="0.25">
      <c r="A53" s="103" t="s">
        <v>301</v>
      </c>
      <c r="B53" s="42" t="str">
        <f>'дод 8'!A222</f>
        <v>7691</v>
      </c>
      <c r="C53" s="42" t="str">
        <f>'дод 8'!B222</f>
        <v>0490</v>
      </c>
      <c r="D53" s="36" t="str">
        <f>'дод 8'!C222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3" s="99">
        <f t="shared" si="9"/>
        <v>0</v>
      </c>
      <c r="F53" s="99"/>
      <c r="G53" s="99"/>
      <c r="H53" s="99"/>
      <c r="I53" s="99"/>
      <c r="J53" s="99">
        <f t="shared" si="12"/>
        <v>54101</v>
      </c>
      <c r="K53" s="99"/>
      <c r="L53" s="99">
        <v>54101</v>
      </c>
      <c r="M53" s="99"/>
      <c r="N53" s="99"/>
      <c r="O53" s="99"/>
      <c r="P53" s="99">
        <f t="shared" si="10"/>
        <v>54101</v>
      </c>
      <c r="Q53" s="23"/>
      <c r="R53" s="32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</row>
    <row r="54" spans="1:527" s="22" customFormat="1" ht="23.25" customHeight="1" x14ac:dyDescent="0.25">
      <c r="A54" s="103" t="s">
        <v>240</v>
      </c>
      <c r="B54" s="42" t="str">
        <f>'дод 8'!A223</f>
        <v>7693</v>
      </c>
      <c r="C54" s="42" t="str">
        <f>'дод 8'!B223</f>
        <v>0490</v>
      </c>
      <c r="D54" s="36" t="str">
        <f>'дод 8'!C223</f>
        <v>Інші заходи, пов'язані з економічною діяльністю</v>
      </c>
      <c r="E54" s="99">
        <f t="shared" si="9"/>
        <v>626596</v>
      </c>
      <c r="F54" s="99">
        <f>668626-42030</f>
        <v>626596</v>
      </c>
      <c r="G54" s="99"/>
      <c r="H54" s="99"/>
      <c r="I54" s="99"/>
      <c r="J54" s="99">
        <f t="shared" si="12"/>
        <v>0</v>
      </c>
      <c r="K54" s="99"/>
      <c r="L54" s="99"/>
      <c r="M54" s="99"/>
      <c r="N54" s="99"/>
      <c r="O54" s="99"/>
      <c r="P54" s="99">
        <f t="shared" si="10"/>
        <v>626596</v>
      </c>
      <c r="Q54" s="23"/>
      <c r="R54" s="32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</row>
    <row r="55" spans="1:527" s="22" customFormat="1" ht="34.5" customHeight="1" x14ac:dyDescent="0.25">
      <c r="A55" s="103" t="s">
        <v>163</v>
      </c>
      <c r="B55" s="42" t="str">
        <f>'дод 8'!A230</f>
        <v>8110</v>
      </c>
      <c r="C55" s="42" t="str">
        <f>'дод 8'!B230</f>
        <v>0320</v>
      </c>
      <c r="D55" s="36" t="str">
        <f>'дод 8'!C230</f>
        <v>Заходи із запобігання та ліквідації надзвичайних ситуацій та наслідків стихійного лиха</v>
      </c>
      <c r="E55" s="99">
        <f t="shared" si="9"/>
        <v>283487.34000000003</v>
      </c>
      <c r="F55" s="99">
        <v>283487.34000000003</v>
      </c>
      <c r="G55" s="99"/>
      <c r="H55" s="99">
        <v>6500</v>
      </c>
      <c r="I55" s="99"/>
      <c r="J55" s="99">
        <f t="shared" si="12"/>
        <v>1398264.66</v>
      </c>
      <c r="K55" s="99">
        <v>1398264.66</v>
      </c>
      <c r="L55" s="99"/>
      <c r="M55" s="99"/>
      <c r="N55" s="99"/>
      <c r="O55" s="99">
        <v>1398264.66</v>
      </c>
      <c r="P55" s="99">
        <f t="shared" si="10"/>
        <v>1681752</v>
      </c>
      <c r="Q55" s="23"/>
      <c r="R55" s="32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</row>
    <row r="56" spans="1:527" s="22" customFormat="1" ht="30.75" customHeight="1" x14ac:dyDescent="0.25">
      <c r="A56" s="103" t="s">
        <v>223</v>
      </c>
      <c r="B56" s="42" t="str">
        <f>'дод 8'!A231</f>
        <v>8120</v>
      </c>
      <c r="C56" s="42" t="str">
        <f>'дод 8'!B231</f>
        <v>0320</v>
      </c>
      <c r="D56" s="36" t="str">
        <f>'дод 8'!C231</f>
        <v>Заходи з організації рятування на водах, у т.ч. за рахунок:</v>
      </c>
      <c r="E56" s="99">
        <f t="shared" si="9"/>
        <v>2449105</v>
      </c>
      <c r="F56" s="99">
        <v>2449105</v>
      </c>
      <c r="G56" s="99">
        <v>1906900</v>
      </c>
      <c r="H56" s="99">
        <v>73705</v>
      </c>
      <c r="I56" s="99"/>
      <c r="J56" s="99">
        <f t="shared" si="12"/>
        <v>5700</v>
      </c>
      <c r="K56" s="99"/>
      <c r="L56" s="99">
        <v>5700</v>
      </c>
      <c r="M56" s="99"/>
      <c r="N56" s="99">
        <v>1400</v>
      </c>
      <c r="O56" s="99"/>
      <c r="P56" s="99">
        <f t="shared" si="10"/>
        <v>2454805</v>
      </c>
      <c r="Q56" s="23"/>
      <c r="R56" s="32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  <c r="TF56" s="23"/>
      <c r="TG56" s="23"/>
    </row>
    <row r="57" spans="1:527" s="24" customFormat="1" ht="63" x14ac:dyDescent="0.25">
      <c r="A57" s="105"/>
      <c r="B57" s="88"/>
      <c r="C57" s="88"/>
      <c r="D57" s="87" t="str">
        <f>'дод 8'!C232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7" s="101">
        <f t="shared" si="9"/>
        <v>588815</v>
      </c>
      <c r="F57" s="101">
        <v>588815</v>
      </c>
      <c r="G57" s="101">
        <v>482635</v>
      </c>
      <c r="H57" s="101"/>
      <c r="I57" s="101"/>
      <c r="J57" s="101">
        <f t="shared" si="12"/>
        <v>0</v>
      </c>
      <c r="K57" s="101"/>
      <c r="L57" s="101"/>
      <c r="M57" s="101"/>
      <c r="N57" s="101"/>
      <c r="O57" s="101"/>
      <c r="P57" s="101">
        <f t="shared" si="10"/>
        <v>588815</v>
      </c>
      <c r="Q57" s="30"/>
      <c r="R57" s="32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  <c r="LU57" s="30"/>
      <c r="LV57" s="30"/>
      <c r="LW57" s="30"/>
      <c r="LX57" s="30"/>
      <c r="LY57" s="30"/>
      <c r="LZ57" s="30"/>
      <c r="MA57" s="30"/>
      <c r="MB57" s="30"/>
      <c r="MC57" s="30"/>
      <c r="MD57" s="30"/>
      <c r="ME57" s="30"/>
      <c r="MF57" s="30"/>
      <c r="MG57" s="30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30"/>
      <c r="MU57" s="30"/>
      <c r="MV57" s="30"/>
      <c r="MW57" s="30"/>
      <c r="MX57" s="30"/>
      <c r="MY57" s="30"/>
      <c r="MZ57" s="30"/>
      <c r="NA57" s="30"/>
      <c r="NB57" s="30"/>
      <c r="NC57" s="30"/>
      <c r="ND57" s="30"/>
      <c r="NE57" s="30"/>
      <c r="NF57" s="30"/>
      <c r="NG57" s="30"/>
      <c r="NH57" s="30"/>
      <c r="NI57" s="30"/>
      <c r="NJ57" s="30"/>
      <c r="NK57" s="30"/>
      <c r="NL57" s="30"/>
      <c r="NM57" s="30"/>
      <c r="NN57" s="30"/>
      <c r="NO57" s="30"/>
      <c r="NP57" s="30"/>
      <c r="NQ57" s="30"/>
      <c r="NR57" s="30"/>
      <c r="NS57" s="30"/>
      <c r="NT57" s="30"/>
      <c r="NU57" s="30"/>
      <c r="NV57" s="30"/>
      <c r="NW57" s="30"/>
      <c r="NX57" s="30"/>
      <c r="NY57" s="30"/>
      <c r="NZ57" s="30"/>
      <c r="OA57" s="30"/>
      <c r="OB57" s="30"/>
      <c r="OC57" s="30"/>
      <c r="OD57" s="30"/>
      <c r="OE57" s="30"/>
      <c r="OF57" s="30"/>
      <c r="OG57" s="30"/>
      <c r="OH57" s="30"/>
      <c r="OI57" s="30"/>
      <c r="OJ57" s="30"/>
      <c r="OK57" s="30"/>
      <c r="OL57" s="30"/>
      <c r="OM57" s="30"/>
      <c r="ON57" s="30"/>
      <c r="OO57" s="30"/>
      <c r="OP57" s="30"/>
      <c r="OQ57" s="30"/>
      <c r="OR57" s="30"/>
      <c r="OS57" s="30"/>
      <c r="OT57" s="30"/>
      <c r="OU57" s="30"/>
      <c r="OV57" s="30"/>
      <c r="OW57" s="30"/>
      <c r="OX57" s="30"/>
      <c r="OY57" s="30"/>
      <c r="OZ57" s="30"/>
      <c r="PA57" s="30"/>
      <c r="PB57" s="30"/>
      <c r="PC57" s="30"/>
      <c r="PD57" s="30"/>
      <c r="PE57" s="30"/>
      <c r="PF57" s="30"/>
      <c r="PG57" s="30"/>
      <c r="PH57" s="30"/>
      <c r="PI57" s="30"/>
      <c r="PJ57" s="30"/>
      <c r="PK57" s="30"/>
      <c r="PL57" s="30"/>
      <c r="PM57" s="30"/>
      <c r="PN57" s="30"/>
      <c r="PO57" s="30"/>
      <c r="PP57" s="30"/>
      <c r="PQ57" s="30"/>
      <c r="PR57" s="30"/>
      <c r="PS57" s="30"/>
      <c r="PT57" s="30"/>
      <c r="PU57" s="30"/>
      <c r="PV57" s="30"/>
      <c r="PW57" s="30"/>
      <c r="PX57" s="30"/>
      <c r="PY57" s="30"/>
      <c r="PZ57" s="30"/>
      <c r="QA57" s="30"/>
      <c r="QB57" s="30"/>
      <c r="QC57" s="30"/>
      <c r="QD57" s="30"/>
      <c r="QE57" s="30"/>
      <c r="QF57" s="30"/>
      <c r="QG57" s="30"/>
      <c r="QH57" s="30"/>
      <c r="QI57" s="30"/>
      <c r="QJ57" s="30"/>
      <c r="QK57" s="30"/>
      <c r="QL57" s="30"/>
      <c r="QM57" s="30"/>
      <c r="QN57" s="30"/>
      <c r="QO57" s="30"/>
      <c r="QP57" s="30"/>
      <c r="QQ57" s="30"/>
      <c r="QR57" s="30"/>
      <c r="QS57" s="30"/>
      <c r="QT57" s="30"/>
      <c r="QU57" s="30"/>
      <c r="QV57" s="30"/>
      <c r="QW57" s="30"/>
      <c r="QX57" s="30"/>
      <c r="QY57" s="30"/>
      <c r="QZ57" s="30"/>
      <c r="RA57" s="30"/>
      <c r="RB57" s="30"/>
      <c r="RC57" s="30"/>
      <c r="RD57" s="30"/>
      <c r="RE57" s="30"/>
      <c r="RF57" s="30"/>
      <c r="RG57" s="30"/>
      <c r="RH57" s="30"/>
      <c r="RI57" s="30"/>
      <c r="RJ57" s="30"/>
      <c r="RK57" s="30"/>
      <c r="RL57" s="30"/>
      <c r="RM57" s="30"/>
      <c r="RN57" s="30"/>
      <c r="RO57" s="30"/>
      <c r="RP57" s="30"/>
      <c r="RQ57" s="30"/>
      <c r="RR57" s="30"/>
      <c r="RS57" s="30"/>
      <c r="RT57" s="30"/>
      <c r="RU57" s="30"/>
      <c r="RV57" s="30"/>
      <c r="RW57" s="30"/>
      <c r="RX57" s="30"/>
      <c r="RY57" s="30"/>
      <c r="RZ57" s="30"/>
      <c r="SA57" s="30"/>
      <c r="SB57" s="30"/>
      <c r="SC57" s="30"/>
      <c r="SD57" s="30"/>
      <c r="SE57" s="30"/>
      <c r="SF57" s="30"/>
      <c r="SG57" s="30"/>
      <c r="SH57" s="30"/>
      <c r="SI57" s="30"/>
      <c r="SJ57" s="30"/>
      <c r="SK57" s="30"/>
      <c r="SL57" s="30"/>
      <c r="SM57" s="30"/>
      <c r="SN57" s="30"/>
      <c r="SO57" s="30"/>
      <c r="SP57" s="30"/>
      <c r="SQ57" s="30"/>
      <c r="SR57" s="30"/>
      <c r="SS57" s="30"/>
      <c r="ST57" s="30"/>
      <c r="SU57" s="30"/>
      <c r="SV57" s="30"/>
      <c r="SW57" s="30"/>
      <c r="SX57" s="30"/>
      <c r="SY57" s="30"/>
      <c r="SZ57" s="30"/>
      <c r="TA57" s="30"/>
      <c r="TB57" s="30"/>
      <c r="TC57" s="30"/>
      <c r="TD57" s="30"/>
      <c r="TE57" s="30"/>
      <c r="TF57" s="30"/>
      <c r="TG57" s="30"/>
    </row>
    <row r="58" spans="1:527" s="22" customFormat="1" ht="21.75" customHeight="1" x14ac:dyDescent="0.25">
      <c r="A58" s="103" t="s">
        <v>243</v>
      </c>
      <c r="B58" s="42" t="str">
        <f>'дод 8'!A234</f>
        <v>8230</v>
      </c>
      <c r="C58" s="42" t="str">
        <f>'дод 8'!B234</f>
        <v>0380</v>
      </c>
      <c r="D58" s="36" t="str">
        <f>'дод 8'!C234</f>
        <v>Інші заходи громадського порядку та безпеки</v>
      </c>
      <c r="E58" s="99">
        <f t="shared" si="9"/>
        <v>462056</v>
      </c>
      <c r="F58" s="99">
        <f>427256+34800</f>
        <v>462056</v>
      </c>
      <c r="G58" s="99"/>
      <c r="H58" s="99">
        <f>257942+34800</f>
        <v>292742</v>
      </c>
      <c r="I58" s="99"/>
      <c r="J58" s="99">
        <f t="shared" si="12"/>
        <v>0</v>
      </c>
      <c r="K58" s="99"/>
      <c r="L58" s="99"/>
      <c r="M58" s="99"/>
      <c r="N58" s="99"/>
      <c r="O58" s="99"/>
      <c r="P58" s="99">
        <f t="shared" si="10"/>
        <v>462056</v>
      </c>
      <c r="Q58" s="23"/>
      <c r="R58" s="32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</row>
    <row r="59" spans="1:527" s="22" customFormat="1" ht="36" customHeight="1" x14ac:dyDescent="0.25">
      <c r="A59" s="59" t="s">
        <v>164</v>
      </c>
      <c r="B59" s="93" t="str">
        <f>'дод 8'!A237</f>
        <v>8340</v>
      </c>
      <c r="C59" s="93" t="str">
        <f>'дод 8'!B237</f>
        <v>0540</v>
      </c>
      <c r="D59" s="60" t="str">
        <f>'дод 8'!C237</f>
        <v>Природоохоронні заходи за рахунок цільових фондів</v>
      </c>
      <c r="E59" s="99">
        <f t="shared" si="9"/>
        <v>0</v>
      </c>
      <c r="F59" s="99"/>
      <c r="G59" s="99"/>
      <c r="H59" s="99"/>
      <c r="I59" s="99"/>
      <c r="J59" s="99">
        <f t="shared" si="12"/>
        <v>250000</v>
      </c>
      <c r="K59" s="99"/>
      <c r="L59" s="99">
        <v>250000</v>
      </c>
      <c r="M59" s="99"/>
      <c r="N59" s="99"/>
      <c r="O59" s="99"/>
      <c r="P59" s="99">
        <f t="shared" si="10"/>
        <v>250000</v>
      </c>
      <c r="Q59" s="23"/>
      <c r="R59" s="32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  <c r="TG59" s="23"/>
    </row>
    <row r="60" spans="1:527" s="22" customFormat="1" ht="26.25" customHeight="1" x14ac:dyDescent="0.25">
      <c r="A60" s="103" t="s">
        <v>254</v>
      </c>
      <c r="B60" s="42" t="str">
        <f>'дод 8'!A239</f>
        <v>8420</v>
      </c>
      <c r="C60" s="42" t="str">
        <f>'дод 8'!B239</f>
        <v>0830</v>
      </c>
      <c r="D60" s="36" t="str">
        <f>'дод 8'!C239</f>
        <v>Інші заходи у сфері засобів масової інформації</v>
      </c>
      <c r="E60" s="99">
        <f t="shared" si="9"/>
        <v>78700</v>
      </c>
      <c r="F60" s="99">
        <f>30000+48700</f>
        <v>78700</v>
      </c>
      <c r="G60" s="99"/>
      <c r="H60" s="99"/>
      <c r="I60" s="99"/>
      <c r="J60" s="99">
        <f t="shared" si="12"/>
        <v>0</v>
      </c>
      <c r="K60" s="99"/>
      <c r="L60" s="99"/>
      <c r="M60" s="99"/>
      <c r="N60" s="99"/>
      <c r="O60" s="99"/>
      <c r="P60" s="99">
        <f t="shared" si="10"/>
        <v>78700</v>
      </c>
      <c r="Q60" s="23"/>
      <c r="R60" s="32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  <c r="TF60" s="23"/>
      <c r="TG60" s="23"/>
    </row>
    <row r="61" spans="1:527" s="22" customFormat="1" ht="26.25" customHeight="1" x14ac:dyDescent="0.25">
      <c r="A61" s="103" t="s">
        <v>623</v>
      </c>
      <c r="B61" s="42">
        <v>9770</v>
      </c>
      <c r="C61" s="103" t="s">
        <v>45</v>
      </c>
      <c r="D61" s="36" t="s">
        <v>356</v>
      </c>
      <c r="E61" s="99">
        <f t="shared" si="9"/>
        <v>0</v>
      </c>
      <c r="F61" s="99"/>
      <c r="G61" s="99"/>
      <c r="H61" s="99"/>
      <c r="I61" s="99"/>
      <c r="J61" s="99">
        <f t="shared" si="12"/>
        <v>35000</v>
      </c>
      <c r="K61" s="99">
        <v>35000</v>
      </c>
      <c r="L61" s="99"/>
      <c r="M61" s="99"/>
      <c r="N61" s="99"/>
      <c r="O61" s="99">
        <v>35000</v>
      </c>
      <c r="P61" s="99">
        <f t="shared" si="10"/>
        <v>35000</v>
      </c>
      <c r="Q61" s="23"/>
      <c r="R61" s="32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  <c r="TF61" s="23"/>
      <c r="TG61" s="23"/>
    </row>
    <row r="62" spans="1:527" s="22" customFormat="1" ht="47.25" x14ac:dyDescent="0.25">
      <c r="A62" s="103" t="s">
        <v>381</v>
      </c>
      <c r="B62" s="42">
        <v>9800</v>
      </c>
      <c r="C62" s="103" t="s">
        <v>45</v>
      </c>
      <c r="D62" s="36" t="s">
        <v>367</v>
      </c>
      <c r="E62" s="99">
        <f t="shared" si="9"/>
        <v>2048799</v>
      </c>
      <c r="F62" s="99">
        <v>2048799</v>
      </c>
      <c r="G62" s="99"/>
      <c r="H62" s="99"/>
      <c r="I62" s="99"/>
      <c r="J62" s="99">
        <f t="shared" si="12"/>
        <v>2883000</v>
      </c>
      <c r="K62" s="99">
        <f>1483000+400000+1000000</f>
        <v>2883000</v>
      </c>
      <c r="L62" s="99"/>
      <c r="M62" s="99"/>
      <c r="N62" s="99"/>
      <c r="O62" s="99">
        <f>1483000+400000+1000000</f>
        <v>2883000</v>
      </c>
      <c r="P62" s="99">
        <f t="shared" si="10"/>
        <v>4931799</v>
      </c>
      <c r="Q62" s="23"/>
      <c r="R62" s="32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  <c r="SQ62" s="23"/>
      <c r="SR62" s="23"/>
      <c r="SS62" s="23"/>
      <c r="ST62" s="23"/>
      <c r="SU62" s="23"/>
      <c r="SV62" s="23"/>
      <c r="SW62" s="23"/>
      <c r="SX62" s="23"/>
      <c r="SY62" s="23"/>
      <c r="SZ62" s="23"/>
      <c r="TA62" s="23"/>
      <c r="TB62" s="23"/>
      <c r="TC62" s="23"/>
      <c r="TD62" s="23"/>
      <c r="TE62" s="23"/>
      <c r="TF62" s="23"/>
      <c r="TG62" s="23"/>
    </row>
    <row r="63" spans="1:527" s="27" customFormat="1" ht="36" customHeight="1" x14ac:dyDescent="0.25">
      <c r="A63" s="106" t="s">
        <v>165</v>
      </c>
      <c r="B63" s="39"/>
      <c r="C63" s="39"/>
      <c r="D63" s="107" t="s">
        <v>25</v>
      </c>
      <c r="E63" s="95">
        <f>E64</f>
        <v>1194490388.02</v>
      </c>
      <c r="F63" s="95">
        <f t="shared" ref="F63:J63" si="13">F64</f>
        <v>1194490388.02</v>
      </c>
      <c r="G63" s="95">
        <f t="shared" si="13"/>
        <v>778617325</v>
      </c>
      <c r="H63" s="95">
        <f t="shared" si="13"/>
        <v>86534047</v>
      </c>
      <c r="I63" s="95">
        <f t="shared" si="13"/>
        <v>0</v>
      </c>
      <c r="J63" s="95">
        <f t="shared" si="13"/>
        <v>109973761.18000001</v>
      </c>
      <c r="K63" s="95">
        <f t="shared" ref="K63" si="14">K64</f>
        <v>68335311.180000007</v>
      </c>
      <c r="L63" s="95">
        <f t="shared" ref="L63" si="15">L64</f>
        <v>37465600</v>
      </c>
      <c r="M63" s="95">
        <f t="shared" ref="M63" si="16">M64</f>
        <v>2268060</v>
      </c>
      <c r="N63" s="95">
        <f t="shared" ref="N63" si="17">N64</f>
        <v>139890</v>
      </c>
      <c r="O63" s="95">
        <f t="shared" ref="O63:P63" si="18">O64</f>
        <v>72508161.180000007</v>
      </c>
      <c r="P63" s="95">
        <f t="shared" si="18"/>
        <v>1304464149.2</v>
      </c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  <c r="IW63" s="32"/>
      <c r="IX63" s="32"/>
      <c r="IY63" s="32"/>
      <c r="IZ63" s="32"/>
      <c r="JA63" s="32"/>
      <c r="JB63" s="32"/>
      <c r="JC63" s="32"/>
      <c r="JD63" s="32"/>
      <c r="JE63" s="32"/>
      <c r="JF63" s="32"/>
      <c r="JG63" s="32"/>
      <c r="JH63" s="32"/>
      <c r="JI63" s="32"/>
      <c r="JJ63" s="32"/>
      <c r="JK63" s="32"/>
      <c r="JL63" s="32"/>
      <c r="JM63" s="32"/>
      <c r="JN63" s="32"/>
      <c r="JO63" s="32"/>
      <c r="JP63" s="32"/>
      <c r="JQ63" s="32"/>
      <c r="JR63" s="32"/>
      <c r="JS63" s="32"/>
      <c r="JT63" s="32"/>
      <c r="JU63" s="32"/>
      <c r="JV63" s="32"/>
      <c r="JW63" s="32"/>
      <c r="JX63" s="32"/>
      <c r="JY63" s="32"/>
      <c r="JZ63" s="32"/>
      <c r="KA63" s="32"/>
      <c r="KB63" s="32"/>
      <c r="KC63" s="32"/>
      <c r="KD63" s="32"/>
      <c r="KE63" s="32"/>
      <c r="KF63" s="32"/>
      <c r="KG63" s="32"/>
      <c r="KH63" s="32"/>
      <c r="KI63" s="32"/>
      <c r="KJ63" s="32"/>
      <c r="KK63" s="32"/>
      <c r="KL63" s="32"/>
      <c r="KM63" s="32"/>
      <c r="KN63" s="32"/>
      <c r="KO63" s="32"/>
      <c r="KP63" s="32"/>
      <c r="KQ63" s="32"/>
      <c r="KR63" s="32"/>
      <c r="KS63" s="32"/>
      <c r="KT63" s="32"/>
      <c r="KU63" s="32"/>
      <c r="KV63" s="32"/>
      <c r="KW63" s="32"/>
      <c r="KX63" s="32"/>
      <c r="KY63" s="32"/>
      <c r="KZ63" s="32"/>
      <c r="LA63" s="32"/>
      <c r="LB63" s="32"/>
      <c r="LC63" s="32"/>
      <c r="LD63" s="32"/>
      <c r="LE63" s="32"/>
      <c r="LF63" s="32"/>
      <c r="LG63" s="32"/>
      <c r="LH63" s="32"/>
      <c r="LI63" s="32"/>
      <c r="LJ63" s="32"/>
      <c r="LK63" s="32"/>
      <c r="LL63" s="32"/>
      <c r="LM63" s="32"/>
      <c r="LN63" s="32"/>
      <c r="LO63" s="32"/>
      <c r="LP63" s="32"/>
      <c r="LQ63" s="32"/>
      <c r="LR63" s="32"/>
      <c r="LS63" s="32"/>
      <c r="LT63" s="32"/>
      <c r="LU63" s="32"/>
      <c r="LV63" s="32"/>
      <c r="LW63" s="32"/>
      <c r="LX63" s="32"/>
      <c r="LY63" s="32"/>
      <c r="LZ63" s="32"/>
      <c r="MA63" s="32"/>
      <c r="MB63" s="32"/>
      <c r="MC63" s="32"/>
      <c r="MD63" s="32"/>
      <c r="ME63" s="32"/>
      <c r="MF63" s="32"/>
      <c r="MG63" s="32"/>
      <c r="MH63" s="32"/>
      <c r="MI63" s="32"/>
      <c r="MJ63" s="32"/>
      <c r="MK63" s="32"/>
      <c r="ML63" s="32"/>
      <c r="MM63" s="32"/>
      <c r="MN63" s="32"/>
      <c r="MO63" s="32"/>
      <c r="MP63" s="32"/>
      <c r="MQ63" s="32"/>
      <c r="MR63" s="32"/>
      <c r="MS63" s="32"/>
      <c r="MT63" s="32"/>
      <c r="MU63" s="32"/>
      <c r="MV63" s="32"/>
      <c r="MW63" s="32"/>
      <c r="MX63" s="32"/>
      <c r="MY63" s="32"/>
      <c r="MZ63" s="32"/>
      <c r="NA63" s="32"/>
      <c r="NB63" s="32"/>
      <c r="NC63" s="32"/>
      <c r="ND63" s="32"/>
      <c r="NE63" s="32"/>
      <c r="NF63" s="32"/>
      <c r="NG63" s="32"/>
      <c r="NH63" s="32"/>
      <c r="NI63" s="32"/>
      <c r="NJ63" s="32"/>
      <c r="NK63" s="32"/>
      <c r="NL63" s="32"/>
      <c r="NM63" s="32"/>
      <c r="NN63" s="32"/>
      <c r="NO63" s="32"/>
      <c r="NP63" s="32"/>
      <c r="NQ63" s="32"/>
      <c r="NR63" s="32"/>
      <c r="NS63" s="32"/>
      <c r="NT63" s="32"/>
      <c r="NU63" s="32"/>
      <c r="NV63" s="32"/>
      <c r="NW63" s="32"/>
      <c r="NX63" s="32"/>
      <c r="NY63" s="32"/>
      <c r="NZ63" s="32"/>
      <c r="OA63" s="32"/>
      <c r="OB63" s="32"/>
      <c r="OC63" s="32"/>
      <c r="OD63" s="32"/>
      <c r="OE63" s="32"/>
      <c r="OF63" s="32"/>
      <c r="OG63" s="32"/>
      <c r="OH63" s="32"/>
      <c r="OI63" s="32"/>
      <c r="OJ63" s="32"/>
      <c r="OK63" s="32"/>
      <c r="OL63" s="32"/>
      <c r="OM63" s="32"/>
      <c r="ON63" s="32"/>
      <c r="OO63" s="32"/>
      <c r="OP63" s="32"/>
      <c r="OQ63" s="32"/>
      <c r="OR63" s="32"/>
      <c r="OS63" s="32"/>
      <c r="OT63" s="32"/>
      <c r="OU63" s="32"/>
      <c r="OV63" s="32"/>
      <c r="OW63" s="32"/>
      <c r="OX63" s="32"/>
      <c r="OY63" s="32"/>
      <c r="OZ63" s="32"/>
      <c r="PA63" s="32"/>
      <c r="PB63" s="32"/>
      <c r="PC63" s="32"/>
      <c r="PD63" s="32"/>
      <c r="PE63" s="32"/>
      <c r="PF63" s="32"/>
      <c r="PG63" s="32"/>
      <c r="PH63" s="32"/>
      <c r="PI63" s="32"/>
      <c r="PJ63" s="32"/>
      <c r="PK63" s="32"/>
      <c r="PL63" s="32"/>
      <c r="PM63" s="32"/>
      <c r="PN63" s="32"/>
      <c r="PO63" s="32"/>
      <c r="PP63" s="32"/>
      <c r="PQ63" s="32"/>
      <c r="PR63" s="32"/>
      <c r="PS63" s="32"/>
      <c r="PT63" s="32"/>
      <c r="PU63" s="32"/>
      <c r="PV63" s="32"/>
      <c r="PW63" s="32"/>
      <c r="PX63" s="32"/>
      <c r="PY63" s="32"/>
      <c r="PZ63" s="32"/>
      <c r="QA63" s="32"/>
      <c r="QB63" s="32"/>
      <c r="QC63" s="32"/>
      <c r="QD63" s="32"/>
      <c r="QE63" s="32"/>
      <c r="QF63" s="32"/>
      <c r="QG63" s="32"/>
      <c r="QH63" s="32"/>
      <c r="QI63" s="32"/>
      <c r="QJ63" s="32"/>
      <c r="QK63" s="32"/>
      <c r="QL63" s="32"/>
      <c r="QM63" s="32"/>
      <c r="QN63" s="32"/>
      <c r="QO63" s="32"/>
      <c r="QP63" s="32"/>
      <c r="QQ63" s="32"/>
      <c r="QR63" s="32"/>
      <c r="QS63" s="32"/>
      <c r="QT63" s="32"/>
      <c r="QU63" s="32"/>
      <c r="QV63" s="32"/>
      <c r="QW63" s="32"/>
      <c r="QX63" s="32"/>
      <c r="QY63" s="32"/>
      <c r="QZ63" s="32"/>
      <c r="RA63" s="32"/>
      <c r="RB63" s="32"/>
      <c r="RC63" s="32"/>
      <c r="RD63" s="32"/>
      <c r="RE63" s="32"/>
      <c r="RF63" s="32"/>
      <c r="RG63" s="32"/>
      <c r="RH63" s="32"/>
      <c r="RI63" s="32"/>
      <c r="RJ63" s="32"/>
      <c r="RK63" s="32"/>
      <c r="RL63" s="32"/>
      <c r="RM63" s="32"/>
      <c r="RN63" s="32"/>
      <c r="RO63" s="32"/>
      <c r="RP63" s="32"/>
      <c r="RQ63" s="32"/>
      <c r="RR63" s="32"/>
      <c r="RS63" s="32"/>
      <c r="RT63" s="32"/>
      <c r="RU63" s="32"/>
      <c r="RV63" s="32"/>
      <c r="RW63" s="32"/>
      <c r="RX63" s="32"/>
      <c r="RY63" s="32"/>
      <c r="RZ63" s="32"/>
      <c r="SA63" s="32"/>
      <c r="SB63" s="32"/>
      <c r="SC63" s="32"/>
      <c r="SD63" s="32"/>
      <c r="SE63" s="32"/>
      <c r="SF63" s="32"/>
      <c r="SG63" s="32"/>
      <c r="SH63" s="32"/>
      <c r="SI63" s="32"/>
      <c r="SJ63" s="32"/>
      <c r="SK63" s="32"/>
      <c r="SL63" s="32"/>
      <c r="SM63" s="32"/>
      <c r="SN63" s="32"/>
      <c r="SO63" s="32"/>
      <c r="SP63" s="32"/>
      <c r="SQ63" s="32"/>
      <c r="SR63" s="32"/>
      <c r="SS63" s="32"/>
      <c r="ST63" s="32"/>
      <c r="SU63" s="32"/>
      <c r="SV63" s="32"/>
      <c r="SW63" s="32"/>
      <c r="SX63" s="32"/>
      <c r="SY63" s="32"/>
      <c r="SZ63" s="32"/>
      <c r="TA63" s="32"/>
      <c r="TB63" s="32"/>
      <c r="TC63" s="32"/>
      <c r="TD63" s="32"/>
      <c r="TE63" s="32"/>
      <c r="TF63" s="32"/>
      <c r="TG63" s="32"/>
    </row>
    <row r="64" spans="1:527" s="34" customFormat="1" ht="38.25" customHeight="1" x14ac:dyDescent="0.25">
      <c r="A64" s="108" t="s">
        <v>166</v>
      </c>
      <c r="B64" s="74"/>
      <c r="C64" s="74"/>
      <c r="D64" s="77" t="s">
        <v>508</v>
      </c>
      <c r="E64" s="98">
        <f>E77+E78+E79+E80+E81+E82+E85+E87+E89+E92+E94+E95+E96+E97+E98+E100+E101+E102+E104+E106+E108+E110+E112+E113+E114+E116+E118+E120+E121+E122+E123+E125+E126</f>
        <v>1194490388.02</v>
      </c>
      <c r="F64" s="98">
        <f t="shared" ref="F64:P64" si="19">F77+F78+F79+F80+F81+F82+F85+F87+F89+F92+F94+F95+F96+F97+F98+F100+F101+F102+F104+F106+F108+F110+F112+F113+F114+F116+F118+F120+F121+F122+F123+F125+F126</f>
        <v>1194490388.02</v>
      </c>
      <c r="G64" s="98">
        <f t="shared" si="19"/>
        <v>778617325</v>
      </c>
      <c r="H64" s="98">
        <f t="shared" si="19"/>
        <v>86534047</v>
      </c>
      <c r="I64" s="98">
        <f t="shared" si="19"/>
        <v>0</v>
      </c>
      <c r="J64" s="98">
        <f t="shared" si="19"/>
        <v>109973761.18000001</v>
      </c>
      <c r="K64" s="98">
        <f t="shared" si="19"/>
        <v>68335311.180000007</v>
      </c>
      <c r="L64" s="98">
        <f t="shared" si="19"/>
        <v>37465600</v>
      </c>
      <c r="M64" s="98">
        <f t="shared" si="19"/>
        <v>2268060</v>
      </c>
      <c r="N64" s="98">
        <f t="shared" si="19"/>
        <v>139890</v>
      </c>
      <c r="O64" s="98">
        <f t="shared" si="19"/>
        <v>72508161.180000007</v>
      </c>
      <c r="P64" s="98">
        <f t="shared" si="19"/>
        <v>1304464149.2</v>
      </c>
      <c r="Q64" s="33"/>
      <c r="R64" s="32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  <c r="TG64" s="33"/>
    </row>
    <row r="65" spans="1:527" s="34" customFormat="1" ht="31.5" x14ac:dyDescent="0.25">
      <c r="A65" s="108"/>
      <c r="B65" s="74"/>
      <c r="C65" s="74"/>
      <c r="D65" s="77" t="s">
        <v>389</v>
      </c>
      <c r="E65" s="98">
        <f>E83+E86+E88</f>
        <v>482448000</v>
      </c>
      <c r="F65" s="98">
        <f t="shared" ref="F65:P65" si="20">F83+F86+F88</f>
        <v>482448000</v>
      </c>
      <c r="G65" s="98">
        <f t="shared" si="20"/>
        <v>395816000</v>
      </c>
      <c r="H65" s="98">
        <f t="shared" si="20"/>
        <v>0</v>
      </c>
      <c r="I65" s="98">
        <f t="shared" si="20"/>
        <v>0</v>
      </c>
      <c r="J65" s="98">
        <f t="shared" si="20"/>
        <v>0</v>
      </c>
      <c r="K65" s="98">
        <f t="shared" si="20"/>
        <v>0</v>
      </c>
      <c r="L65" s="98">
        <f t="shared" si="20"/>
        <v>0</v>
      </c>
      <c r="M65" s="98">
        <f t="shared" si="20"/>
        <v>0</v>
      </c>
      <c r="N65" s="98">
        <f t="shared" si="20"/>
        <v>0</v>
      </c>
      <c r="O65" s="98">
        <f t="shared" si="20"/>
        <v>0</v>
      </c>
      <c r="P65" s="98">
        <f t="shared" si="20"/>
        <v>482448000</v>
      </c>
      <c r="Q65" s="33"/>
      <c r="R65" s="32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  <c r="TG65" s="33"/>
    </row>
    <row r="66" spans="1:527" s="34" customFormat="1" ht="63" hidden="1" customHeight="1" x14ac:dyDescent="0.25">
      <c r="A66" s="108"/>
      <c r="B66" s="74"/>
      <c r="C66" s="74"/>
      <c r="D66" s="77" t="s">
        <v>388</v>
      </c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33"/>
      <c r="R66" s="32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</row>
    <row r="67" spans="1:527" s="34" customFormat="1" ht="47.25" x14ac:dyDescent="0.25">
      <c r="A67" s="108"/>
      <c r="B67" s="74"/>
      <c r="C67" s="74"/>
      <c r="D67" s="77" t="s">
        <v>544</v>
      </c>
      <c r="E67" s="98">
        <f>E90</f>
        <v>246000</v>
      </c>
      <c r="F67" s="98">
        <f t="shared" ref="F67:P67" si="21">F90</f>
        <v>246000</v>
      </c>
      <c r="G67" s="98">
        <f t="shared" si="21"/>
        <v>0</v>
      </c>
      <c r="H67" s="98">
        <f t="shared" si="21"/>
        <v>0</v>
      </c>
      <c r="I67" s="98">
        <f t="shared" si="21"/>
        <v>0</v>
      </c>
      <c r="J67" s="98">
        <f t="shared" si="21"/>
        <v>1754000</v>
      </c>
      <c r="K67" s="98">
        <f t="shared" si="21"/>
        <v>1754000</v>
      </c>
      <c r="L67" s="98">
        <f t="shared" si="21"/>
        <v>0</v>
      </c>
      <c r="M67" s="98">
        <f t="shared" si="21"/>
        <v>0</v>
      </c>
      <c r="N67" s="98">
        <f t="shared" si="21"/>
        <v>0</v>
      </c>
      <c r="O67" s="98">
        <f t="shared" si="21"/>
        <v>1754000</v>
      </c>
      <c r="P67" s="98">
        <f t="shared" si="21"/>
        <v>2000000</v>
      </c>
      <c r="Q67" s="33"/>
      <c r="R67" s="32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</row>
    <row r="68" spans="1:527" s="34" customFormat="1" ht="47.25" x14ac:dyDescent="0.25">
      <c r="A68" s="108"/>
      <c r="B68" s="74"/>
      <c r="C68" s="74"/>
      <c r="D68" s="77" t="s">
        <v>384</v>
      </c>
      <c r="E68" s="98">
        <f t="shared" ref="E68:P68" si="22">E84+E99</f>
        <v>3578416</v>
      </c>
      <c r="F68" s="98">
        <f t="shared" si="22"/>
        <v>3578416</v>
      </c>
      <c r="G68" s="98">
        <f t="shared" si="22"/>
        <v>1228720</v>
      </c>
      <c r="H68" s="98">
        <f t="shared" si="22"/>
        <v>0</v>
      </c>
      <c r="I68" s="98">
        <f t="shared" si="22"/>
        <v>0</v>
      </c>
      <c r="J68" s="98">
        <f t="shared" si="22"/>
        <v>0</v>
      </c>
      <c r="K68" s="98">
        <f t="shared" si="22"/>
        <v>0</v>
      </c>
      <c r="L68" s="98">
        <f t="shared" si="22"/>
        <v>0</v>
      </c>
      <c r="M68" s="98">
        <f t="shared" si="22"/>
        <v>0</v>
      </c>
      <c r="N68" s="98">
        <f t="shared" si="22"/>
        <v>0</v>
      </c>
      <c r="O68" s="98">
        <f t="shared" si="22"/>
        <v>0</v>
      </c>
      <c r="P68" s="98">
        <f t="shared" si="22"/>
        <v>3578416</v>
      </c>
      <c r="Q68" s="33"/>
      <c r="R68" s="32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  <c r="TG68" s="33"/>
    </row>
    <row r="69" spans="1:527" s="34" customFormat="1" ht="45" hidden="1" customHeight="1" x14ac:dyDescent="0.25">
      <c r="A69" s="108"/>
      <c r="B69" s="74"/>
      <c r="C69" s="74"/>
      <c r="D69" s="77" t="s">
        <v>386</v>
      </c>
      <c r="E69" s="98" t="e">
        <f>#REF!+E96</f>
        <v>#REF!</v>
      </c>
      <c r="F69" s="98" t="e">
        <f>#REF!+F96</f>
        <v>#REF!</v>
      </c>
      <c r="G69" s="98" t="e">
        <f>#REF!+G96</f>
        <v>#REF!</v>
      </c>
      <c r="H69" s="98" t="e">
        <f>#REF!+H96</f>
        <v>#REF!</v>
      </c>
      <c r="I69" s="98" t="e">
        <f>#REF!+I96</f>
        <v>#REF!</v>
      </c>
      <c r="J69" s="98" t="e">
        <f>#REF!+J96</f>
        <v>#REF!</v>
      </c>
      <c r="K69" s="98" t="e">
        <f>#REF!+K96</f>
        <v>#REF!</v>
      </c>
      <c r="L69" s="98" t="e">
        <f>#REF!+L96</f>
        <v>#REF!</v>
      </c>
      <c r="M69" s="98" t="e">
        <f>#REF!+M96</f>
        <v>#REF!</v>
      </c>
      <c r="N69" s="98" t="e">
        <f>#REF!+N96</f>
        <v>#REF!</v>
      </c>
      <c r="O69" s="98" t="e">
        <f>#REF!+O96</f>
        <v>#REF!</v>
      </c>
      <c r="P69" s="98" t="e">
        <f>#REF!+P96</f>
        <v>#REF!</v>
      </c>
      <c r="Q69" s="33"/>
      <c r="R69" s="32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</row>
    <row r="70" spans="1:527" s="34" customFormat="1" ht="63" x14ac:dyDescent="0.25">
      <c r="A70" s="108"/>
      <c r="B70" s="74"/>
      <c r="C70" s="74"/>
      <c r="D70" s="77" t="s">
        <v>383</v>
      </c>
      <c r="E70" s="98">
        <f>E109</f>
        <v>2612700</v>
      </c>
      <c r="F70" s="98">
        <f t="shared" ref="F70:P70" si="23">F109</f>
        <v>2612700</v>
      </c>
      <c r="G70" s="98">
        <f t="shared" si="23"/>
        <v>1459720</v>
      </c>
      <c r="H70" s="98">
        <f t="shared" si="23"/>
        <v>0</v>
      </c>
      <c r="I70" s="98">
        <f t="shared" si="23"/>
        <v>0</v>
      </c>
      <c r="J70" s="98">
        <f t="shared" si="23"/>
        <v>72000</v>
      </c>
      <c r="K70" s="98">
        <f t="shared" si="23"/>
        <v>72000</v>
      </c>
      <c r="L70" s="98">
        <f t="shared" si="23"/>
        <v>0</v>
      </c>
      <c r="M70" s="98">
        <f t="shared" si="23"/>
        <v>0</v>
      </c>
      <c r="N70" s="98">
        <f t="shared" si="23"/>
        <v>0</v>
      </c>
      <c r="O70" s="98">
        <f t="shared" si="23"/>
        <v>72000</v>
      </c>
      <c r="P70" s="98">
        <f t="shared" si="23"/>
        <v>2684700</v>
      </c>
      <c r="Q70" s="33"/>
      <c r="R70" s="32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</row>
    <row r="71" spans="1:527" s="34" customFormat="1" ht="80.25" customHeight="1" x14ac:dyDescent="0.25">
      <c r="A71" s="108"/>
      <c r="B71" s="148"/>
      <c r="C71" s="74"/>
      <c r="D71" s="77" t="s">
        <v>524</v>
      </c>
      <c r="E71" s="98">
        <f>E111</f>
        <v>1315285.79</v>
      </c>
      <c r="F71" s="98">
        <f t="shared" ref="F71:P71" si="24">F111</f>
        <v>1315285.79</v>
      </c>
      <c r="G71" s="98">
        <f t="shared" si="24"/>
        <v>1034620</v>
      </c>
      <c r="H71" s="98">
        <f t="shared" si="24"/>
        <v>0</v>
      </c>
      <c r="I71" s="98">
        <f t="shared" si="24"/>
        <v>0</v>
      </c>
      <c r="J71" s="98">
        <f t="shared" si="24"/>
        <v>0</v>
      </c>
      <c r="K71" s="98">
        <f t="shared" si="24"/>
        <v>0</v>
      </c>
      <c r="L71" s="98">
        <f t="shared" si="24"/>
        <v>0</v>
      </c>
      <c r="M71" s="98">
        <f t="shared" si="24"/>
        <v>0</v>
      </c>
      <c r="N71" s="98">
        <f t="shared" si="24"/>
        <v>0</v>
      </c>
      <c r="O71" s="98">
        <f t="shared" si="24"/>
        <v>0</v>
      </c>
      <c r="P71" s="98">
        <f t="shared" si="24"/>
        <v>1315285.79</v>
      </c>
      <c r="Q71" s="33"/>
      <c r="R71" s="32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  <c r="TG71" s="33"/>
    </row>
    <row r="72" spans="1:527" s="34" customFormat="1" ht="31.5" x14ac:dyDescent="0.25">
      <c r="A72" s="108"/>
      <c r="B72" s="74"/>
      <c r="C72" s="74"/>
      <c r="D72" s="77" t="s">
        <v>541</v>
      </c>
      <c r="E72" s="98">
        <f t="shared" ref="E72:P72" si="25">E91+E93+E124</f>
        <v>1434017.6</v>
      </c>
      <c r="F72" s="98">
        <f t="shared" si="25"/>
        <v>1434017.6</v>
      </c>
      <c r="G72" s="98">
        <f t="shared" si="25"/>
        <v>0</v>
      </c>
      <c r="H72" s="98">
        <f t="shared" si="25"/>
        <v>0</v>
      </c>
      <c r="I72" s="98">
        <f t="shared" si="25"/>
        <v>0</v>
      </c>
      <c r="J72" s="98">
        <f t="shared" si="25"/>
        <v>7663725.1799999997</v>
      </c>
      <c r="K72" s="98">
        <f t="shared" si="25"/>
        <v>7663725.1799999997</v>
      </c>
      <c r="L72" s="98">
        <f t="shared" si="25"/>
        <v>0</v>
      </c>
      <c r="M72" s="98">
        <f t="shared" si="25"/>
        <v>0</v>
      </c>
      <c r="N72" s="98">
        <f t="shared" si="25"/>
        <v>0</v>
      </c>
      <c r="O72" s="98">
        <f t="shared" si="25"/>
        <v>7663725.1799999997</v>
      </c>
      <c r="P72" s="98">
        <f t="shared" si="25"/>
        <v>9097742.7799999993</v>
      </c>
      <c r="Q72" s="33"/>
      <c r="R72" s="32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</row>
    <row r="73" spans="1:527" s="34" customFormat="1" ht="78.75" x14ac:dyDescent="0.25">
      <c r="A73" s="108"/>
      <c r="B73" s="74"/>
      <c r="C73" s="74"/>
      <c r="D73" s="77" t="s">
        <v>562</v>
      </c>
      <c r="E73" s="98">
        <f>E107</f>
        <v>6236344</v>
      </c>
      <c r="F73" s="98">
        <f t="shared" ref="F73:P73" si="26">F107</f>
        <v>6236344</v>
      </c>
      <c r="G73" s="98">
        <f t="shared" si="26"/>
        <v>57829</v>
      </c>
      <c r="H73" s="98">
        <f t="shared" si="26"/>
        <v>0</v>
      </c>
      <c r="I73" s="98">
        <f t="shared" si="26"/>
        <v>0</v>
      </c>
      <c r="J73" s="98">
        <f t="shared" si="26"/>
        <v>670719</v>
      </c>
      <c r="K73" s="98">
        <f t="shared" si="26"/>
        <v>670719</v>
      </c>
      <c r="L73" s="98">
        <f t="shared" si="26"/>
        <v>0</v>
      </c>
      <c r="M73" s="98">
        <f t="shared" si="26"/>
        <v>0</v>
      </c>
      <c r="N73" s="98">
        <f t="shared" si="26"/>
        <v>0</v>
      </c>
      <c r="O73" s="98">
        <f t="shared" si="26"/>
        <v>670719</v>
      </c>
      <c r="P73" s="98">
        <f t="shared" si="26"/>
        <v>6907063</v>
      </c>
      <c r="Q73" s="33"/>
      <c r="R73" s="32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  <c r="TG73" s="33"/>
    </row>
    <row r="74" spans="1:527" s="34" customFormat="1" ht="51.75" customHeight="1" x14ac:dyDescent="0.25">
      <c r="A74" s="96"/>
      <c r="B74" s="109"/>
      <c r="C74" s="110"/>
      <c r="D74" s="77" t="s">
        <v>606</v>
      </c>
      <c r="E74" s="98">
        <f>E103</f>
        <v>287772</v>
      </c>
      <c r="F74" s="98">
        <f t="shared" ref="F74:P74" si="27">F103</f>
        <v>287772</v>
      </c>
      <c r="G74" s="98">
        <f t="shared" si="27"/>
        <v>0</v>
      </c>
      <c r="H74" s="98">
        <f t="shared" si="27"/>
        <v>0</v>
      </c>
      <c r="I74" s="98">
        <f t="shared" si="27"/>
        <v>0</v>
      </c>
      <c r="J74" s="98">
        <f t="shared" si="27"/>
        <v>2859728</v>
      </c>
      <c r="K74" s="98">
        <f t="shared" si="27"/>
        <v>2859728</v>
      </c>
      <c r="L74" s="98">
        <f t="shared" si="27"/>
        <v>0</v>
      </c>
      <c r="M74" s="98">
        <f t="shared" si="27"/>
        <v>0</v>
      </c>
      <c r="N74" s="98">
        <f t="shared" si="27"/>
        <v>0</v>
      </c>
      <c r="O74" s="98">
        <f t="shared" si="27"/>
        <v>2859728</v>
      </c>
      <c r="P74" s="98">
        <f t="shared" si="27"/>
        <v>3147500</v>
      </c>
      <c r="Q74" s="33"/>
      <c r="R74" s="32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  <c r="TF74" s="33"/>
      <c r="TG74" s="33"/>
    </row>
    <row r="75" spans="1:527" s="34" customFormat="1" ht="62.25" customHeight="1" x14ac:dyDescent="0.25">
      <c r="A75" s="108"/>
      <c r="B75" s="74"/>
      <c r="C75" s="74"/>
      <c r="D75" s="140" t="s">
        <v>388</v>
      </c>
      <c r="E75" s="98">
        <f>E119</f>
        <v>0</v>
      </c>
      <c r="F75" s="98">
        <f t="shared" ref="F75:P75" si="28">F119</f>
        <v>0</v>
      </c>
      <c r="G75" s="98">
        <f t="shared" si="28"/>
        <v>0</v>
      </c>
      <c r="H75" s="98">
        <f t="shared" si="28"/>
        <v>0</v>
      </c>
      <c r="I75" s="98">
        <f t="shared" si="28"/>
        <v>0</v>
      </c>
      <c r="J75" s="98">
        <f t="shared" si="28"/>
        <v>9499436</v>
      </c>
      <c r="K75" s="98">
        <f t="shared" si="28"/>
        <v>6006486</v>
      </c>
      <c r="L75" s="98">
        <f t="shared" si="28"/>
        <v>0</v>
      </c>
      <c r="M75" s="98">
        <f t="shared" si="28"/>
        <v>0</v>
      </c>
      <c r="N75" s="98">
        <f t="shared" si="28"/>
        <v>0</v>
      </c>
      <c r="O75" s="98">
        <f t="shared" si="28"/>
        <v>9499436</v>
      </c>
      <c r="P75" s="98">
        <f t="shared" si="28"/>
        <v>9499436</v>
      </c>
      <c r="Q75" s="33"/>
      <c r="R75" s="32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  <c r="TF75" s="33"/>
      <c r="TG75" s="33"/>
    </row>
    <row r="76" spans="1:527" s="34" customFormat="1" ht="22.5" customHeight="1" x14ac:dyDescent="0.25">
      <c r="A76" s="108"/>
      <c r="B76" s="74"/>
      <c r="C76" s="74"/>
      <c r="D76" s="77" t="s">
        <v>395</v>
      </c>
      <c r="E76" s="98">
        <f>E105+E115+E117</f>
        <v>284064</v>
      </c>
      <c r="F76" s="98">
        <f t="shared" ref="F76:P76" si="29">F105+F115+F117</f>
        <v>284064</v>
      </c>
      <c r="G76" s="98">
        <f t="shared" si="29"/>
        <v>0</v>
      </c>
      <c r="H76" s="98">
        <f t="shared" si="29"/>
        <v>0</v>
      </c>
      <c r="I76" s="98">
        <f t="shared" si="29"/>
        <v>0</v>
      </c>
      <c r="J76" s="98">
        <f t="shared" si="29"/>
        <v>250000</v>
      </c>
      <c r="K76" s="98">
        <f t="shared" si="29"/>
        <v>250000</v>
      </c>
      <c r="L76" s="98">
        <f t="shared" si="29"/>
        <v>0</v>
      </c>
      <c r="M76" s="98">
        <f t="shared" si="29"/>
        <v>0</v>
      </c>
      <c r="N76" s="98">
        <f t="shared" si="29"/>
        <v>0</v>
      </c>
      <c r="O76" s="98">
        <f t="shared" si="29"/>
        <v>250000</v>
      </c>
      <c r="P76" s="98">
        <f t="shared" si="29"/>
        <v>534064</v>
      </c>
      <c r="Q76" s="33"/>
      <c r="R76" s="32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  <c r="SQ76" s="33"/>
      <c r="SR76" s="33"/>
      <c r="SS76" s="33"/>
      <c r="ST76" s="33"/>
      <c r="SU76" s="33"/>
      <c r="SV76" s="33"/>
      <c r="SW76" s="33"/>
      <c r="SX76" s="33"/>
      <c r="SY76" s="33"/>
      <c r="SZ76" s="33"/>
      <c r="TA76" s="33"/>
      <c r="TB76" s="33"/>
      <c r="TC76" s="33"/>
      <c r="TD76" s="33"/>
      <c r="TE76" s="33"/>
      <c r="TF76" s="33"/>
      <c r="TG76" s="33"/>
    </row>
    <row r="77" spans="1:527" s="22" customFormat="1" ht="45.75" customHeight="1" x14ac:dyDescent="0.25">
      <c r="A77" s="59" t="s">
        <v>167</v>
      </c>
      <c r="B77" s="93" t="str">
        <f>'дод 8'!A19</f>
        <v>0160</v>
      </c>
      <c r="C77" s="93" t="str">
        <f>'дод 8'!B19</f>
        <v>0111</v>
      </c>
      <c r="D77" s="36" t="s">
        <v>494</v>
      </c>
      <c r="E77" s="99">
        <f t="shared" ref="E77:E126" si="30">F77+I77</f>
        <v>3864285</v>
      </c>
      <c r="F77" s="99">
        <v>3864285</v>
      </c>
      <c r="G77" s="99">
        <f>2976200-3000</f>
        <v>2973200</v>
      </c>
      <c r="H77" s="99">
        <v>43585</v>
      </c>
      <c r="I77" s="99"/>
      <c r="J77" s="99">
        <f>L77+O77</f>
        <v>0</v>
      </c>
      <c r="K77" s="99">
        <v>0</v>
      </c>
      <c r="L77" s="99"/>
      <c r="M77" s="99"/>
      <c r="N77" s="99"/>
      <c r="O77" s="99">
        <v>0</v>
      </c>
      <c r="P77" s="99">
        <f t="shared" ref="P77:P126" si="31">E77+J77</f>
        <v>3864285</v>
      </c>
      <c r="Q77" s="23"/>
      <c r="R77" s="32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</row>
    <row r="78" spans="1:527" s="22" customFormat="1" ht="21.75" customHeight="1" x14ac:dyDescent="0.25">
      <c r="A78" s="59" t="s">
        <v>168</v>
      </c>
      <c r="B78" s="93" t="str">
        <f>'дод 8'!A36</f>
        <v>1010</v>
      </c>
      <c r="C78" s="93" t="str">
        <f>'дод 8'!B36</f>
        <v>0910</v>
      </c>
      <c r="D78" s="60" t="s">
        <v>503</v>
      </c>
      <c r="E78" s="99">
        <f t="shared" si="30"/>
        <v>313251086</v>
      </c>
      <c r="F78" s="99">
        <f>297514346-82400+49810+900000+1453830+3000000+2500000+7915500</f>
        <v>313251086</v>
      </c>
      <c r="G78" s="99">
        <f>205054200-732400+487530</f>
        <v>204809330</v>
      </c>
      <c r="H78" s="99">
        <f>24363307+791300+7915500</f>
        <v>33070107</v>
      </c>
      <c r="I78" s="99"/>
      <c r="J78" s="99">
        <f>L78+O78</f>
        <v>12818678</v>
      </c>
      <c r="K78" s="99">
        <f>1071480-12502</f>
        <v>1058978</v>
      </c>
      <c r="L78" s="99">
        <v>11759700</v>
      </c>
      <c r="M78" s="99"/>
      <c r="N78" s="99"/>
      <c r="O78" s="99">
        <f>1071480-12502</f>
        <v>1058978</v>
      </c>
      <c r="P78" s="99">
        <f t="shared" si="31"/>
        <v>326069764</v>
      </c>
      <c r="Q78" s="23"/>
      <c r="R78" s="32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</row>
    <row r="79" spans="1:527" s="22" customFormat="1" ht="37.5" customHeight="1" x14ac:dyDescent="0.25">
      <c r="A79" s="59" t="s">
        <v>470</v>
      </c>
      <c r="B79" s="59">
        <f>'дод 8'!A38</f>
        <v>1021</v>
      </c>
      <c r="C79" s="93" t="str">
        <f>'дод 8'!B38</f>
        <v>0921</v>
      </c>
      <c r="D79" s="60" t="s">
        <v>584</v>
      </c>
      <c r="E79" s="99">
        <f t="shared" si="30"/>
        <v>224476209.19999999</v>
      </c>
      <c r="F79" s="99">
        <f>209620109.2+17200+10000+700000+100000+14028900</f>
        <v>224476209.19999999</v>
      </c>
      <c r="G79" s="99">
        <f>116833485.94-160000</f>
        <v>116673485.94</v>
      </c>
      <c r="H79" s="99">
        <f>31973609.55+14028900</f>
        <v>46002509.549999997</v>
      </c>
      <c r="I79" s="99"/>
      <c r="J79" s="99">
        <f t="shared" ref="J79:J126" si="32">L79+O79</f>
        <v>26423904</v>
      </c>
      <c r="K79" s="99">
        <v>1293104</v>
      </c>
      <c r="L79" s="99">
        <v>25130800</v>
      </c>
      <c r="M79" s="99">
        <v>2268060</v>
      </c>
      <c r="N79" s="99">
        <v>139890</v>
      </c>
      <c r="O79" s="99">
        <v>1293104</v>
      </c>
      <c r="P79" s="99">
        <f t="shared" si="31"/>
        <v>250900113.19999999</v>
      </c>
      <c r="Q79" s="23"/>
      <c r="R79" s="32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  <c r="TG79" s="23"/>
    </row>
    <row r="80" spans="1:527" s="22" customFormat="1" ht="63" x14ac:dyDescent="0.25">
      <c r="A80" s="59" t="s">
        <v>472</v>
      </c>
      <c r="B80" s="93">
        <v>1022</v>
      </c>
      <c r="C80" s="59" t="s">
        <v>55</v>
      </c>
      <c r="D80" s="36" t="s">
        <v>473</v>
      </c>
      <c r="E80" s="99">
        <f t="shared" si="30"/>
        <v>14988107</v>
      </c>
      <c r="F80" s="99">
        <f>14436307-20200+572000</f>
        <v>14988107</v>
      </c>
      <c r="G80" s="99">
        <v>8830500</v>
      </c>
      <c r="H80" s="99">
        <f>1512107+572000</f>
        <v>2084107</v>
      </c>
      <c r="I80" s="99"/>
      <c r="J80" s="99">
        <f t="shared" si="32"/>
        <v>97000</v>
      </c>
      <c r="K80" s="99">
        <v>97000</v>
      </c>
      <c r="L80" s="99"/>
      <c r="M80" s="99"/>
      <c r="N80" s="99"/>
      <c r="O80" s="99">
        <v>97000</v>
      </c>
      <c r="P80" s="99">
        <f t="shared" si="31"/>
        <v>15085107</v>
      </c>
      <c r="Q80" s="23"/>
      <c r="R80" s="32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  <c r="TG80" s="23"/>
    </row>
    <row r="81" spans="1:527" s="22" customFormat="1" ht="63" x14ac:dyDescent="0.25">
      <c r="A81" s="59" t="s">
        <v>601</v>
      </c>
      <c r="B81" s="93">
        <v>1025</v>
      </c>
      <c r="C81" s="59" t="s">
        <v>55</v>
      </c>
      <c r="D81" s="36" t="s">
        <v>602</v>
      </c>
      <c r="E81" s="99">
        <f t="shared" si="30"/>
        <v>4106374.43</v>
      </c>
      <c r="F81" s="99">
        <f>3993974.43+20200+92200</f>
        <v>4106374.43</v>
      </c>
      <c r="G81" s="99">
        <v>2829220.06</v>
      </c>
      <c r="H81" s="99">
        <f>306666.45+92200</f>
        <v>398866.45</v>
      </c>
      <c r="I81" s="99"/>
      <c r="J81" s="99">
        <f t="shared" si="32"/>
        <v>0</v>
      </c>
      <c r="K81" s="99"/>
      <c r="L81" s="99"/>
      <c r="M81" s="99"/>
      <c r="N81" s="99"/>
      <c r="O81" s="99"/>
      <c r="P81" s="99">
        <f t="shared" si="31"/>
        <v>4106374.43</v>
      </c>
      <c r="Q81" s="23"/>
      <c r="R81" s="32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  <c r="TF81" s="23"/>
      <c r="TG81" s="23"/>
    </row>
    <row r="82" spans="1:527" s="22" customFormat="1" ht="31.5" x14ac:dyDescent="0.25">
      <c r="A82" s="59" t="s">
        <v>474</v>
      </c>
      <c r="B82" s="93">
        <v>1031</v>
      </c>
      <c r="C82" s="59" t="s">
        <v>51</v>
      </c>
      <c r="D82" s="60" t="s">
        <v>504</v>
      </c>
      <c r="E82" s="99">
        <f t="shared" si="30"/>
        <v>468297758.54000002</v>
      </c>
      <c r="F82" s="99">
        <f>468581848.54-284090</f>
        <v>468297758.54000002</v>
      </c>
      <c r="G82" s="99">
        <f>382983978.35-482840</f>
        <v>382501138.35000002</v>
      </c>
      <c r="H82" s="99"/>
      <c r="I82" s="99"/>
      <c r="J82" s="99">
        <f t="shared" si="32"/>
        <v>0</v>
      </c>
      <c r="K82" s="99"/>
      <c r="L82" s="99"/>
      <c r="M82" s="99"/>
      <c r="N82" s="99"/>
      <c r="O82" s="99"/>
      <c r="P82" s="99">
        <f t="shared" si="31"/>
        <v>468297758.54000002</v>
      </c>
      <c r="Q82" s="23"/>
      <c r="R82" s="32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</row>
    <row r="83" spans="1:527" s="24" customFormat="1" ht="31.5" x14ac:dyDescent="0.25">
      <c r="A83" s="84"/>
      <c r="B83" s="111"/>
      <c r="C83" s="111"/>
      <c r="D83" s="87" t="s">
        <v>389</v>
      </c>
      <c r="E83" s="101">
        <f t="shared" si="30"/>
        <v>466218378.54000002</v>
      </c>
      <c r="F83" s="101">
        <f>466502468.54-284090</f>
        <v>466218378.54000002</v>
      </c>
      <c r="G83" s="101">
        <f>382983978.35-482840</f>
        <v>382501138.35000002</v>
      </c>
      <c r="H83" s="101"/>
      <c r="I83" s="101"/>
      <c r="J83" s="101">
        <f t="shared" si="32"/>
        <v>0</v>
      </c>
      <c r="K83" s="101"/>
      <c r="L83" s="101"/>
      <c r="M83" s="101"/>
      <c r="N83" s="101"/>
      <c r="O83" s="101"/>
      <c r="P83" s="101">
        <f t="shared" si="31"/>
        <v>466218378.54000002</v>
      </c>
      <c r="Q83" s="30"/>
      <c r="R83" s="32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  <c r="TF83" s="30"/>
      <c r="TG83" s="30"/>
    </row>
    <row r="84" spans="1:527" s="24" customFormat="1" ht="47.25" x14ac:dyDescent="0.25">
      <c r="A84" s="84"/>
      <c r="B84" s="111"/>
      <c r="C84" s="111"/>
      <c r="D84" s="87" t="s">
        <v>384</v>
      </c>
      <c r="E84" s="101">
        <f t="shared" si="30"/>
        <v>2079380</v>
      </c>
      <c r="F84" s="101">
        <v>2079380</v>
      </c>
      <c r="G84" s="101"/>
      <c r="H84" s="101"/>
      <c r="I84" s="101"/>
      <c r="J84" s="101">
        <f t="shared" si="32"/>
        <v>0</v>
      </c>
      <c r="K84" s="101"/>
      <c r="L84" s="101"/>
      <c r="M84" s="101"/>
      <c r="N84" s="101"/>
      <c r="O84" s="101"/>
      <c r="P84" s="101">
        <f t="shared" si="31"/>
        <v>2079380</v>
      </c>
      <c r="Q84" s="30"/>
      <c r="R84" s="32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  <c r="SQ84" s="30"/>
      <c r="SR84" s="30"/>
      <c r="SS84" s="30"/>
      <c r="ST84" s="30"/>
      <c r="SU84" s="30"/>
      <c r="SV84" s="30"/>
      <c r="SW84" s="30"/>
      <c r="SX84" s="30"/>
      <c r="SY84" s="30"/>
      <c r="SZ84" s="30"/>
      <c r="TA84" s="30"/>
      <c r="TB84" s="30"/>
      <c r="TC84" s="30"/>
      <c r="TD84" s="30"/>
      <c r="TE84" s="30"/>
      <c r="TF84" s="30"/>
      <c r="TG84" s="30"/>
    </row>
    <row r="85" spans="1:527" s="22" customFormat="1" ht="65.25" customHeight="1" x14ac:dyDescent="0.25">
      <c r="A85" s="59" t="s">
        <v>475</v>
      </c>
      <c r="B85" s="59" t="s">
        <v>476</v>
      </c>
      <c r="C85" s="59" t="s">
        <v>55</v>
      </c>
      <c r="D85" s="60" t="s">
        <v>505</v>
      </c>
      <c r="E85" s="99">
        <f t="shared" si="30"/>
        <v>15808500</v>
      </c>
      <c r="F85" s="99">
        <f>15564500+244000</f>
        <v>15808500</v>
      </c>
      <c r="G85" s="99">
        <f>12769100+200000</f>
        <v>12969100</v>
      </c>
      <c r="H85" s="99"/>
      <c r="I85" s="99"/>
      <c r="J85" s="99">
        <f t="shared" si="32"/>
        <v>0</v>
      </c>
      <c r="K85" s="99"/>
      <c r="L85" s="99"/>
      <c r="M85" s="99"/>
      <c r="N85" s="99"/>
      <c r="O85" s="99"/>
      <c r="P85" s="99">
        <f t="shared" si="31"/>
        <v>15808500</v>
      </c>
      <c r="Q85" s="23"/>
      <c r="R85" s="32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3"/>
      <c r="SL85" s="23"/>
      <c r="SM85" s="23"/>
      <c r="SN85" s="23"/>
      <c r="SO85" s="23"/>
      <c r="SP85" s="23"/>
      <c r="SQ85" s="23"/>
      <c r="SR85" s="23"/>
      <c r="SS85" s="23"/>
      <c r="ST85" s="23"/>
      <c r="SU85" s="23"/>
      <c r="SV85" s="23"/>
      <c r="SW85" s="23"/>
      <c r="SX85" s="23"/>
      <c r="SY85" s="23"/>
      <c r="SZ85" s="23"/>
      <c r="TA85" s="23"/>
      <c r="TB85" s="23"/>
      <c r="TC85" s="23"/>
      <c r="TD85" s="23"/>
      <c r="TE85" s="23"/>
      <c r="TF85" s="23"/>
      <c r="TG85" s="23"/>
    </row>
    <row r="86" spans="1:527" s="24" customFormat="1" ht="31.5" x14ac:dyDescent="0.25">
      <c r="A86" s="84"/>
      <c r="B86" s="111"/>
      <c r="C86" s="111"/>
      <c r="D86" s="87" t="s">
        <v>389</v>
      </c>
      <c r="E86" s="101">
        <f t="shared" ref="E86:E92" si="33">F86+I86</f>
        <v>15808500</v>
      </c>
      <c r="F86" s="101">
        <f>15564500+244000</f>
        <v>15808500</v>
      </c>
      <c r="G86" s="101">
        <f>12769100+200000</f>
        <v>12969100</v>
      </c>
      <c r="H86" s="101"/>
      <c r="I86" s="101"/>
      <c r="J86" s="101">
        <f t="shared" ref="J86:J88" si="34">L86+O86</f>
        <v>0</v>
      </c>
      <c r="K86" s="101"/>
      <c r="L86" s="101"/>
      <c r="M86" s="101"/>
      <c r="N86" s="101"/>
      <c r="O86" s="101"/>
      <c r="P86" s="101">
        <f t="shared" ref="P86:P88" si="35">E86+J86</f>
        <v>15808500</v>
      </c>
      <c r="Q86" s="30"/>
      <c r="R86" s="32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  <c r="TF86" s="30"/>
      <c r="TG86" s="30"/>
    </row>
    <row r="87" spans="1:527" s="22" customFormat="1" ht="66.75" customHeight="1" x14ac:dyDescent="0.25">
      <c r="A87" s="59" t="s">
        <v>603</v>
      </c>
      <c r="B87" s="93">
        <v>1035</v>
      </c>
      <c r="C87" s="59" t="s">
        <v>55</v>
      </c>
      <c r="D87" s="36" t="s">
        <v>604</v>
      </c>
      <c r="E87" s="99">
        <f t="shared" si="30"/>
        <v>421121.46</v>
      </c>
      <c r="F87" s="99">
        <f>381031.46+40090</f>
        <v>421121.46</v>
      </c>
      <c r="G87" s="99">
        <f>312921.65+32840</f>
        <v>345761.65</v>
      </c>
      <c r="H87" s="99"/>
      <c r="I87" s="99"/>
      <c r="J87" s="99">
        <f t="shared" si="32"/>
        <v>0</v>
      </c>
      <c r="K87" s="99"/>
      <c r="L87" s="99"/>
      <c r="M87" s="99"/>
      <c r="N87" s="99"/>
      <c r="O87" s="99"/>
      <c r="P87" s="99">
        <f t="shared" si="31"/>
        <v>421121.46</v>
      </c>
      <c r="Q87" s="23"/>
      <c r="R87" s="32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F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  <c r="LQ87" s="23"/>
      <c r="LR87" s="23"/>
      <c r="LS87" s="23"/>
      <c r="LT87" s="23"/>
      <c r="LU87" s="23"/>
      <c r="LV87" s="23"/>
      <c r="LW87" s="23"/>
      <c r="LX87" s="23"/>
      <c r="LY87" s="23"/>
      <c r="LZ87" s="23"/>
      <c r="MA87" s="23"/>
      <c r="MB87" s="23"/>
      <c r="MC87" s="23"/>
      <c r="MD87" s="23"/>
      <c r="ME87" s="23"/>
      <c r="MF87" s="23"/>
      <c r="MG87" s="23"/>
      <c r="MH87" s="23"/>
      <c r="MI87" s="23"/>
      <c r="MJ87" s="23"/>
      <c r="MK87" s="23"/>
      <c r="ML87" s="23"/>
      <c r="MM87" s="23"/>
      <c r="MN87" s="23"/>
      <c r="MO87" s="23"/>
      <c r="MP87" s="23"/>
      <c r="MQ87" s="23"/>
      <c r="MR87" s="23"/>
      <c r="MS87" s="23"/>
      <c r="MT87" s="23"/>
      <c r="MU87" s="23"/>
      <c r="MV87" s="23"/>
      <c r="MW87" s="23"/>
      <c r="MX87" s="23"/>
      <c r="MY87" s="23"/>
      <c r="MZ87" s="23"/>
      <c r="NA87" s="23"/>
      <c r="NB87" s="23"/>
      <c r="NC87" s="23"/>
      <c r="ND87" s="23"/>
      <c r="NE87" s="23"/>
      <c r="NF87" s="23"/>
      <c r="NG87" s="23"/>
      <c r="NH87" s="23"/>
      <c r="NI87" s="23"/>
      <c r="NJ87" s="23"/>
      <c r="NK87" s="23"/>
      <c r="NL87" s="23"/>
      <c r="NM87" s="23"/>
      <c r="NN87" s="23"/>
      <c r="NO87" s="23"/>
      <c r="NP87" s="23"/>
      <c r="NQ87" s="23"/>
      <c r="NR87" s="23"/>
      <c r="NS87" s="23"/>
      <c r="NT87" s="23"/>
      <c r="NU87" s="23"/>
      <c r="NV87" s="23"/>
      <c r="NW87" s="23"/>
      <c r="NX87" s="23"/>
      <c r="NY87" s="23"/>
      <c r="NZ87" s="23"/>
      <c r="OA87" s="23"/>
      <c r="OB87" s="23"/>
      <c r="OC87" s="23"/>
      <c r="OD87" s="23"/>
      <c r="OE87" s="23"/>
      <c r="OF87" s="23"/>
      <c r="OG87" s="23"/>
      <c r="OH87" s="23"/>
      <c r="OI87" s="23"/>
      <c r="OJ87" s="23"/>
      <c r="OK87" s="23"/>
      <c r="OL87" s="23"/>
      <c r="OM87" s="23"/>
      <c r="ON87" s="23"/>
      <c r="OO87" s="23"/>
      <c r="OP87" s="23"/>
      <c r="OQ87" s="23"/>
      <c r="OR87" s="23"/>
      <c r="OS87" s="23"/>
      <c r="OT87" s="23"/>
      <c r="OU87" s="23"/>
      <c r="OV87" s="23"/>
      <c r="OW87" s="23"/>
      <c r="OX87" s="23"/>
      <c r="OY87" s="23"/>
      <c r="OZ87" s="23"/>
      <c r="PA87" s="23"/>
      <c r="PB87" s="23"/>
      <c r="PC87" s="23"/>
      <c r="PD87" s="23"/>
      <c r="PE87" s="23"/>
      <c r="PF87" s="23"/>
      <c r="PG87" s="23"/>
      <c r="PH87" s="23"/>
      <c r="PI87" s="23"/>
      <c r="PJ87" s="23"/>
      <c r="PK87" s="23"/>
      <c r="PL87" s="23"/>
      <c r="PM87" s="23"/>
      <c r="PN87" s="23"/>
      <c r="PO87" s="23"/>
      <c r="PP87" s="23"/>
      <c r="PQ87" s="23"/>
      <c r="PR87" s="23"/>
      <c r="PS87" s="23"/>
      <c r="PT87" s="23"/>
      <c r="PU87" s="23"/>
      <c r="PV87" s="23"/>
      <c r="PW87" s="23"/>
      <c r="PX87" s="23"/>
      <c r="PY87" s="23"/>
      <c r="PZ87" s="23"/>
      <c r="QA87" s="23"/>
      <c r="QB87" s="23"/>
      <c r="QC87" s="23"/>
      <c r="QD87" s="23"/>
      <c r="QE87" s="23"/>
      <c r="QF87" s="23"/>
      <c r="QG87" s="23"/>
      <c r="QH87" s="23"/>
      <c r="QI87" s="23"/>
      <c r="QJ87" s="23"/>
      <c r="QK87" s="23"/>
      <c r="QL87" s="23"/>
      <c r="QM87" s="23"/>
      <c r="QN87" s="23"/>
      <c r="QO87" s="23"/>
      <c r="QP87" s="23"/>
      <c r="QQ87" s="23"/>
      <c r="QR87" s="23"/>
      <c r="QS87" s="23"/>
      <c r="QT87" s="23"/>
      <c r="QU87" s="23"/>
      <c r="QV87" s="23"/>
      <c r="QW87" s="23"/>
      <c r="QX87" s="23"/>
      <c r="QY87" s="23"/>
      <c r="QZ87" s="23"/>
      <c r="RA87" s="23"/>
      <c r="RB87" s="23"/>
      <c r="RC87" s="23"/>
      <c r="RD87" s="23"/>
      <c r="RE87" s="23"/>
      <c r="RF87" s="23"/>
      <c r="RG87" s="23"/>
      <c r="RH87" s="23"/>
      <c r="RI87" s="23"/>
      <c r="RJ87" s="23"/>
      <c r="RK87" s="23"/>
      <c r="RL87" s="23"/>
      <c r="RM87" s="23"/>
      <c r="RN87" s="23"/>
      <c r="RO87" s="23"/>
      <c r="RP87" s="23"/>
      <c r="RQ87" s="23"/>
      <c r="RR87" s="23"/>
      <c r="RS87" s="23"/>
      <c r="RT87" s="23"/>
      <c r="RU87" s="23"/>
      <c r="RV87" s="23"/>
      <c r="RW87" s="23"/>
      <c r="RX87" s="23"/>
      <c r="RY87" s="23"/>
      <c r="RZ87" s="23"/>
      <c r="SA87" s="23"/>
      <c r="SB87" s="23"/>
      <c r="SC87" s="23"/>
      <c r="SD87" s="23"/>
      <c r="SE87" s="23"/>
      <c r="SF87" s="23"/>
      <c r="SG87" s="23"/>
      <c r="SH87" s="23"/>
      <c r="SI87" s="23"/>
      <c r="SJ87" s="23"/>
      <c r="SK87" s="23"/>
      <c r="SL87" s="23"/>
      <c r="SM87" s="23"/>
      <c r="SN87" s="23"/>
      <c r="SO87" s="23"/>
      <c r="SP87" s="23"/>
      <c r="SQ87" s="23"/>
      <c r="SR87" s="23"/>
      <c r="SS87" s="23"/>
      <c r="ST87" s="23"/>
      <c r="SU87" s="23"/>
      <c r="SV87" s="23"/>
      <c r="SW87" s="23"/>
      <c r="SX87" s="23"/>
      <c r="SY87" s="23"/>
      <c r="SZ87" s="23"/>
      <c r="TA87" s="23"/>
      <c r="TB87" s="23"/>
      <c r="TC87" s="23"/>
      <c r="TD87" s="23"/>
      <c r="TE87" s="23"/>
      <c r="TF87" s="23"/>
      <c r="TG87" s="23"/>
    </row>
    <row r="88" spans="1:527" s="24" customFormat="1" ht="31.5" x14ac:dyDescent="0.25">
      <c r="A88" s="84"/>
      <c r="B88" s="111"/>
      <c r="C88" s="84"/>
      <c r="D88" s="87" t="s">
        <v>389</v>
      </c>
      <c r="E88" s="101">
        <f t="shared" si="33"/>
        <v>421121.46</v>
      </c>
      <c r="F88" s="101">
        <f>381031.46+40090</f>
        <v>421121.46</v>
      </c>
      <c r="G88" s="101">
        <f>312921.65+32840</f>
        <v>345761.65</v>
      </c>
      <c r="H88" s="101"/>
      <c r="I88" s="101"/>
      <c r="J88" s="101">
        <f t="shared" si="34"/>
        <v>0</v>
      </c>
      <c r="K88" s="101"/>
      <c r="L88" s="101"/>
      <c r="M88" s="101"/>
      <c r="N88" s="101"/>
      <c r="O88" s="101"/>
      <c r="P88" s="101">
        <f t="shared" si="35"/>
        <v>421121.46</v>
      </c>
      <c r="Q88" s="30"/>
      <c r="R88" s="32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  <c r="TG88" s="30"/>
    </row>
    <row r="89" spans="1:527" s="24" customFormat="1" ht="31.5" x14ac:dyDescent="0.25">
      <c r="A89" s="59" t="s">
        <v>530</v>
      </c>
      <c r="B89" s="93">
        <v>1061</v>
      </c>
      <c r="C89" s="59" t="s">
        <v>51</v>
      </c>
      <c r="D89" s="36" t="s">
        <v>504</v>
      </c>
      <c r="E89" s="99">
        <f t="shared" si="33"/>
        <v>947017.6</v>
      </c>
      <c r="F89" s="99">
        <v>947017.6</v>
      </c>
      <c r="G89" s="101"/>
      <c r="H89" s="101"/>
      <c r="I89" s="101"/>
      <c r="J89" s="99">
        <f t="shared" si="32"/>
        <v>6110725.1799999997</v>
      </c>
      <c r="K89" s="99">
        <v>6110725.1799999997</v>
      </c>
      <c r="L89" s="99"/>
      <c r="M89" s="99"/>
      <c r="N89" s="99"/>
      <c r="O89" s="99">
        <v>6110725.1799999997</v>
      </c>
      <c r="P89" s="99">
        <f t="shared" si="31"/>
        <v>7057742.7799999993</v>
      </c>
      <c r="Q89" s="30"/>
      <c r="R89" s="32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  <c r="TF89" s="30"/>
      <c r="TG89" s="30"/>
    </row>
    <row r="90" spans="1:527" s="24" customFormat="1" ht="46.5" customHeight="1" x14ac:dyDescent="0.25">
      <c r="A90" s="84"/>
      <c r="B90" s="111"/>
      <c r="C90" s="84"/>
      <c r="D90" s="87" t="s">
        <v>544</v>
      </c>
      <c r="E90" s="101">
        <f>F90+I90</f>
        <v>246000</v>
      </c>
      <c r="F90" s="101">
        <v>246000</v>
      </c>
      <c r="G90" s="101"/>
      <c r="H90" s="101"/>
      <c r="I90" s="101"/>
      <c r="J90" s="101">
        <f>L90+O90</f>
        <v>1754000</v>
      </c>
      <c r="K90" s="101">
        <v>1754000</v>
      </c>
      <c r="L90" s="101"/>
      <c r="M90" s="101"/>
      <c r="N90" s="101"/>
      <c r="O90" s="101">
        <v>1754000</v>
      </c>
      <c r="P90" s="101">
        <f t="shared" si="31"/>
        <v>2000000</v>
      </c>
      <c r="Q90" s="30"/>
      <c r="R90" s="3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  <c r="TF90" s="30"/>
      <c r="TG90" s="30"/>
    </row>
    <row r="91" spans="1:527" s="24" customFormat="1" ht="31.5" x14ac:dyDescent="0.25">
      <c r="A91" s="84"/>
      <c r="B91" s="111"/>
      <c r="C91" s="84"/>
      <c r="D91" s="87" t="s">
        <v>541</v>
      </c>
      <c r="E91" s="101">
        <f t="shared" ref="E91:E93" si="36">F91+I91</f>
        <v>701017.59999999998</v>
      </c>
      <c r="F91" s="101">
        <v>701017.59999999998</v>
      </c>
      <c r="G91" s="101"/>
      <c r="H91" s="101"/>
      <c r="I91" s="101"/>
      <c r="J91" s="101">
        <f t="shared" ref="J91" si="37">L91+O91</f>
        <v>4356725.18</v>
      </c>
      <c r="K91" s="101">
        <v>4356725.18</v>
      </c>
      <c r="L91" s="101"/>
      <c r="M91" s="101"/>
      <c r="N91" s="101"/>
      <c r="O91" s="101">
        <v>4356725.18</v>
      </c>
      <c r="P91" s="101">
        <f t="shared" si="31"/>
        <v>5057742.7799999993</v>
      </c>
      <c r="Q91" s="30"/>
      <c r="R91" s="32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  <c r="TF91" s="30"/>
      <c r="TG91" s="30"/>
    </row>
    <row r="92" spans="1:527" s="24" customFormat="1" ht="63" x14ac:dyDescent="0.25">
      <c r="A92" s="59" t="s">
        <v>536</v>
      </c>
      <c r="B92" s="93">
        <v>1062</v>
      </c>
      <c r="C92" s="59" t="s">
        <v>55</v>
      </c>
      <c r="D92" s="60" t="s">
        <v>505</v>
      </c>
      <c r="E92" s="99">
        <f t="shared" si="33"/>
        <v>40000</v>
      </c>
      <c r="F92" s="99">
        <v>40000</v>
      </c>
      <c r="G92" s="101"/>
      <c r="H92" s="101"/>
      <c r="I92" s="101"/>
      <c r="J92" s="99">
        <f>L92+O92</f>
        <v>0</v>
      </c>
      <c r="K92" s="101"/>
      <c r="L92" s="101"/>
      <c r="M92" s="101"/>
      <c r="N92" s="101"/>
      <c r="O92" s="101"/>
      <c r="P92" s="99">
        <f t="shared" si="31"/>
        <v>40000</v>
      </c>
      <c r="Q92" s="30"/>
      <c r="R92" s="32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  <c r="TF92" s="30"/>
      <c r="TG92" s="30"/>
    </row>
    <row r="93" spans="1:527" s="24" customFormat="1" ht="31.5" x14ac:dyDescent="0.25">
      <c r="A93" s="84"/>
      <c r="B93" s="111"/>
      <c r="C93" s="84"/>
      <c r="D93" s="87" t="s">
        <v>541</v>
      </c>
      <c r="E93" s="101">
        <f t="shared" si="36"/>
        <v>40000</v>
      </c>
      <c r="F93" s="101">
        <v>40000</v>
      </c>
      <c r="G93" s="101"/>
      <c r="H93" s="101"/>
      <c r="I93" s="101"/>
      <c r="J93" s="101">
        <f>L93+O93</f>
        <v>0</v>
      </c>
      <c r="K93" s="101"/>
      <c r="L93" s="101"/>
      <c r="M93" s="101"/>
      <c r="N93" s="101"/>
      <c r="O93" s="101"/>
      <c r="P93" s="101">
        <f t="shared" si="31"/>
        <v>40000</v>
      </c>
      <c r="Q93" s="30"/>
      <c r="R93" s="32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0"/>
      <c r="NR93" s="30"/>
      <c r="NS93" s="30"/>
      <c r="NT93" s="30"/>
      <c r="NU93" s="30"/>
      <c r="NV93" s="30"/>
      <c r="NW93" s="30"/>
      <c r="NX93" s="30"/>
      <c r="NY93" s="30"/>
      <c r="NZ93" s="30"/>
      <c r="OA93" s="30"/>
      <c r="OB93" s="30"/>
      <c r="OC93" s="30"/>
      <c r="OD93" s="30"/>
      <c r="OE93" s="30"/>
      <c r="OF93" s="30"/>
      <c r="OG93" s="30"/>
      <c r="OH93" s="30"/>
      <c r="OI93" s="30"/>
      <c r="OJ93" s="30"/>
      <c r="OK93" s="30"/>
      <c r="OL93" s="30"/>
      <c r="OM93" s="30"/>
      <c r="ON93" s="30"/>
      <c r="OO93" s="30"/>
      <c r="OP93" s="30"/>
      <c r="OQ93" s="30"/>
      <c r="OR93" s="30"/>
      <c r="OS93" s="30"/>
      <c r="OT93" s="30"/>
      <c r="OU93" s="30"/>
      <c r="OV93" s="30"/>
      <c r="OW93" s="30"/>
      <c r="OX93" s="30"/>
      <c r="OY93" s="30"/>
      <c r="OZ93" s="30"/>
      <c r="PA93" s="30"/>
      <c r="PB93" s="30"/>
      <c r="PC93" s="30"/>
      <c r="PD93" s="30"/>
      <c r="PE93" s="30"/>
      <c r="PF93" s="30"/>
      <c r="PG93" s="30"/>
      <c r="PH93" s="30"/>
      <c r="PI93" s="30"/>
      <c r="PJ93" s="30"/>
      <c r="PK93" s="30"/>
      <c r="PL93" s="30"/>
      <c r="PM93" s="30"/>
      <c r="PN93" s="30"/>
      <c r="PO93" s="30"/>
      <c r="PP93" s="30"/>
      <c r="PQ93" s="30"/>
      <c r="PR93" s="30"/>
      <c r="PS93" s="30"/>
      <c r="PT93" s="30"/>
      <c r="PU93" s="30"/>
      <c r="PV93" s="30"/>
      <c r="PW93" s="30"/>
      <c r="PX93" s="30"/>
      <c r="PY93" s="30"/>
      <c r="PZ93" s="30"/>
      <c r="QA93" s="30"/>
      <c r="QB93" s="30"/>
      <c r="QC93" s="30"/>
      <c r="QD93" s="30"/>
      <c r="QE93" s="30"/>
      <c r="QF93" s="30"/>
      <c r="QG93" s="30"/>
      <c r="QH93" s="30"/>
      <c r="QI93" s="30"/>
      <c r="QJ93" s="30"/>
      <c r="QK93" s="30"/>
      <c r="QL93" s="30"/>
      <c r="QM93" s="30"/>
      <c r="QN93" s="30"/>
      <c r="QO93" s="30"/>
      <c r="QP93" s="30"/>
      <c r="QQ93" s="30"/>
      <c r="QR93" s="30"/>
      <c r="QS93" s="30"/>
      <c r="QT93" s="30"/>
      <c r="QU93" s="30"/>
      <c r="QV93" s="30"/>
      <c r="QW93" s="30"/>
      <c r="QX93" s="30"/>
      <c r="QY93" s="30"/>
      <c r="QZ93" s="30"/>
      <c r="RA93" s="30"/>
      <c r="RB93" s="30"/>
      <c r="RC93" s="30"/>
      <c r="RD93" s="30"/>
      <c r="RE93" s="30"/>
      <c r="RF93" s="30"/>
      <c r="RG93" s="30"/>
      <c r="RH93" s="30"/>
      <c r="RI93" s="30"/>
      <c r="RJ93" s="30"/>
      <c r="RK93" s="30"/>
      <c r="RL93" s="30"/>
      <c r="RM93" s="30"/>
      <c r="RN93" s="30"/>
      <c r="RO93" s="30"/>
      <c r="RP93" s="30"/>
      <c r="RQ93" s="30"/>
      <c r="RR93" s="30"/>
      <c r="RS93" s="30"/>
      <c r="RT93" s="30"/>
      <c r="RU93" s="30"/>
      <c r="RV93" s="30"/>
      <c r="RW93" s="30"/>
      <c r="RX93" s="30"/>
      <c r="RY93" s="30"/>
      <c r="RZ93" s="30"/>
      <c r="SA93" s="30"/>
      <c r="SB93" s="30"/>
      <c r="SC93" s="30"/>
      <c r="SD93" s="30"/>
      <c r="SE93" s="30"/>
      <c r="SF93" s="30"/>
      <c r="SG93" s="30"/>
      <c r="SH93" s="30"/>
      <c r="SI93" s="30"/>
      <c r="SJ93" s="30"/>
      <c r="SK93" s="30"/>
      <c r="SL93" s="30"/>
      <c r="SM93" s="30"/>
      <c r="SN93" s="30"/>
      <c r="SO93" s="30"/>
      <c r="SP93" s="30"/>
      <c r="SQ93" s="30"/>
      <c r="SR93" s="30"/>
      <c r="SS93" s="30"/>
      <c r="ST93" s="30"/>
      <c r="SU93" s="30"/>
      <c r="SV93" s="30"/>
      <c r="SW93" s="30"/>
      <c r="SX93" s="30"/>
      <c r="SY93" s="30"/>
      <c r="SZ93" s="30"/>
      <c r="TA93" s="30"/>
      <c r="TB93" s="30"/>
      <c r="TC93" s="30"/>
      <c r="TD93" s="30"/>
      <c r="TE93" s="30"/>
      <c r="TF93" s="30"/>
      <c r="TG93" s="30"/>
    </row>
    <row r="94" spans="1:527" s="22" customFormat="1" ht="47.25" x14ac:dyDescent="0.25">
      <c r="A94" s="59" t="s">
        <v>477</v>
      </c>
      <c r="B94" s="59" t="s">
        <v>54</v>
      </c>
      <c r="C94" s="59" t="s">
        <v>57</v>
      </c>
      <c r="D94" s="60" t="s">
        <v>365</v>
      </c>
      <c r="E94" s="99">
        <f t="shared" si="30"/>
        <v>36378495</v>
      </c>
      <c r="F94" s="99">
        <f>35044945+407200+25850+900500</f>
        <v>36378495</v>
      </c>
      <c r="G94" s="99">
        <f>25836800+348600</f>
        <v>26185400</v>
      </c>
      <c r="H94" s="99">
        <f>2805445+900500</f>
        <v>3705945</v>
      </c>
      <c r="I94" s="99"/>
      <c r="J94" s="99">
        <f t="shared" si="32"/>
        <v>112500</v>
      </c>
      <c r="K94" s="99">
        <v>112500</v>
      </c>
      <c r="L94" s="99"/>
      <c r="M94" s="99"/>
      <c r="N94" s="99"/>
      <c r="O94" s="99">
        <v>112500</v>
      </c>
      <c r="P94" s="99">
        <f t="shared" si="31"/>
        <v>36490995</v>
      </c>
      <c r="Q94" s="23"/>
      <c r="R94" s="32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N94" s="23"/>
      <c r="MO94" s="23"/>
      <c r="MP94" s="23"/>
      <c r="MQ94" s="23"/>
      <c r="MR94" s="23"/>
      <c r="MS94" s="23"/>
      <c r="MT94" s="23"/>
      <c r="MU94" s="23"/>
      <c r="MV94" s="23"/>
      <c r="MW94" s="23"/>
      <c r="MX94" s="23"/>
      <c r="MY94" s="23"/>
      <c r="MZ94" s="23"/>
      <c r="NA94" s="23"/>
      <c r="NB94" s="23"/>
      <c r="NC94" s="23"/>
      <c r="ND94" s="23"/>
      <c r="NE94" s="23"/>
      <c r="NF94" s="23"/>
      <c r="NG94" s="23"/>
      <c r="NH94" s="23"/>
      <c r="NI94" s="23"/>
      <c r="NJ94" s="23"/>
      <c r="NK94" s="23"/>
      <c r="NL94" s="23"/>
      <c r="NM94" s="23"/>
      <c r="NN94" s="23"/>
      <c r="NO94" s="23"/>
      <c r="NP94" s="23"/>
      <c r="NQ94" s="23"/>
      <c r="NR94" s="23"/>
      <c r="NS94" s="23"/>
      <c r="NT94" s="23"/>
      <c r="NU94" s="23"/>
      <c r="NV94" s="23"/>
      <c r="NW94" s="23"/>
      <c r="NX94" s="23"/>
      <c r="NY94" s="23"/>
      <c r="NZ94" s="23"/>
      <c r="OA94" s="23"/>
      <c r="OB94" s="23"/>
      <c r="OC94" s="23"/>
      <c r="OD94" s="23"/>
      <c r="OE94" s="23"/>
      <c r="OF94" s="23"/>
      <c r="OG94" s="23"/>
      <c r="OH94" s="23"/>
      <c r="OI94" s="23"/>
      <c r="OJ94" s="23"/>
      <c r="OK94" s="23"/>
      <c r="OL94" s="23"/>
      <c r="OM94" s="23"/>
      <c r="ON94" s="23"/>
      <c r="OO94" s="23"/>
      <c r="OP94" s="23"/>
      <c r="OQ94" s="23"/>
      <c r="OR94" s="23"/>
      <c r="OS94" s="23"/>
      <c r="OT94" s="23"/>
      <c r="OU94" s="23"/>
      <c r="OV94" s="23"/>
      <c r="OW94" s="23"/>
      <c r="OX94" s="23"/>
      <c r="OY94" s="23"/>
      <c r="OZ94" s="23"/>
      <c r="PA94" s="23"/>
      <c r="PB94" s="23"/>
      <c r="PC94" s="23"/>
      <c r="PD94" s="23"/>
      <c r="PE94" s="23"/>
      <c r="PF94" s="23"/>
      <c r="PG94" s="23"/>
      <c r="PH94" s="23"/>
      <c r="PI94" s="23"/>
      <c r="PJ94" s="23"/>
      <c r="PK94" s="23"/>
      <c r="PL94" s="23"/>
      <c r="PM94" s="23"/>
      <c r="PN94" s="23"/>
      <c r="PO94" s="23"/>
      <c r="PP94" s="23"/>
      <c r="PQ94" s="23"/>
      <c r="PR94" s="23"/>
      <c r="PS94" s="23"/>
      <c r="PT94" s="23"/>
      <c r="PU94" s="23"/>
      <c r="PV94" s="23"/>
      <c r="PW94" s="23"/>
      <c r="PX94" s="23"/>
      <c r="PY94" s="23"/>
      <c r="PZ94" s="23"/>
      <c r="QA94" s="23"/>
      <c r="QB94" s="23"/>
      <c r="QC94" s="23"/>
      <c r="QD94" s="23"/>
      <c r="QE94" s="23"/>
      <c r="QF94" s="23"/>
      <c r="QG94" s="23"/>
      <c r="QH94" s="23"/>
      <c r="QI94" s="23"/>
      <c r="QJ94" s="23"/>
      <c r="QK94" s="23"/>
      <c r="QL94" s="23"/>
      <c r="QM94" s="23"/>
      <c r="QN94" s="23"/>
      <c r="QO94" s="23"/>
      <c r="QP94" s="23"/>
      <c r="QQ94" s="23"/>
      <c r="QR94" s="23"/>
      <c r="QS94" s="23"/>
      <c r="QT94" s="23"/>
      <c r="QU94" s="23"/>
      <c r="QV94" s="23"/>
      <c r="QW94" s="23"/>
      <c r="QX94" s="23"/>
      <c r="QY94" s="23"/>
      <c r="QZ94" s="23"/>
      <c r="RA94" s="23"/>
      <c r="RB94" s="23"/>
      <c r="RC94" s="23"/>
      <c r="RD94" s="23"/>
      <c r="RE94" s="23"/>
      <c r="RF94" s="23"/>
      <c r="RG94" s="23"/>
      <c r="RH94" s="23"/>
      <c r="RI94" s="23"/>
      <c r="RJ94" s="23"/>
      <c r="RK94" s="23"/>
      <c r="RL94" s="23"/>
      <c r="RM94" s="23"/>
      <c r="RN94" s="23"/>
      <c r="RO94" s="23"/>
      <c r="RP94" s="23"/>
      <c r="RQ94" s="23"/>
      <c r="RR94" s="23"/>
      <c r="RS94" s="23"/>
      <c r="RT94" s="23"/>
      <c r="RU94" s="23"/>
      <c r="RV94" s="23"/>
      <c r="RW94" s="23"/>
      <c r="RX94" s="23"/>
      <c r="RY94" s="23"/>
      <c r="RZ94" s="23"/>
      <c r="SA94" s="23"/>
      <c r="SB94" s="23"/>
      <c r="SC94" s="23"/>
      <c r="SD94" s="23"/>
      <c r="SE94" s="23"/>
      <c r="SF94" s="23"/>
      <c r="SG94" s="23"/>
      <c r="SH94" s="23"/>
      <c r="SI94" s="23"/>
      <c r="SJ94" s="23"/>
      <c r="SK94" s="23"/>
      <c r="SL94" s="23"/>
      <c r="SM94" s="23"/>
      <c r="SN94" s="23"/>
      <c r="SO94" s="23"/>
      <c r="SP94" s="23"/>
      <c r="SQ94" s="23"/>
      <c r="SR94" s="23"/>
      <c r="SS94" s="23"/>
      <c r="ST94" s="23"/>
      <c r="SU94" s="23"/>
      <c r="SV94" s="23"/>
      <c r="SW94" s="23"/>
      <c r="SX94" s="23"/>
      <c r="SY94" s="23"/>
      <c r="SZ94" s="23"/>
      <c r="TA94" s="23"/>
      <c r="TB94" s="23"/>
      <c r="TC94" s="23"/>
      <c r="TD94" s="23"/>
      <c r="TE94" s="23"/>
      <c r="TF94" s="23"/>
      <c r="TG94" s="23"/>
    </row>
    <row r="95" spans="1:527" s="22" customFormat="1" ht="31.5" x14ac:dyDescent="0.25">
      <c r="A95" s="59" t="s">
        <v>478</v>
      </c>
      <c r="B95" s="59" t="s">
        <v>479</v>
      </c>
      <c r="C95" s="59" t="s">
        <v>58</v>
      </c>
      <c r="D95" s="36" t="s">
        <v>511</v>
      </c>
      <c r="E95" s="99">
        <f t="shared" si="30"/>
        <v>11562450</v>
      </c>
      <c r="F95" s="99">
        <f>11387250+175200</f>
        <v>11562450</v>
      </c>
      <c r="G95" s="99">
        <v>8331500</v>
      </c>
      <c r="H95" s="99">
        <f>585250+175200</f>
        <v>760450</v>
      </c>
      <c r="I95" s="99"/>
      <c r="J95" s="99">
        <f t="shared" si="32"/>
        <v>0</v>
      </c>
      <c r="K95" s="99">
        <v>0</v>
      </c>
      <c r="L95" s="99"/>
      <c r="M95" s="99"/>
      <c r="N95" s="99"/>
      <c r="O95" s="99">
        <v>0</v>
      </c>
      <c r="P95" s="99">
        <f t="shared" si="31"/>
        <v>11562450</v>
      </c>
      <c r="Q95" s="23"/>
      <c r="R95" s="32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  <c r="SQ95" s="23"/>
      <c r="SR95" s="23"/>
      <c r="SS95" s="23"/>
      <c r="ST95" s="23"/>
      <c r="SU95" s="23"/>
      <c r="SV95" s="23"/>
      <c r="SW95" s="23"/>
      <c r="SX95" s="23"/>
      <c r="SY95" s="23"/>
      <c r="SZ95" s="23"/>
      <c r="TA95" s="23"/>
      <c r="TB95" s="23"/>
      <c r="TC95" s="23"/>
      <c r="TD95" s="23"/>
      <c r="TE95" s="23"/>
      <c r="TF95" s="23"/>
      <c r="TG95" s="23"/>
    </row>
    <row r="96" spans="1:527" s="22" customFormat="1" ht="18" customHeight="1" x14ac:dyDescent="0.25">
      <c r="A96" s="59" t="s">
        <v>480</v>
      </c>
      <c r="B96" s="59" t="s">
        <v>481</v>
      </c>
      <c r="C96" s="59" t="s">
        <v>58</v>
      </c>
      <c r="D96" s="36" t="s">
        <v>281</v>
      </c>
      <c r="E96" s="99">
        <f t="shared" si="30"/>
        <v>113000</v>
      </c>
      <c r="F96" s="99">
        <v>113000</v>
      </c>
      <c r="G96" s="99"/>
      <c r="H96" s="99"/>
      <c r="I96" s="99"/>
      <c r="J96" s="99">
        <f t="shared" ref="J96" si="38">L96+O96</f>
        <v>0</v>
      </c>
      <c r="K96" s="99"/>
      <c r="L96" s="99"/>
      <c r="M96" s="99"/>
      <c r="N96" s="99"/>
      <c r="O96" s="99"/>
      <c r="P96" s="99">
        <f t="shared" ref="P96" si="39">E96+J96</f>
        <v>113000</v>
      </c>
      <c r="Q96" s="23"/>
      <c r="R96" s="32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  <c r="SQ96" s="23"/>
      <c r="SR96" s="23"/>
      <c r="SS96" s="23"/>
      <c r="ST96" s="23"/>
      <c r="SU96" s="23"/>
      <c r="SV96" s="23"/>
      <c r="SW96" s="23"/>
      <c r="SX96" s="23"/>
      <c r="SY96" s="23"/>
      <c r="SZ96" s="23"/>
      <c r="TA96" s="23"/>
      <c r="TB96" s="23"/>
      <c r="TC96" s="23"/>
      <c r="TD96" s="23"/>
      <c r="TE96" s="23"/>
      <c r="TF96" s="23"/>
      <c r="TG96" s="23"/>
    </row>
    <row r="97" spans="1:527" s="22" customFormat="1" ht="31.5" x14ac:dyDescent="0.25">
      <c r="A97" s="59" t="s">
        <v>482</v>
      </c>
      <c r="B97" s="59" t="s">
        <v>483</v>
      </c>
      <c r="C97" s="59" t="s">
        <v>58</v>
      </c>
      <c r="D97" s="60" t="s">
        <v>484</v>
      </c>
      <c r="E97" s="99">
        <f t="shared" si="30"/>
        <v>135033</v>
      </c>
      <c r="F97" s="99">
        <f>445933-324800+13900</f>
        <v>135033</v>
      </c>
      <c r="G97" s="99">
        <f>266200-266200</f>
        <v>0</v>
      </c>
      <c r="H97" s="99">
        <f>66733+13900</f>
        <v>80633</v>
      </c>
      <c r="I97" s="99"/>
      <c r="J97" s="99">
        <f t="shared" si="32"/>
        <v>0</v>
      </c>
      <c r="K97" s="99"/>
      <c r="L97" s="99"/>
      <c r="M97" s="99"/>
      <c r="N97" s="99"/>
      <c r="O97" s="99"/>
      <c r="P97" s="99">
        <f t="shared" si="31"/>
        <v>135033</v>
      </c>
      <c r="Q97" s="23"/>
      <c r="R97" s="32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  <c r="SQ97" s="23"/>
      <c r="SR97" s="23"/>
      <c r="SS97" s="23"/>
      <c r="ST97" s="23"/>
      <c r="SU97" s="23"/>
      <c r="SV97" s="23"/>
      <c r="SW97" s="23"/>
      <c r="SX97" s="23"/>
      <c r="SY97" s="23"/>
      <c r="SZ97" s="23"/>
      <c r="TA97" s="23"/>
      <c r="TB97" s="23"/>
      <c r="TC97" s="23"/>
      <c r="TD97" s="23"/>
      <c r="TE97" s="23"/>
      <c r="TF97" s="23"/>
      <c r="TG97" s="23"/>
    </row>
    <row r="98" spans="1:527" s="22" customFormat="1" ht="45.75" customHeight="1" x14ac:dyDescent="0.25">
      <c r="A98" s="59" t="s">
        <v>485</v>
      </c>
      <c r="B98" s="59" t="s">
        <v>486</v>
      </c>
      <c r="C98" s="59" t="str">
        <f>'дод 8'!B64</f>
        <v>0990</v>
      </c>
      <c r="D98" s="60" t="s">
        <v>506</v>
      </c>
      <c r="E98" s="99">
        <f t="shared" si="30"/>
        <v>1499036</v>
      </c>
      <c r="F98" s="99">
        <v>1499036</v>
      </c>
      <c r="G98" s="99">
        <v>1228720</v>
      </c>
      <c r="H98" s="99"/>
      <c r="I98" s="99"/>
      <c r="J98" s="99">
        <f t="shared" si="32"/>
        <v>0</v>
      </c>
      <c r="K98" s="99"/>
      <c r="L98" s="99"/>
      <c r="M98" s="99"/>
      <c r="N98" s="99"/>
      <c r="O98" s="99"/>
      <c r="P98" s="99">
        <f t="shared" si="31"/>
        <v>1499036</v>
      </c>
      <c r="Q98" s="23"/>
      <c r="R98" s="32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  <c r="LQ98" s="23"/>
      <c r="LR98" s="23"/>
      <c r="LS98" s="23"/>
      <c r="LT98" s="23"/>
      <c r="LU98" s="23"/>
      <c r="LV98" s="23"/>
      <c r="LW98" s="23"/>
      <c r="LX98" s="23"/>
      <c r="LY98" s="23"/>
      <c r="LZ98" s="23"/>
      <c r="MA98" s="23"/>
      <c r="MB98" s="23"/>
      <c r="MC98" s="23"/>
      <c r="MD98" s="23"/>
      <c r="ME98" s="23"/>
      <c r="MF98" s="23"/>
      <c r="MG98" s="23"/>
      <c r="MH98" s="23"/>
      <c r="MI98" s="23"/>
      <c r="MJ98" s="23"/>
      <c r="MK98" s="23"/>
      <c r="ML98" s="23"/>
      <c r="MM98" s="23"/>
      <c r="MN98" s="23"/>
      <c r="MO98" s="23"/>
      <c r="MP98" s="23"/>
      <c r="MQ98" s="23"/>
      <c r="MR98" s="23"/>
      <c r="MS98" s="23"/>
      <c r="MT98" s="23"/>
      <c r="MU98" s="23"/>
      <c r="MV98" s="23"/>
      <c r="MW98" s="23"/>
      <c r="MX98" s="23"/>
      <c r="MY98" s="23"/>
      <c r="MZ98" s="23"/>
      <c r="NA98" s="23"/>
      <c r="NB98" s="23"/>
      <c r="NC98" s="23"/>
      <c r="ND98" s="23"/>
      <c r="NE98" s="23"/>
      <c r="NF98" s="23"/>
      <c r="NG98" s="23"/>
      <c r="NH98" s="23"/>
      <c r="NI98" s="23"/>
      <c r="NJ98" s="23"/>
      <c r="NK98" s="23"/>
      <c r="NL98" s="23"/>
      <c r="NM98" s="23"/>
      <c r="NN98" s="23"/>
      <c r="NO98" s="23"/>
      <c r="NP98" s="23"/>
      <c r="NQ98" s="23"/>
      <c r="NR98" s="23"/>
      <c r="NS98" s="23"/>
      <c r="NT98" s="23"/>
      <c r="NU98" s="23"/>
      <c r="NV98" s="23"/>
      <c r="NW98" s="23"/>
      <c r="NX98" s="23"/>
      <c r="NY98" s="23"/>
      <c r="NZ98" s="23"/>
      <c r="OA98" s="23"/>
      <c r="OB98" s="23"/>
      <c r="OC98" s="23"/>
      <c r="OD98" s="23"/>
      <c r="OE98" s="23"/>
      <c r="OF98" s="23"/>
      <c r="OG98" s="23"/>
      <c r="OH98" s="23"/>
      <c r="OI98" s="23"/>
      <c r="OJ98" s="23"/>
      <c r="OK98" s="23"/>
      <c r="OL98" s="23"/>
      <c r="OM98" s="23"/>
      <c r="ON98" s="23"/>
      <c r="OO98" s="23"/>
      <c r="OP98" s="23"/>
      <c r="OQ98" s="23"/>
      <c r="OR98" s="23"/>
      <c r="OS98" s="23"/>
      <c r="OT98" s="23"/>
      <c r="OU98" s="23"/>
      <c r="OV98" s="23"/>
      <c r="OW98" s="23"/>
      <c r="OX98" s="23"/>
      <c r="OY98" s="23"/>
      <c r="OZ98" s="23"/>
      <c r="PA98" s="23"/>
      <c r="PB98" s="23"/>
      <c r="PC98" s="23"/>
      <c r="PD98" s="23"/>
      <c r="PE98" s="23"/>
      <c r="PF98" s="23"/>
      <c r="PG98" s="23"/>
      <c r="PH98" s="23"/>
      <c r="PI98" s="23"/>
      <c r="PJ98" s="23"/>
      <c r="PK98" s="23"/>
      <c r="PL98" s="23"/>
      <c r="PM98" s="23"/>
      <c r="PN98" s="23"/>
      <c r="PO98" s="23"/>
      <c r="PP98" s="23"/>
      <c r="PQ98" s="23"/>
      <c r="PR98" s="23"/>
      <c r="PS98" s="23"/>
      <c r="PT98" s="23"/>
      <c r="PU98" s="23"/>
      <c r="PV98" s="23"/>
      <c r="PW98" s="23"/>
      <c r="PX98" s="23"/>
      <c r="PY98" s="23"/>
      <c r="PZ98" s="23"/>
      <c r="QA98" s="23"/>
      <c r="QB98" s="23"/>
      <c r="QC98" s="23"/>
      <c r="QD98" s="23"/>
      <c r="QE98" s="23"/>
      <c r="QF98" s="23"/>
      <c r="QG98" s="23"/>
      <c r="QH98" s="23"/>
      <c r="QI98" s="23"/>
      <c r="QJ98" s="23"/>
      <c r="QK98" s="23"/>
      <c r="QL98" s="23"/>
      <c r="QM98" s="23"/>
      <c r="QN98" s="23"/>
      <c r="QO98" s="23"/>
      <c r="QP98" s="23"/>
      <c r="QQ98" s="23"/>
      <c r="QR98" s="23"/>
      <c r="QS98" s="23"/>
      <c r="QT98" s="23"/>
      <c r="QU98" s="23"/>
      <c r="QV98" s="23"/>
      <c r="QW98" s="23"/>
      <c r="QX98" s="23"/>
      <c r="QY98" s="23"/>
      <c r="QZ98" s="23"/>
      <c r="RA98" s="23"/>
      <c r="RB98" s="23"/>
      <c r="RC98" s="23"/>
      <c r="RD98" s="23"/>
      <c r="RE98" s="23"/>
      <c r="RF98" s="23"/>
      <c r="RG98" s="23"/>
      <c r="RH98" s="23"/>
      <c r="RI98" s="23"/>
      <c r="RJ98" s="23"/>
      <c r="RK98" s="23"/>
      <c r="RL98" s="23"/>
      <c r="RM98" s="23"/>
      <c r="RN98" s="23"/>
      <c r="RO98" s="23"/>
      <c r="RP98" s="23"/>
      <c r="RQ98" s="23"/>
      <c r="RR98" s="23"/>
      <c r="RS98" s="23"/>
      <c r="RT98" s="23"/>
      <c r="RU98" s="23"/>
      <c r="RV98" s="23"/>
      <c r="RW98" s="23"/>
      <c r="RX98" s="23"/>
      <c r="RY98" s="23"/>
      <c r="RZ98" s="23"/>
      <c r="SA98" s="23"/>
      <c r="SB98" s="23"/>
      <c r="SC98" s="23"/>
      <c r="SD98" s="23"/>
      <c r="SE98" s="23"/>
      <c r="SF98" s="23"/>
      <c r="SG98" s="23"/>
      <c r="SH98" s="23"/>
      <c r="SI98" s="23"/>
      <c r="SJ98" s="23"/>
      <c r="SK98" s="23"/>
      <c r="SL98" s="23"/>
      <c r="SM98" s="23"/>
      <c r="SN98" s="23"/>
      <c r="SO98" s="23"/>
      <c r="SP98" s="23"/>
      <c r="SQ98" s="23"/>
      <c r="SR98" s="23"/>
      <c r="SS98" s="23"/>
      <c r="ST98" s="23"/>
      <c r="SU98" s="23"/>
      <c r="SV98" s="23"/>
      <c r="SW98" s="23"/>
      <c r="SX98" s="23"/>
      <c r="SY98" s="23"/>
      <c r="SZ98" s="23"/>
      <c r="TA98" s="23"/>
      <c r="TB98" s="23"/>
      <c r="TC98" s="23"/>
      <c r="TD98" s="23"/>
      <c r="TE98" s="23"/>
      <c r="TF98" s="23"/>
      <c r="TG98" s="23"/>
    </row>
    <row r="99" spans="1:527" s="24" customFormat="1" ht="45.75" customHeight="1" x14ac:dyDescent="0.25">
      <c r="A99" s="84"/>
      <c r="B99" s="84"/>
      <c r="C99" s="84"/>
      <c r="D99" s="87" t="s">
        <v>384</v>
      </c>
      <c r="E99" s="101">
        <f t="shared" si="30"/>
        <v>1499036</v>
      </c>
      <c r="F99" s="101">
        <v>1499036</v>
      </c>
      <c r="G99" s="101">
        <v>1228720</v>
      </c>
      <c r="H99" s="101"/>
      <c r="I99" s="101"/>
      <c r="J99" s="101">
        <f t="shared" si="32"/>
        <v>0</v>
      </c>
      <c r="K99" s="101"/>
      <c r="L99" s="101"/>
      <c r="M99" s="101"/>
      <c r="N99" s="101"/>
      <c r="O99" s="101"/>
      <c r="P99" s="101">
        <f t="shared" si="31"/>
        <v>1499036</v>
      </c>
      <c r="Q99" s="30"/>
      <c r="R99" s="32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  <c r="TF99" s="30"/>
      <c r="TG99" s="30"/>
    </row>
    <row r="100" spans="1:527" s="22" customFormat="1" ht="36" customHeight="1" x14ac:dyDescent="0.25">
      <c r="A100" s="59" t="s">
        <v>487</v>
      </c>
      <c r="B100" s="59" t="s">
        <v>488</v>
      </c>
      <c r="C100" s="59" t="str">
        <f>'дод 8'!B65</f>
        <v>0990</v>
      </c>
      <c r="D100" s="60" t="s">
        <v>489</v>
      </c>
      <c r="E100" s="99">
        <f t="shared" si="30"/>
        <v>2552577</v>
      </c>
      <c r="F100" s="99">
        <f>2521377+9000+22200</f>
        <v>2552577</v>
      </c>
      <c r="G100" s="99">
        <f>1880000-3000</f>
        <v>1877000</v>
      </c>
      <c r="H100" s="99">
        <f>92977+22200</f>
        <v>115177</v>
      </c>
      <c r="I100" s="99"/>
      <c r="J100" s="99">
        <f t="shared" si="32"/>
        <v>41000</v>
      </c>
      <c r="K100" s="99">
        <f>50000-9000</f>
        <v>41000</v>
      </c>
      <c r="L100" s="99"/>
      <c r="M100" s="99"/>
      <c r="N100" s="99"/>
      <c r="O100" s="99">
        <f>50000-9000</f>
        <v>41000</v>
      </c>
      <c r="P100" s="99">
        <f t="shared" si="31"/>
        <v>2593577</v>
      </c>
      <c r="Q100" s="23"/>
      <c r="R100" s="32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N100" s="23"/>
      <c r="MO100" s="23"/>
      <c r="MP100" s="23"/>
      <c r="MQ100" s="23"/>
      <c r="MR100" s="23"/>
      <c r="MS100" s="23"/>
      <c r="MT100" s="23"/>
      <c r="MU100" s="23"/>
      <c r="MV100" s="23"/>
      <c r="MW100" s="23"/>
      <c r="MX100" s="23"/>
      <c r="MY100" s="23"/>
      <c r="MZ100" s="23"/>
      <c r="NA100" s="23"/>
      <c r="NB100" s="23"/>
      <c r="NC100" s="23"/>
      <c r="ND100" s="23"/>
      <c r="NE100" s="23"/>
      <c r="NF100" s="23"/>
      <c r="NG100" s="23"/>
      <c r="NH100" s="23"/>
      <c r="NI100" s="23"/>
      <c r="NJ100" s="23"/>
      <c r="NK100" s="23"/>
      <c r="NL100" s="23"/>
      <c r="NM100" s="23"/>
      <c r="NN100" s="23"/>
      <c r="NO100" s="23"/>
      <c r="NP100" s="23"/>
      <c r="NQ100" s="23"/>
      <c r="NR100" s="23"/>
      <c r="NS100" s="23"/>
      <c r="NT100" s="23"/>
      <c r="NU100" s="23"/>
      <c r="NV100" s="23"/>
      <c r="NW100" s="23"/>
      <c r="NX100" s="23"/>
      <c r="NY100" s="23"/>
      <c r="NZ100" s="23"/>
      <c r="OA100" s="23"/>
      <c r="OB100" s="23"/>
      <c r="OC100" s="23"/>
      <c r="OD100" s="23"/>
      <c r="OE100" s="23"/>
      <c r="OF100" s="23"/>
      <c r="OG100" s="23"/>
      <c r="OH100" s="23"/>
      <c r="OI100" s="23"/>
      <c r="OJ100" s="23"/>
      <c r="OK100" s="23"/>
      <c r="OL100" s="23"/>
      <c r="OM100" s="23"/>
      <c r="ON100" s="23"/>
      <c r="OO100" s="23"/>
      <c r="OP100" s="23"/>
      <c r="OQ100" s="23"/>
      <c r="OR100" s="23"/>
      <c r="OS100" s="23"/>
      <c r="OT100" s="23"/>
      <c r="OU100" s="23"/>
      <c r="OV100" s="23"/>
      <c r="OW100" s="23"/>
      <c r="OX100" s="23"/>
      <c r="OY100" s="23"/>
      <c r="OZ100" s="23"/>
      <c r="PA100" s="23"/>
      <c r="PB100" s="23"/>
      <c r="PC100" s="23"/>
      <c r="PD100" s="23"/>
      <c r="PE100" s="23"/>
      <c r="PF100" s="23"/>
      <c r="PG100" s="23"/>
      <c r="PH100" s="23"/>
      <c r="PI100" s="23"/>
      <c r="PJ100" s="23"/>
      <c r="PK100" s="23"/>
      <c r="PL100" s="23"/>
      <c r="PM100" s="23"/>
      <c r="PN100" s="23"/>
      <c r="PO100" s="23"/>
      <c r="PP100" s="23"/>
      <c r="PQ100" s="23"/>
      <c r="PR100" s="23"/>
      <c r="PS100" s="23"/>
      <c r="PT100" s="23"/>
      <c r="PU100" s="23"/>
      <c r="PV100" s="23"/>
      <c r="PW100" s="23"/>
      <c r="PX100" s="23"/>
      <c r="PY100" s="23"/>
      <c r="PZ100" s="23"/>
      <c r="QA100" s="23"/>
      <c r="QB100" s="23"/>
      <c r="QC100" s="23"/>
      <c r="QD100" s="23"/>
      <c r="QE100" s="23"/>
      <c r="QF100" s="23"/>
      <c r="QG100" s="23"/>
      <c r="QH100" s="23"/>
      <c r="QI100" s="23"/>
      <c r="QJ100" s="23"/>
      <c r="QK100" s="23"/>
      <c r="QL100" s="23"/>
      <c r="QM100" s="23"/>
      <c r="QN100" s="23"/>
      <c r="QO100" s="23"/>
      <c r="QP100" s="23"/>
      <c r="QQ100" s="23"/>
      <c r="QR100" s="23"/>
      <c r="QS100" s="23"/>
      <c r="QT100" s="23"/>
      <c r="QU100" s="23"/>
      <c r="QV100" s="23"/>
      <c r="QW100" s="23"/>
      <c r="QX100" s="23"/>
      <c r="QY100" s="23"/>
      <c r="QZ100" s="23"/>
      <c r="RA100" s="23"/>
      <c r="RB100" s="23"/>
      <c r="RC100" s="23"/>
      <c r="RD100" s="23"/>
      <c r="RE100" s="23"/>
      <c r="RF100" s="23"/>
      <c r="RG100" s="23"/>
      <c r="RH100" s="23"/>
      <c r="RI100" s="23"/>
      <c r="RJ100" s="23"/>
      <c r="RK100" s="23"/>
      <c r="RL100" s="23"/>
      <c r="RM100" s="23"/>
      <c r="RN100" s="23"/>
      <c r="RO100" s="23"/>
      <c r="RP100" s="23"/>
      <c r="RQ100" s="23"/>
      <c r="RR100" s="23"/>
      <c r="RS100" s="23"/>
      <c r="RT100" s="23"/>
      <c r="RU100" s="23"/>
      <c r="RV100" s="23"/>
      <c r="RW100" s="23"/>
      <c r="RX100" s="23"/>
      <c r="RY100" s="23"/>
      <c r="RZ100" s="23"/>
      <c r="SA100" s="23"/>
      <c r="SB100" s="23"/>
      <c r="SC100" s="23"/>
      <c r="SD100" s="23"/>
      <c r="SE100" s="23"/>
      <c r="SF100" s="23"/>
      <c r="SG100" s="23"/>
      <c r="SH100" s="23"/>
      <c r="SI100" s="23"/>
      <c r="SJ100" s="23"/>
      <c r="SK100" s="23"/>
      <c r="SL100" s="23"/>
      <c r="SM100" s="23"/>
      <c r="SN100" s="23"/>
      <c r="SO100" s="23"/>
      <c r="SP100" s="23"/>
      <c r="SQ100" s="23"/>
      <c r="SR100" s="23"/>
      <c r="SS100" s="23"/>
      <c r="ST100" s="23"/>
      <c r="SU100" s="23"/>
      <c r="SV100" s="23"/>
      <c r="SW100" s="23"/>
      <c r="SX100" s="23"/>
      <c r="SY100" s="23"/>
      <c r="SZ100" s="23"/>
      <c r="TA100" s="23"/>
      <c r="TB100" s="23"/>
      <c r="TC100" s="23"/>
      <c r="TD100" s="23"/>
      <c r="TE100" s="23"/>
      <c r="TF100" s="23"/>
      <c r="TG100" s="23"/>
    </row>
    <row r="101" spans="1:527" s="22" customFormat="1" ht="66" customHeight="1" x14ac:dyDescent="0.25">
      <c r="A101" s="59" t="s">
        <v>569</v>
      </c>
      <c r="B101" s="59" t="s">
        <v>570</v>
      </c>
      <c r="C101" s="59" t="s">
        <v>58</v>
      </c>
      <c r="D101" s="60" t="s">
        <v>573</v>
      </c>
      <c r="E101" s="99">
        <f t="shared" si="30"/>
        <v>0</v>
      </c>
      <c r="F101" s="99"/>
      <c r="G101" s="99"/>
      <c r="H101" s="99"/>
      <c r="I101" s="99"/>
      <c r="J101" s="99">
        <f t="shared" si="32"/>
        <v>1522670</v>
      </c>
      <c r="K101" s="99">
        <f>1610670-88000</f>
        <v>1522670</v>
      </c>
      <c r="L101" s="99"/>
      <c r="M101" s="99"/>
      <c r="N101" s="99"/>
      <c r="O101" s="99">
        <f>1610670-88000</f>
        <v>1522670</v>
      </c>
      <c r="P101" s="99">
        <f t="shared" si="31"/>
        <v>1522670</v>
      </c>
      <c r="Q101" s="23"/>
      <c r="R101" s="32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  <c r="SQ101" s="23"/>
      <c r="SR101" s="23"/>
      <c r="SS101" s="23"/>
      <c r="ST101" s="23"/>
      <c r="SU101" s="23"/>
      <c r="SV101" s="23"/>
      <c r="SW101" s="23"/>
      <c r="SX101" s="23"/>
      <c r="SY101" s="23"/>
      <c r="SZ101" s="23"/>
      <c r="TA101" s="23"/>
      <c r="TB101" s="23"/>
      <c r="TC101" s="23"/>
      <c r="TD101" s="23"/>
      <c r="TE101" s="23"/>
      <c r="TF101" s="23"/>
      <c r="TG101" s="23"/>
    </row>
    <row r="102" spans="1:527" s="22" customFormat="1" ht="47.25" x14ac:dyDescent="0.25">
      <c r="A102" s="59" t="s">
        <v>557</v>
      </c>
      <c r="B102" s="59" t="s">
        <v>559</v>
      </c>
      <c r="C102" s="59" t="s">
        <v>58</v>
      </c>
      <c r="D102" s="60" t="s">
        <v>561</v>
      </c>
      <c r="E102" s="99">
        <f t="shared" si="30"/>
        <v>287772</v>
      </c>
      <c r="F102" s="99">
        <v>287772</v>
      </c>
      <c r="G102" s="99"/>
      <c r="H102" s="99"/>
      <c r="I102" s="99"/>
      <c r="J102" s="99">
        <f t="shared" si="32"/>
        <v>2859728</v>
      </c>
      <c r="K102" s="99">
        <v>2859728</v>
      </c>
      <c r="L102" s="99"/>
      <c r="M102" s="99"/>
      <c r="N102" s="99"/>
      <c r="O102" s="99">
        <v>2859728</v>
      </c>
      <c r="P102" s="99">
        <f t="shared" si="31"/>
        <v>3147500</v>
      </c>
      <c r="Q102" s="23"/>
      <c r="R102" s="32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  <c r="SQ102" s="23"/>
      <c r="SR102" s="23"/>
      <c r="SS102" s="23"/>
      <c r="ST102" s="23"/>
      <c r="SU102" s="23"/>
      <c r="SV102" s="23"/>
      <c r="SW102" s="23"/>
      <c r="SX102" s="23"/>
      <c r="SY102" s="23"/>
      <c r="SZ102" s="23"/>
      <c r="TA102" s="23"/>
      <c r="TB102" s="23"/>
      <c r="TC102" s="23"/>
      <c r="TD102" s="23"/>
      <c r="TE102" s="23"/>
      <c r="TF102" s="23"/>
      <c r="TG102" s="23"/>
    </row>
    <row r="103" spans="1:527" s="24" customFormat="1" ht="52.5" customHeight="1" x14ac:dyDescent="0.25">
      <c r="A103" s="84"/>
      <c r="B103" s="84"/>
      <c r="C103" s="84"/>
      <c r="D103" s="87" t="s">
        <v>606</v>
      </c>
      <c r="E103" s="101">
        <f t="shared" si="30"/>
        <v>287772</v>
      </c>
      <c r="F103" s="101">
        <v>287772</v>
      </c>
      <c r="G103" s="101"/>
      <c r="H103" s="101"/>
      <c r="I103" s="101"/>
      <c r="J103" s="101">
        <f t="shared" si="32"/>
        <v>2859728</v>
      </c>
      <c r="K103" s="101">
        <v>2859728</v>
      </c>
      <c r="L103" s="101"/>
      <c r="M103" s="101"/>
      <c r="N103" s="101"/>
      <c r="O103" s="101">
        <v>2859728</v>
      </c>
      <c r="P103" s="101">
        <f t="shared" si="31"/>
        <v>3147500</v>
      </c>
      <c r="Q103" s="30"/>
      <c r="R103" s="32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  <c r="NO103" s="30"/>
      <c r="NP103" s="30"/>
      <c r="NQ103" s="30"/>
      <c r="NR103" s="30"/>
      <c r="NS103" s="30"/>
      <c r="NT103" s="30"/>
      <c r="NU103" s="30"/>
      <c r="NV103" s="30"/>
      <c r="NW103" s="30"/>
      <c r="NX103" s="30"/>
      <c r="NY103" s="30"/>
      <c r="NZ103" s="30"/>
      <c r="OA103" s="30"/>
      <c r="OB103" s="30"/>
      <c r="OC103" s="30"/>
      <c r="OD103" s="30"/>
      <c r="OE103" s="30"/>
      <c r="OF103" s="30"/>
      <c r="OG103" s="30"/>
      <c r="OH103" s="30"/>
      <c r="OI103" s="30"/>
      <c r="OJ103" s="30"/>
      <c r="OK103" s="30"/>
      <c r="OL103" s="30"/>
      <c r="OM103" s="30"/>
      <c r="ON103" s="30"/>
      <c r="OO103" s="30"/>
      <c r="OP103" s="30"/>
      <c r="OQ103" s="30"/>
      <c r="OR103" s="30"/>
      <c r="OS103" s="30"/>
      <c r="OT103" s="30"/>
      <c r="OU103" s="30"/>
      <c r="OV103" s="30"/>
      <c r="OW103" s="30"/>
      <c r="OX103" s="30"/>
      <c r="OY103" s="30"/>
      <c r="OZ103" s="30"/>
      <c r="PA103" s="30"/>
      <c r="PB103" s="30"/>
      <c r="PC103" s="30"/>
      <c r="PD103" s="30"/>
      <c r="PE103" s="30"/>
      <c r="PF103" s="30"/>
      <c r="PG103" s="30"/>
      <c r="PH103" s="30"/>
      <c r="PI103" s="30"/>
      <c r="PJ103" s="30"/>
      <c r="PK103" s="30"/>
      <c r="PL103" s="30"/>
      <c r="PM103" s="30"/>
      <c r="PN103" s="30"/>
      <c r="PO103" s="30"/>
      <c r="PP103" s="30"/>
      <c r="PQ103" s="30"/>
      <c r="PR103" s="30"/>
      <c r="PS103" s="30"/>
      <c r="PT103" s="30"/>
      <c r="PU103" s="30"/>
      <c r="PV103" s="30"/>
      <c r="PW103" s="30"/>
      <c r="PX103" s="30"/>
      <c r="PY103" s="30"/>
      <c r="PZ103" s="30"/>
      <c r="QA103" s="30"/>
      <c r="QB103" s="30"/>
      <c r="QC103" s="30"/>
      <c r="QD103" s="30"/>
      <c r="QE103" s="30"/>
      <c r="QF103" s="30"/>
      <c r="QG103" s="30"/>
      <c r="QH103" s="30"/>
      <c r="QI103" s="30"/>
      <c r="QJ103" s="30"/>
      <c r="QK103" s="30"/>
      <c r="QL103" s="30"/>
      <c r="QM103" s="30"/>
      <c r="QN103" s="30"/>
      <c r="QO103" s="30"/>
      <c r="QP103" s="30"/>
      <c r="QQ103" s="30"/>
      <c r="QR103" s="30"/>
      <c r="QS103" s="30"/>
      <c r="QT103" s="30"/>
      <c r="QU103" s="30"/>
      <c r="QV103" s="30"/>
      <c r="QW103" s="30"/>
      <c r="QX103" s="30"/>
      <c r="QY103" s="30"/>
      <c r="QZ103" s="30"/>
      <c r="RA103" s="30"/>
      <c r="RB103" s="30"/>
      <c r="RC103" s="30"/>
      <c r="RD103" s="30"/>
      <c r="RE103" s="30"/>
      <c r="RF103" s="30"/>
      <c r="RG103" s="30"/>
      <c r="RH103" s="30"/>
      <c r="RI103" s="30"/>
      <c r="RJ103" s="30"/>
      <c r="RK103" s="30"/>
      <c r="RL103" s="30"/>
      <c r="RM103" s="30"/>
      <c r="RN103" s="30"/>
      <c r="RO103" s="30"/>
      <c r="RP103" s="30"/>
      <c r="RQ103" s="30"/>
      <c r="RR103" s="30"/>
      <c r="RS103" s="30"/>
      <c r="RT103" s="30"/>
      <c r="RU103" s="30"/>
      <c r="RV103" s="30"/>
      <c r="RW103" s="30"/>
      <c r="RX103" s="30"/>
      <c r="RY103" s="30"/>
      <c r="RZ103" s="30"/>
      <c r="SA103" s="30"/>
      <c r="SB103" s="30"/>
      <c r="SC103" s="30"/>
      <c r="SD103" s="30"/>
      <c r="SE103" s="30"/>
      <c r="SF103" s="30"/>
      <c r="SG103" s="30"/>
      <c r="SH103" s="30"/>
      <c r="SI103" s="30"/>
      <c r="SJ103" s="30"/>
      <c r="SK103" s="30"/>
      <c r="SL103" s="30"/>
      <c r="SM103" s="30"/>
      <c r="SN103" s="30"/>
      <c r="SO103" s="30"/>
      <c r="SP103" s="30"/>
      <c r="SQ103" s="30"/>
      <c r="SR103" s="30"/>
      <c r="SS103" s="30"/>
      <c r="ST103" s="30"/>
      <c r="SU103" s="30"/>
      <c r="SV103" s="30"/>
      <c r="SW103" s="30"/>
      <c r="SX103" s="30"/>
      <c r="SY103" s="30"/>
      <c r="SZ103" s="30"/>
      <c r="TA103" s="30"/>
      <c r="TB103" s="30"/>
      <c r="TC103" s="30"/>
      <c r="TD103" s="30"/>
      <c r="TE103" s="30"/>
      <c r="TF103" s="30"/>
      <c r="TG103" s="30"/>
    </row>
    <row r="104" spans="1:527" s="22" customFormat="1" ht="78.75" x14ac:dyDescent="0.25">
      <c r="A104" s="59" t="s">
        <v>571</v>
      </c>
      <c r="B104" s="59" t="s">
        <v>572</v>
      </c>
      <c r="C104" s="59" t="s">
        <v>58</v>
      </c>
      <c r="D104" s="60" t="s">
        <v>599</v>
      </c>
      <c r="E104" s="99">
        <f t="shared" si="30"/>
        <v>2092101</v>
      </c>
      <c r="F104" s="99">
        <f>2037825+54276</f>
        <v>2092101</v>
      </c>
      <c r="G104" s="99"/>
      <c r="H104" s="99"/>
      <c r="I104" s="99"/>
      <c r="J104" s="99">
        <f t="shared" si="32"/>
        <v>364151</v>
      </c>
      <c r="K104" s="99">
        <f>330427+88000-54276</f>
        <v>364151</v>
      </c>
      <c r="L104" s="99"/>
      <c r="M104" s="99"/>
      <c r="N104" s="99"/>
      <c r="O104" s="99">
        <f>330427+88000-54276</f>
        <v>364151</v>
      </c>
      <c r="P104" s="99">
        <f t="shared" si="31"/>
        <v>2456252</v>
      </c>
      <c r="Q104" s="23"/>
      <c r="R104" s="32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N104" s="23"/>
      <c r="MO104" s="23"/>
      <c r="MP104" s="23"/>
      <c r="MQ104" s="23"/>
      <c r="MR104" s="23"/>
      <c r="MS104" s="23"/>
      <c r="MT104" s="23"/>
      <c r="MU104" s="23"/>
      <c r="MV104" s="23"/>
      <c r="MW104" s="23"/>
      <c r="MX104" s="23"/>
      <c r="MY104" s="23"/>
      <c r="MZ104" s="23"/>
      <c r="NA104" s="23"/>
      <c r="NB104" s="23"/>
      <c r="NC104" s="23"/>
      <c r="ND104" s="23"/>
      <c r="NE104" s="23"/>
      <c r="NF104" s="23"/>
      <c r="NG104" s="23"/>
      <c r="NH104" s="23"/>
      <c r="NI104" s="23"/>
      <c r="NJ104" s="23"/>
      <c r="NK104" s="23"/>
      <c r="NL104" s="23"/>
      <c r="NM104" s="23"/>
      <c r="NN104" s="23"/>
      <c r="NO104" s="23"/>
      <c r="NP104" s="23"/>
      <c r="NQ104" s="23"/>
      <c r="NR104" s="23"/>
      <c r="NS104" s="23"/>
      <c r="NT104" s="23"/>
      <c r="NU104" s="23"/>
      <c r="NV104" s="23"/>
      <c r="NW104" s="23"/>
      <c r="NX104" s="23"/>
      <c r="NY104" s="23"/>
      <c r="NZ104" s="23"/>
      <c r="OA104" s="23"/>
      <c r="OB104" s="23"/>
      <c r="OC104" s="23"/>
      <c r="OD104" s="23"/>
      <c r="OE104" s="23"/>
      <c r="OF104" s="23"/>
      <c r="OG104" s="23"/>
      <c r="OH104" s="23"/>
      <c r="OI104" s="23"/>
      <c r="OJ104" s="23"/>
      <c r="OK104" s="23"/>
      <c r="OL104" s="23"/>
      <c r="OM104" s="23"/>
      <c r="ON104" s="23"/>
      <c r="OO104" s="23"/>
      <c r="OP104" s="23"/>
      <c r="OQ104" s="23"/>
      <c r="OR104" s="23"/>
      <c r="OS104" s="23"/>
      <c r="OT104" s="23"/>
      <c r="OU104" s="23"/>
      <c r="OV104" s="23"/>
      <c r="OW104" s="23"/>
      <c r="OX104" s="23"/>
      <c r="OY104" s="23"/>
      <c r="OZ104" s="23"/>
      <c r="PA104" s="23"/>
      <c r="PB104" s="23"/>
      <c r="PC104" s="23"/>
      <c r="PD104" s="23"/>
      <c r="PE104" s="23"/>
      <c r="PF104" s="23"/>
      <c r="PG104" s="23"/>
      <c r="PH104" s="23"/>
      <c r="PI104" s="23"/>
      <c r="PJ104" s="23"/>
      <c r="PK104" s="23"/>
      <c r="PL104" s="23"/>
      <c r="PM104" s="23"/>
      <c r="PN104" s="23"/>
      <c r="PO104" s="23"/>
      <c r="PP104" s="23"/>
      <c r="PQ104" s="23"/>
      <c r="PR104" s="23"/>
      <c r="PS104" s="23"/>
      <c r="PT104" s="23"/>
      <c r="PU104" s="23"/>
      <c r="PV104" s="23"/>
      <c r="PW104" s="23"/>
      <c r="PX104" s="23"/>
      <c r="PY104" s="23"/>
      <c r="PZ104" s="23"/>
      <c r="QA104" s="23"/>
      <c r="QB104" s="23"/>
      <c r="QC104" s="23"/>
      <c r="QD104" s="23"/>
      <c r="QE104" s="23"/>
      <c r="QF104" s="23"/>
      <c r="QG104" s="23"/>
      <c r="QH104" s="23"/>
      <c r="QI104" s="23"/>
      <c r="QJ104" s="23"/>
      <c r="QK104" s="23"/>
      <c r="QL104" s="23"/>
      <c r="QM104" s="23"/>
      <c r="QN104" s="23"/>
      <c r="QO104" s="23"/>
      <c r="QP104" s="23"/>
      <c r="QQ104" s="23"/>
      <c r="QR104" s="23"/>
      <c r="QS104" s="23"/>
      <c r="QT104" s="23"/>
      <c r="QU104" s="23"/>
      <c r="QV104" s="23"/>
      <c r="QW104" s="23"/>
      <c r="QX104" s="23"/>
      <c r="QY104" s="23"/>
      <c r="QZ104" s="23"/>
      <c r="RA104" s="23"/>
      <c r="RB104" s="23"/>
      <c r="RC104" s="23"/>
      <c r="RD104" s="23"/>
      <c r="RE104" s="23"/>
      <c r="RF104" s="23"/>
      <c r="RG104" s="23"/>
      <c r="RH104" s="23"/>
      <c r="RI104" s="23"/>
      <c r="RJ104" s="23"/>
      <c r="RK104" s="23"/>
      <c r="RL104" s="23"/>
      <c r="RM104" s="23"/>
      <c r="RN104" s="23"/>
      <c r="RO104" s="23"/>
      <c r="RP104" s="23"/>
      <c r="RQ104" s="23"/>
      <c r="RR104" s="23"/>
      <c r="RS104" s="23"/>
      <c r="RT104" s="23"/>
      <c r="RU104" s="23"/>
      <c r="RV104" s="23"/>
      <c r="RW104" s="23"/>
      <c r="RX104" s="23"/>
      <c r="RY104" s="23"/>
      <c r="RZ104" s="23"/>
      <c r="SA104" s="23"/>
      <c r="SB104" s="23"/>
      <c r="SC104" s="23"/>
      <c r="SD104" s="23"/>
      <c r="SE104" s="23"/>
      <c r="SF104" s="23"/>
      <c r="SG104" s="23"/>
      <c r="SH104" s="23"/>
      <c r="SI104" s="23"/>
      <c r="SJ104" s="23"/>
      <c r="SK104" s="23"/>
      <c r="SL104" s="23"/>
      <c r="SM104" s="23"/>
      <c r="SN104" s="23"/>
      <c r="SO104" s="23"/>
      <c r="SP104" s="23"/>
      <c r="SQ104" s="23"/>
      <c r="SR104" s="23"/>
      <c r="SS104" s="23"/>
      <c r="ST104" s="23"/>
      <c r="SU104" s="23"/>
      <c r="SV104" s="23"/>
      <c r="SW104" s="23"/>
      <c r="SX104" s="23"/>
      <c r="SY104" s="23"/>
      <c r="SZ104" s="23"/>
      <c r="TA104" s="23"/>
      <c r="TB104" s="23"/>
      <c r="TC104" s="23"/>
      <c r="TD104" s="23"/>
      <c r="TE104" s="23"/>
      <c r="TF104" s="23"/>
      <c r="TG104" s="23"/>
    </row>
    <row r="105" spans="1:527" s="22" customFormat="1" ht="15.75" x14ac:dyDescent="0.25">
      <c r="A105" s="59"/>
      <c r="B105" s="59"/>
      <c r="C105" s="59"/>
      <c r="D105" s="87" t="s">
        <v>395</v>
      </c>
      <c r="E105" s="101">
        <f t="shared" si="30"/>
        <v>150000</v>
      </c>
      <c r="F105" s="101">
        <v>150000</v>
      </c>
      <c r="G105" s="99"/>
      <c r="H105" s="99"/>
      <c r="I105" s="99"/>
      <c r="J105" s="101">
        <f t="shared" si="32"/>
        <v>0</v>
      </c>
      <c r="K105" s="99"/>
      <c r="L105" s="99"/>
      <c r="M105" s="99"/>
      <c r="N105" s="99"/>
      <c r="O105" s="99"/>
      <c r="P105" s="101">
        <f t="shared" si="31"/>
        <v>150000</v>
      </c>
      <c r="Q105" s="23"/>
      <c r="R105" s="32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  <c r="SQ105" s="23"/>
      <c r="SR105" s="23"/>
      <c r="SS105" s="23"/>
      <c r="ST105" s="23"/>
      <c r="SU105" s="23"/>
      <c r="SV105" s="23"/>
      <c r="SW105" s="23"/>
      <c r="SX105" s="23"/>
      <c r="SY105" s="23"/>
      <c r="SZ105" s="23"/>
      <c r="TA105" s="23"/>
      <c r="TB105" s="23"/>
      <c r="TC105" s="23"/>
      <c r="TD105" s="23"/>
      <c r="TE105" s="23"/>
      <c r="TF105" s="23"/>
      <c r="TG105" s="23"/>
    </row>
    <row r="106" spans="1:527" s="22" customFormat="1" ht="78.75" x14ac:dyDescent="0.25">
      <c r="A106" s="59" t="s">
        <v>558</v>
      </c>
      <c r="B106" s="59" t="s">
        <v>560</v>
      </c>
      <c r="C106" s="59" t="s">
        <v>58</v>
      </c>
      <c r="D106" s="60" t="s">
        <v>607</v>
      </c>
      <c r="E106" s="99">
        <f t="shared" si="30"/>
        <v>6236344</v>
      </c>
      <c r="F106" s="99">
        <f>6109696+126648</f>
        <v>6236344</v>
      </c>
      <c r="G106" s="99">
        <v>57829</v>
      </c>
      <c r="H106" s="99"/>
      <c r="I106" s="99"/>
      <c r="J106" s="99">
        <f t="shared" si="32"/>
        <v>670719</v>
      </c>
      <c r="K106" s="99">
        <f>797367-126648</f>
        <v>670719</v>
      </c>
      <c r="L106" s="99"/>
      <c r="M106" s="99"/>
      <c r="N106" s="99"/>
      <c r="O106" s="99">
        <f>797367-126648</f>
        <v>670719</v>
      </c>
      <c r="P106" s="99">
        <f t="shared" si="31"/>
        <v>6907063</v>
      </c>
      <c r="Q106" s="23"/>
      <c r="R106" s="32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  <c r="IW106" s="23"/>
      <c r="IX106" s="23"/>
      <c r="IY106" s="23"/>
      <c r="IZ106" s="23"/>
      <c r="JA106" s="23"/>
      <c r="JB106" s="23"/>
      <c r="JC106" s="23"/>
      <c r="JD106" s="23"/>
      <c r="JE106" s="23"/>
      <c r="JF106" s="23"/>
      <c r="JG106" s="23"/>
      <c r="JH106" s="23"/>
      <c r="JI106" s="23"/>
      <c r="JJ106" s="23"/>
      <c r="JK106" s="23"/>
      <c r="JL106" s="23"/>
      <c r="JM106" s="23"/>
      <c r="JN106" s="23"/>
      <c r="JO106" s="23"/>
      <c r="JP106" s="23"/>
      <c r="JQ106" s="23"/>
      <c r="JR106" s="23"/>
      <c r="JS106" s="23"/>
      <c r="JT106" s="23"/>
      <c r="JU106" s="23"/>
      <c r="JV106" s="23"/>
      <c r="JW106" s="23"/>
      <c r="JX106" s="23"/>
      <c r="JY106" s="23"/>
      <c r="JZ106" s="23"/>
      <c r="KA106" s="23"/>
      <c r="KB106" s="23"/>
      <c r="KC106" s="23"/>
      <c r="KD106" s="23"/>
      <c r="KE106" s="23"/>
      <c r="KF106" s="23"/>
      <c r="KG106" s="23"/>
      <c r="KH106" s="23"/>
      <c r="KI106" s="23"/>
      <c r="KJ106" s="23"/>
      <c r="KK106" s="23"/>
      <c r="KL106" s="23"/>
      <c r="KM106" s="23"/>
      <c r="KN106" s="23"/>
      <c r="KO106" s="23"/>
      <c r="KP106" s="23"/>
      <c r="KQ106" s="23"/>
      <c r="KR106" s="23"/>
      <c r="KS106" s="23"/>
      <c r="KT106" s="23"/>
      <c r="KU106" s="23"/>
      <c r="KV106" s="23"/>
      <c r="KW106" s="23"/>
      <c r="KX106" s="23"/>
      <c r="KY106" s="23"/>
      <c r="KZ106" s="23"/>
      <c r="LA106" s="23"/>
      <c r="LB106" s="23"/>
      <c r="LC106" s="23"/>
      <c r="LD106" s="23"/>
      <c r="LE106" s="23"/>
      <c r="LF106" s="23"/>
      <c r="LG106" s="23"/>
      <c r="LH106" s="23"/>
      <c r="LI106" s="23"/>
      <c r="LJ106" s="23"/>
      <c r="LK106" s="23"/>
      <c r="LL106" s="23"/>
      <c r="LM106" s="23"/>
      <c r="LN106" s="23"/>
      <c r="LO106" s="23"/>
      <c r="LP106" s="23"/>
      <c r="LQ106" s="23"/>
      <c r="LR106" s="23"/>
      <c r="LS106" s="23"/>
      <c r="LT106" s="23"/>
      <c r="LU106" s="23"/>
      <c r="LV106" s="23"/>
      <c r="LW106" s="23"/>
      <c r="LX106" s="23"/>
      <c r="LY106" s="23"/>
      <c r="LZ106" s="23"/>
      <c r="MA106" s="23"/>
      <c r="MB106" s="23"/>
      <c r="MC106" s="23"/>
      <c r="MD106" s="23"/>
      <c r="ME106" s="23"/>
      <c r="MF106" s="23"/>
      <c r="MG106" s="23"/>
      <c r="MH106" s="23"/>
      <c r="MI106" s="23"/>
      <c r="MJ106" s="23"/>
      <c r="MK106" s="23"/>
      <c r="ML106" s="23"/>
      <c r="MM106" s="23"/>
      <c r="MN106" s="23"/>
      <c r="MO106" s="23"/>
      <c r="MP106" s="23"/>
      <c r="MQ106" s="23"/>
      <c r="MR106" s="23"/>
      <c r="MS106" s="23"/>
      <c r="MT106" s="23"/>
      <c r="MU106" s="23"/>
      <c r="MV106" s="23"/>
      <c r="MW106" s="23"/>
      <c r="MX106" s="23"/>
      <c r="MY106" s="23"/>
      <c r="MZ106" s="23"/>
      <c r="NA106" s="23"/>
      <c r="NB106" s="23"/>
      <c r="NC106" s="23"/>
      <c r="ND106" s="23"/>
      <c r="NE106" s="23"/>
      <c r="NF106" s="23"/>
      <c r="NG106" s="23"/>
      <c r="NH106" s="23"/>
      <c r="NI106" s="23"/>
      <c r="NJ106" s="23"/>
      <c r="NK106" s="23"/>
      <c r="NL106" s="23"/>
      <c r="NM106" s="23"/>
      <c r="NN106" s="23"/>
      <c r="NO106" s="23"/>
      <c r="NP106" s="23"/>
      <c r="NQ106" s="23"/>
      <c r="NR106" s="23"/>
      <c r="NS106" s="23"/>
      <c r="NT106" s="23"/>
      <c r="NU106" s="23"/>
      <c r="NV106" s="23"/>
      <c r="NW106" s="23"/>
      <c r="NX106" s="23"/>
      <c r="NY106" s="23"/>
      <c r="NZ106" s="23"/>
      <c r="OA106" s="23"/>
      <c r="OB106" s="23"/>
      <c r="OC106" s="23"/>
      <c r="OD106" s="23"/>
      <c r="OE106" s="23"/>
      <c r="OF106" s="23"/>
      <c r="OG106" s="23"/>
      <c r="OH106" s="23"/>
      <c r="OI106" s="23"/>
      <c r="OJ106" s="23"/>
      <c r="OK106" s="23"/>
      <c r="OL106" s="23"/>
      <c r="OM106" s="23"/>
      <c r="ON106" s="23"/>
      <c r="OO106" s="23"/>
      <c r="OP106" s="23"/>
      <c r="OQ106" s="23"/>
      <c r="OR106" s="23"/>
      <c r="OS106" s="23"/>
      <c r="OT106" s="23"/>
      <c r="OU106" s="23"/>
      <c r="OV106" s="23"/>
      <c r="OW106" s="23"/>
      <c r="OX106" s="23"/>
      <c r="OY106" s="23"/>
      <c r="OZ106" s="23"/>
      <c r="PA106" s="23"/>
      <c r="PB106" s="23"/>
      <c r="PC106" s="23"/>
      <c r="PD106" s="23"/>
      <c r="PE106" s="23"/>
      <c r="PF106" s="23"/>
      <c r="PG106" s="23"/>
      <c r="PH106" s="23"/>
      <c r="PI106" s="23"/>
      <c r="PJ106" s="23"/>
      <c r="PK106" s="23"/>
      <c r="PL106" s="23"/>
      <c r="PM106" s="23"/>
      <c r="PN106" s="23"/>
      <c r="PO106" s="23"/>
      <c r="PP106" s="23"/>
      <c r="PQ106" s="23"/>
      <c r="PR106" s="23"/>
      <c r="PS106" s="23"/>
      <c r="PT106" s="23"/>
      <c r="PU106" s="23"/>
      <c r="PV106" s="23"/>
      <c r="PW106" s="23"/>
      <c r="PX106" s="23"/>
      <c r="PY106" s="23"/>
      <c r="PZ106" s="23"/>
      <c r="QA106" s="23"/>
      <c r="QB106" s="23"/>
      <c r="QC106" s="23"/>
      <c r="QD106" s="23"/>
      <c r="QE106" s="23"/>
      <c r="QF106" s="23"/>
      <c r="QG106" s="23"/>
      <c r="QH106" s="23"/>
      <c r="QI106" s="23"/>
      <c r="QJ106" s="23"/>
      <c r="QK106" s="23"/>
      <c r="QL106" s="23"/>
      <c r="QM106" s="23"/>
      <c r="QN106" s="23"/>
      <c r="QO106" s="23"/>
      <c r="QP106" s="23"/>
      <c r="QQ106" s="23"/>
      <c r="QR106" s="23"/>
      <c r="QS106" s="23"/>
      <c r="QT106" s="23"/>
      <c r="QU106" s="23"/>
      <c r="QV106" s="23"/>
      <c r="QW106" s="23"/>
      <c r="QX106" s="23"/>
      <c r="QY106" s="23"/>
      <c r="QZ106" s="23"/>
      <c r="RA106" s="23"/>
      <c r="RB106" s="23"/>
      <c r="RC106" s="23"/>
      <c r="RD106" s="23"/>
      <c r="RE106" s="23"/>
      <c r="RF106" s="23"/>
      <c r="RG106" s="23"/>
      <c r="RH106" s="23"/>
      <c r="RI106" s="23"/>
      <c r="RJ106" s="23"/>
      <c r="RK106" s="23"/>
      <c r="RL106" s="23"/>
      <c r="RM106" s="23"/>
      <c r="RN106" s="23"/>
      <c r="RO106" s="23"/>
      <c r="RP106" s="23"/>
      <c r="RQ106" s="23"/>
      <c r="RR106" s="23"/>
      <c r="RS106" s="23"/>
      <c r="RT106" s="23"/>
      <c r="RU106" s="23"/>
      <c r="RV106" s="23"/>
      <c r="RW106" s="23"/>
      <c r="RX106" s="23"/>
      <c r="RY106" s="23"/>
      <c r="RZ106" s="23"/>
      <c r="SA106" s="23"/>
      <c r="SB106" s="23"/>
      <c r="SC106" s="23"/>
      <c r="SD106" s="23"/>
      <c r="SE106" s="23"/>
      <c r="SF106" s="23"/>
      <c r="SG106" s="23"/>
      <c r="SH106" s="23"/>
      <c r="SI106" s="23"/>
      <c r="SJ106" s="23"/>
      <c r="SK106" s="23"/>
      <c r="SL106" s="23"/>
      <c r="SM106" s="23"/>
      <c r="SN106" s="23"/>
      <c r="SO106" s="23"/>
      <c r="SP106" s="23"/>
      <c r="SQ106" s="23"/>
      <c r="SR106" s="23"/>
      <c r="SS106" s="23"/>
      <c r="ST106" s="23"/>
      <c r="SU106" s="23"/>
      <c r="SV106" s="23"/>
      <c r="SW106" s="23"/>
      <c r="SX106" s="23"/>
      <c r="SY106" s="23"/>
      <c r="SZ106" s="23"/>
      <c r="TA106" s="23"/>
      <c r="TB106" s="23"/>
      <c r="TC106" s="23"/>
      <c r="TD106" s="23"/>
      <c r="TE106" s="23"/>
      <c r="TF106" s="23"/>
      <c r="TG106" s="23"/>
    </row>
    <row r="107" spans="1:527" s="24" customFormat="1" ht="63" x14ac:dyDescent="0.25">
      <c r="A107" s="84"/>
      <c r="B107" s="84"/>
      <c r="C107" s="84"/>
      <c r="D107" s="87" t="s">
        <v>562</v>
      </c>
      <c r="E107" s="101">
        <f t="shared" si="30"/>
        <v>6236344</v>
      </c>
      <c r="F107" s="101">
        <f>6109696+126648</f>
        <v>6236344</v>
      </c>
      <c r="G107" s="101">
        <v>57829</v>
      </c>
      <c r="H107" s="101"/>
      <c r="I107" s="101"/>
      <c r="J107" s="101">
        <f t="shared" si="32"/>
        <v>670719</v>
      </c>
      <c r="K107" s="101">
        <f>797367-126648</f>
        <v>670719</v>
      </c>
      <c r="L107" s="101"/>
      <c r="M107" s="101"/>
      <c r="N107" s="101"/>
      <c r="O107" s="101">
        <f>797367-126648</f>
        <v>670719</v>
      </c>
      <c r="P107" s="101">
        <f t="shared" si="31"/>
        <v>6907063</v>
      </c>
      <c r="Q107" s="30"/>
      <c r="R107" s="32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30"/>
      <c r="NY107" s="30"/>
      <c r="NZ107" s="30"/>
      <c r="OA107" s="30"/>
      <c r="OB107" s="30"/>
      <c r="OC107" s="30"/>
      <c r="OD107" s="30"/>
      <c r="OE107" s="30"/>
      <c r="OF107" s="30"/>
      <c r="OG107" s="30"/>
      <c r="OH107" s="30"/>
      <c r="OI107" s="30"/>
      <c r="OJ107" s="30"/>
      <c r="OK107" s="30"/>
      <c r="OL107" s="30"/>
      <c r="OM107" s="30"/>
      <c r="ON107" s="30"/>
      <c r="OO107" s="30"/>
      <c r="OP107" s="30"/>
      <c r="OQ107" s="30"/>
      <c r="OR107" s="30"/>
      <c r="OS107" s="30"/>
      <c r="OT107" s="30"/>
      <c r="OU107" s="30"/>
      <c r="OV107" s="30"/>
      <c r="OW107" s="30"/>
      <c r="OX107" s="30"/>
      <c r="OY107" s="30"/>
      <c r="OZ107" s="30"/>
      <c r="PA107" s="30"/>
      <c r="PB107" s="30"/>
      <c r="PC107" s="30"/>
      <c r="PD107" s="30"/>
      <c r="PE107" s="30"/>
      <c r="PF107" s="30"/>
      <c r="PG107" s="30"/>
      <c r="PH107" s="30"/>
      <c r="PI107" s="30"/>
      <c r="PJ107" s="30"/>
      <c r="PK107" s="30"/>
      <c r="PL107" s="30"/>
      <c r="PM107" s="30"/>
      <c r="PN107" s="30"/>
      <c r="PO107" s="30"/>
      <c r="PP107" s="30"/>
      <c r="PQ107" s="30"/>
      <c r="PR107" s="30"/>
      <c r="PS107" s="30"/>
      <c r="PT107" s="30"/>
      <c r="PU107" s="30"/>
      <c r="PV107" s="30"/>
      <c r="PW107" s="30"/>
      <c r="PX107" s="30"/>
      <c r="PY107" s="30"/>
      <c r="PZ107" s="30"/>
      <c r="QA107" s="30"/>
      <c r="QB107" s="30"/>
      <c r="QC107" s="30"/>
      <c r="QD107" s="30"/>
      <c r="QE107" s="30"/>
      <c r="QF107" s="30"/>
      <c r="QG107" s="30"/>
      <c r="QH107" s="30"/>
      <c r="QI107" s="30"/>
      <c r="QJ107" s="30"/>
      <c r="QK107" s="30"/>
      <c r="QL107" s="30"/>
      <c r="QM107" s="30"/>
      <c r="QN107" s="30"/>
      <c r="QO107" s="30"/>
      <c r="QP107" s="30"/>
      <c r="QQ107" s="30"/>
      <c r="QR107" s="30"/>
      <c r="QS107" s="30"/>
      <c r="QT107" s="30"/>
      <c r="QU107" s="30"/>
      <c r="QV107" s="30"/>
      <c r="QW107" s="30"/>
      <c r="QX107" s="30"/>
      <c r="QY107" s="30"/>
      <c r="QZ107" s="30"/>
      <c r="RA107" s="30"/>
      <c r="RB107" s="30"/>
      <c r="RC107" s="30"/>
      <c r="RD107" s="30"/>
      <c r="RE107" s="30"/>
      <c r="RF107" s="30"/>
      <c r="RG107" s="30"/>
      <c r="RH107" s="30"/>
      <c r="RI107" s="30"/>
      <c r="RJ107" s="30"/>
      <c r="RK107" s="30"/>
      <c r="RL107" s="30"/>
      <c r="RM107" s="30"/>
      <c r="RN107" s="30"/>
      <c r="RO107" s="30"/>
      <c r="RP107" s="30"/>
      <c r="RQ107" s="30"/>
      <c r="RR107" s="30"/>
      <c r="RS107" s="30"/>
      <c r="RT107" s="30"/>
      <c r="RU107" s="30"/>
      <c r="RV107" s="30"/>
      <c r="RW107" s="30"/>
      <c r="RX107" s="30"/>
      <c r="RY107" s="30"/>
      <c r="RZ107" s="30"/>
      <c r="SA107" s="30"/>
      <c r="SB107" s="30"/>
      <c r="SC107" s="30"/>
      <c r="SD107" s="30"/>
      <c r="SE107" s="30"/>
      <c r="SF107" s="30"/>
      <c r="SG107" s="30"/>
      <c r="SH107" s="30"/>
      <c r="SI107" s="30"/>
      <c r="SJ107" s="30"/>
      <c r="SK107" s="30"/>
      <c r="SL107" s="30"/>
      <c r="SM107" s="30"/>
      <c r="SN107" s="30"/>
      <c r="SO107" s="30"/>
      <c r="SP107" s="30"/>
      <c r="SQ107" s="30"/>
      <c r="SR107" s="30"/>
      <c r="SS107" s="30"/>
      <c r="ST107" s="30"/>
      <c r="SU107" s="30"/>
      <c r="SV107" s="30"/>
      <c r="SW107" s="30"/>
      <c r="SX107" s="30"/>
      <c r="SY107" s="30"/>
      <c r="SZ107" s="30"/>
      <c r="TA107" s="30"/>
      <c r="TB107" s="30"/>
      <c r="TC107" s="30"/>
      <c r="TD107" s="30"/>
      <c r="TE107" s="30"/>
      <c r="TF107" s="30"/>
      <c r="TG107" s="30"/>
    </row>
    <row r="108" spans="1:527" s="22" customFormat="1" ht="65.25" customHeight="1" x14ac:dyDescent="0.25">
      <c r="A108" s="59" t="s">
        <v>490</v>
      </c>
      <c r="B108" s="59" t="s">
        <v>491</v>
      </c>
      <c r="C108" s="59" t="s">
        <v>58</v>
      </c>
      <c r="D108" s="94" t="s">
        <v>507</v>
      </c>
      <c r="E108" s="99">
        <f t="shared" si="30"/>
        <v>2612700</v>
      </c>
      <c r="F108" s="99">
        <v>2612700</v>
      </c>
      <c r="G108" s="99">
        <v>1459720</v>
      </c>
      <c r="H108" s="99"/>
      <c r="I108" s="99"/>
      <c r="J108" s="99">
        <f t="shared" si="32"/>
        <v>72000</v>
      </c>
      <c r="K108" s="99">
        <v>72000</v>
      </c>
      <c r="L108" s="99"/>
      <c r="M108" s="99"/>
      <c r="N108" s="99"/>
      <c r="O108" s="99">
        <v>72000</v>
      </c>
      <c r="P108" s="99">
        <f t="shared" si="31"/>
        <v>2684700</v>
      </c>
      <c r="Q108" s="23"/>
      <c r="R108" s="32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  <c r="LQ108" s="23"/>
      <c r="LR108" s="23"/>
      <c r="LS108" s="23"/>
      <c r="LT108" s="23"/>
      <c r="LU108" s="23"/>
      <c r="LV108" s="23"/>
      <c r="LW108" s="23"/>
      <c r="LX108" s="23"/>
      <c r="LY108" s="23"/>
      <c r="LZ108" s="23"/>
      <c r="MA108" s="23"/>
      <c r="MB108" s="23"/>
      <c r="MC108" s="23"/>
      <c r="MD108" s="23"/>
      <c r="ME108" s="23"/>
      <c r="MF108" s="23"/>
      <c r="MG108" s="23"/>
      <c r="MH108" s="23"/>
      <c r="MI108" s="23"/>
      <c r="MJ108" s="23"/>
      <c r="MK108" s="23"/>
      <c r="ML108" s="23"/>
      <c r="MM108" s="23"/>
      <c r="MN108" s="23"/>
      <c r="MO108" s="23"/>
      <c r="MP108" s="23"/>
      <c r="MQ108" s="23"/>
      <c r="MR108" s="23"/>
      <c r="MS108" s="23"/>
      <c r="MT108" s="23"/>
      <c r="MU108" s="23"/>
      <c r="MV108" s="23"/>
      <c r="MW108" s="23"/>
      <c r="MX108" s="23"/>
      <c r="MY108" s="23"/>
      <c r="MZ108" s="23"/>
      <c r="NA108" s="23"/>
      <c r="NB108" s="23"/>
      <c r="NC108" s="23"/>
      <c r="ND108" s="23"/>
      <c r="NE108" s="23"/>
      <c r="NF108" s="23"/>
      <c r="NG108" s="23"/>
      <c r="NH108" s="23"/>
      <c r="NI108" s="23"/>
      <c r="NJ108" s="23"/>
      <c r="NK108" s="23"/>
      <c r="NL108" s="23"/>
      <c r="NM108" s="23"/>
      <c r="NN108" s="23"/>
      <c r="NO108" s="23"/>
      <c r="NP108" s="23"/>
      <c r="NQ108" s="23"/>
      <c r="NR108" s="23"/>
      <c r="NS108" s="23"/>
      <c r="NT108" s="23"/>
      <c r="NU108" s="23"/>
      <c r="NV108" s="23"/>
      <c r="NW108" s="23"/>
      <c r="NX108" s="23"/>
      <c r="NY108" s="23"/>
      <c r="NZ108" s="23"/>
      <c r="OA108" s="23"/>
      <c r="OB108" s="23"/>
      <c r="OC108" s="23"/>
      <c r="OD108" s="23"/>
      <c r="OE108" s="23"/>
      <c r="OF108" s="23"/>
      <c r="OG108" s="23"/>
      <c r="OH108" s="23"/>
      <c r="OI108" s="23"/>
      <c r="OJ108" s="23"/>
      <c r="OK108" s="23"/>
      <c r="OL108" s="23"/>
      <c r="OM108" s="23"/>
      <c r="ON108" s="23"/>
      <c r="OO108" s="23"/>
      <c r="OP108" s="23"/>
      <c r="OQ108" s="23"/>
      <c r="OR108" s="23"/>
      <c r="OS108" s="23"/>
      <c r="OT108" s="23"/>
      <c r="OU108" s="23"/>
      <c r="OV108" s="23"/>
      <c r="OW108" s="23"/>
      <c r="OX108" s="23"/>
      <c r="OY108" s="23"/>
      <c r="OZ108" s="23"/>
      <c r="PA108" s="23"/>
      <c r="PB108" s="23"/>
      <c r="PC108" s="23"/>
      <c r="PD108" s="23"/>
      <c r="PE108" s="23"/>
      <c r="PF108" s="23"/>
      <c r="PG108" s="23"/>
      <c r="PH108" s="23"/>
      <c r="PI108" s="23"/>
      <c r="PJ108" s="23"/>
      <c r="PK108" s="23"/>
      <c r="PL108" s="23"/>
      <c r="PM108" s="23"/>
      <c r="PN108" s="23"/>
      <c r="PO108" s="23"/>
      <c r="PP108" s="23"/>
      <c r="PQ108" s="23"/>
      <c r="PR108" s="23"/>
      <c r="PS108" s="23"/>
      <c r="PT108" s="23"/>
      <c r="PU108" s="23"/>
      <c r="PV108" s="23"/>
      <c r="PW108" s="23"/>
      <c r="PX108" s="23"/>
      <c r="PY108" s="23"/>
      <c r="PZ108" s="23"/>
      <c r="QA108" s="23"/>
      <c r="QB108" s="23"/>
      <c r="QC108" s="23"/>
      <c r="QD108" s="23"/>
      <c r="QE108" s="23"/>
      <c r="QF108" s="23"/>
      <c r="QG108" s="23"/>
      <c r="QH108" s="23"/>
      <c r="QI108" s="23"/>
      <c r="QJ108" s="23"/>
      <c r="QK108" s="23"/>
      <c r="QL108" s="23"/>
      <c r="QM108" s="23"/>
      <c r="QN108" s="23"/>
      <c r="QO108" s="23"/>
      <c r="QP108" s="23"/>
      <c r="QQ108" s="23"/>
      <c r="QR108" s="23"/>
      <c r="QS108" s="23"/>
      <c r="QT108" s="23"/>
      <c r="QU108" s="23"/>
      <c r="QV108" s="23"/>
      <c r="QW108" s="23"/>
      <c r="QX108" s="23"/>
      <c r="QY108" s="23"/>
      <c r="QZ108" s="23"/>
      <c r="RA108" s="23"/>
      <c r="RB108" s="23"/>
      <c r="RC108" s="23"/>
      <c r="RD108" s="23"/>
      <c r="RE108" s="23"/>
      <c r="RF108" s="23"/>
      <c r="RG108" s="23"/>
      <c r="RH108" s="23"/>
      <c r="RI108" s="23"/>
      <c r="RJ108" s="23"/>
      <c r="RK108" s="23"/>
      <c r="RL108" s="23"/>
      <c r="RM108" s="23"/>
      <c r="RN108" s="23"/>
      <c r="RO108" s="23"/>
      <c r="RP108" s="23"/>
      <c r="RQ108" s="23"/>
      <c r="RR108" s="23"/>
      <c r="RS108" s="23"/>
      <c r="RT108" s="23"/>
      <c r="RU108" s="23"/>
      <c r="RV108" s="23"/>
      <c r="RW108" s="23"/>
      <c r="RX108" s="23"/>
      <c r="RY108" s="23"/>
      <c r="RZ108" s="23"/>
      <c r="SA108" s="23"/>
      <c r="SB108" s="23"/>
      <c r="SC108" s="23"/>
      <c r="SD108" s="23"/>
      <c r="SE108" s="23"/>
      <c r="SF108" s="23"/>
      <c r="SG108" s="23"/>
      <c r="SH108" s="23"/>
      <c r="SI108" s="23"/>
      <c r="SJ108" s="23"/>
      <c r="SK108" s="23"/>
      <c r="SL108" s="23"/>
      <c r="SM108" s="23"/>
      <c r="SN108" s="23"/>
      <c r="SO108" s="23"/>
      <c r="SP108" s="23"/>
      <c r="SQ108" s="23"/>
      <c r="SR108" s="23"/>
      <c r="SS108" s="23"/>
      <c r="ST108" s="23"/>
      <c r="SU108" s="23"/>
      <c r="SV108" s="23"/>
      <c r="SW108" s="23"/>
      <c r="SX108" s="23"/>
      <c r="SY108" s="23"/>
      <c r="SZ108" s="23"/>
      <c r="TA108" s="23"/>
      <c r="TB108" s="23"/>
      <c r="TC108" s="23"/>
      <c r="TD108" s="23"/>
      <c r="TE108" s="23"/>
      <c r="TF108" s="23"/>
      <c r="TG108" s="23"/>
    </row>
    <row r="109" spans="1:527" s="24" customFormat="1" ht="63" x14ac:dyDescent="0.25">
      <c r="A109" s="84"/>
      <c r="B109" s="111"/>
      <c r="C109" s="111"/>
      <c r="D109" s="87" t="s">
        <v>383</v>
      </c>
      <c r="E109" s="101">
        <f t="shared" si="30"/>
        <v>2612700</v>
      </c>
      <c r="F109" s="101">
        <v>2612700</v>
      </c>
      <c r="G109" s="101">
        <v>1459720</v>
      </c>
      <c r="H109" s="101"/>
      <c r="I109" s="101"/>
      <c r="J109" s="101">
        <f t="shared" si="32"/>
        <v>72000</v>
      </c>
      <c r="K109" s="101">
        <v>72000</v>
      </c>
      <c r="L109" s="101"/>
      <c r="M109" s="101"/>
      <c r="N109" s="101"/>
      <c r="O109" s="101">
        <v>72000</v>
      </c>
      <c r="P109" s="101">
        <f t="shared" si="31"/>
        <v>2684700</v>
      </c>
      <c r="Q109" s="30"/>
      <c r="R109" s="32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  <c r="TF109" s="30"/>
      <c r="TG109" s="30"/>
    </row>
    <row r="110" spans="1:527" s="24" customFormat="1" ht="78.75" x14ac:dyDescent="0.25">
      <c r="A110" s="59" t="s">
        <v>522</v>
      </c>
      <c r="B110" s="93">
        <v>1210</v>
      </c>
      <c r="C110" s="59" t="s">
        <v>58</v>
      </c>
      <c r="D110" s="36" t="s">
        <v>523</v>
      </c>
      <c r="E110" s="99">
        <f t="shared" si="30"/>
        <v>1315285.79</v>
      </c>
      <c r="F110" s="99">
        <f>1174231+141054.79</f>
        <v>1315285.79</v>
      </c>
      <c r="G110" s="99">
        <f>962484+72136</f>
        <v>1034620</v>
      </c>
      <c r="H110" s="101"/>
      <c r="I110" s="101"/>
      <c r="J110" s="99">
        <f t="shared" si="32"/>
        <v>0</v>
      </c>
      <c r="K110" s="101"/>
      <c r="L110" s="101"/>
      <c r="M110" s="101"/>
      <c r="N110" s="101"/>
      <c r="O110" s="101"/>
      <c r="P110" s="99">
        <f t="shared" si="31"/>
        <v>1315285.79</v>
      </c>
      <c r="Q110" s="30"/>
      <c r="R110" s="32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0"/>
      <c r="NR110" s="30"/>
      <c r="NS110" s="30"/>
      <c r="NT110" s="30"/>
      <c r="NU110" s="30"/>
      <c r="NV110" s="30"/>
      <c r="NW110" s="30"/>
      <c r="NX110" s="30"/>
      <c r="NY110" s="30"/>
      <c r="NZ110" s="30"/>
      <c r="OA110" s="30"/>
      <c r="OB110" s="30"/>
      <c r="OC110" s="30"/>
      <c r="OD110" s="30"/>
      <c r="OE110" s="30"/>
      <c r="OF110" s="30"/>
      <c r="OG110" s="30"/>
      <c r="OH110" s="30"/>
      <c r="OI110" s="30"/>
      <c r="OJ110" s="30"/>
      <c r="OK110" s="30"/>
      <c r="OL110" s="30"/>
      <c r="OM110" s="30"/>
      <c r="ON110" s="30"/>
      <c r="OO110" s="30"/>
      <c r="OP110" s="30"/>
      <c r="OQ110" s="30"/>
      <c r="OR110" s="30"/>
      <c r="OS110" s="30"/>
      <c r="OT110" s="30"/>
      <c r="OU110" s="30"/>
      <c r="OV110" s="30"/>
      <c r="OW110" s="30"/>
      <c r="OX110" s="30"/>
      <c r="OY110" s="30"/>
      <c r="OZ110" s="30"/>
      <c r="PA110" s="30"/>
      <c r="PB110" s="30"/>
      <c r="PC110" s="30"/>
      <c r="PD110" s="30"/>
      <c r="PE110" s="30"/>
      <c r="PF110" s="30"/>
      <c r="PG110" s="30"/>
      <c r="PH110" s="30"/>
      <c r="PI110" s="30"/>
      <c r="PJ110" s="30"/>
      <c r="PK110" s="30"/>
      <c r="PL110" s="30"/>
      <c r="PM110" s="30"/>
      <c r="PN110" s="30"/>
      <c r="PO110" s="30"/>
      <c r="PP110" s="30"/>
      <c r="PQ110" s="30"/>
      <c r="PR110" s="30"/>
      <c r="PS110" s="30"/>
      <c r="PT110" s="30"/>
      <c r="PU110" s="30"/>
      <c r="PV110" s="30"/>
      <c r="PW110" s="30"/>
      <c r="PX110" s="30"/>
      <c r="PY110" s="30"/>
      <c r="PZ110" s="30"/>
      <c r="QA110" s="30"/>
      <c r="QB110" s="30"/>
      <c r="QC110" s="30"/>
      <c r="QD110" s="30"/>
      <c r="QE110" s="30"/>
      <c r="QF110" s="30"/>
      <c r="QG110" s="30"/>
      <c r="QH110" s="30"/>
      <c r="QI110" s="30"/>
      <c r="QJ110" s="30"/>
      <c r="QK110" s="30"/>
      <c r="QL110" s="30"/>
      <c r="QM110" s="30"/>
      <c r="QN110" s="30"/>
      <c r="QO110" s="30"/>
      <c r="QP110" s="30"/>
      <c r="QQ110" s="30"/>
      <c r="QR110" s="30"/>
      <c r="QS110" s="30"/>
      <c r="QT110" s="30"/>
      <c r="QU110" s="30"/>
      <c r="QV110" s="30"/>
      <c r="QW110" s="30"/>
      <c r="QX110" s="30"/>
      <c r="QY110" s="30"/>
      <c r="QZ110" s="30"/>
      <c r="RA110" s="30"/>
      <c r="RB110" s="30"/>
      <c r="RC110" s="30"/>
      <c r="RD110" s="30"/>
      <c r="RE110" s="30"/>
      <c r="RF110" s="30"/>
      <c r="RG110" s="30"/>
      <c r="RH110" s="30"/>
      <c r="RI110" s="30"/>
      <c r="RJ110" s="30"/>
      <c r="RK110" s="30"/>
      <c r="RL110" s="30"/>
      <c r="RM110" s="30"/>
      <c r="RN110" s="30"/>
      <c r="RO110" s="30"/>
      <c r="RP110" s="30"/>
      <c r="RQ110" s="30"/>
      <c r="RR110" s="30"/>
      <c r="RS110" s="30"/>
      <c r="RT110" s="30"/>
      <c r="RU110" s="30"/>
      <c r="RV110" s="30"/>
      <c r="RW110" s="30"/>
      <c r="RX110" s="30"/>
      <c r="RY110" s="30"/>
      <c r="RZ110" s="30"/>
      <c r="SA110" s="30"/>
      <c r="SB110" s="30"/>
      <c r="SC110" s="30"/>
      <c r="SD110" s="30"/>
      <c r="SE110" s="30"/>
      <c r="SF110" s="30"/>
      <c r="SG110" s="30"/>
      <c r="SH110" s="30"/>
      <c r="SI110" s="30"/>
      <c r="SJ110" s="30"/>
      <c r="SK110" s="30"/>
      <c r="SL110" s="30"/>
      <c r="SM110" s="30"/>
      <c r="SN110" s="30"/>
      <c r="SO110" s="30"/>
      <c r="SP110" s="30"/>
      <c r="SQ110" s="30"/>
      <c r="SR110" s="30"/>
      <c r="SS110" s="30"/>
      <c r="ST110" s="30"/>
      <c r="SU110" s="30"/>
      <c r="SV110" s="30"/>
      <c r="SW110" s="30"/>
      <c r="SX110" s="30"/>
      <c r="SY110" s="30"/>
      <c r="SZ110" s="30"/>
      <c r="TA110" s="30"/>
      <c r="TB110" s="30"/>
      <c r="TC110" s="30"/>
      <c r="TD110" s="30"/>
      <c r="TE110" s="30"/>
      <c r="TF110" s="30"/>
      <c r="TG110" s="30"/>
    </row>
    <row r="111" spans="1:527" s="24" customFormat="1" ht="75.75" customHeight="1" x14ac:dyDescent="0.25">
      <c r="A111" s="84"/>
      <c r="B111" s="111"/>
      <c r="C111" s="111"/>
      <c r="D111" s="87" t="s">
        <v>524</v>
      </c>
      <c r="E111" s="101">
        <f t="shared" si="30"/>
        <v>1315285.79</v>
      </c>
      <c r="F111" s="101">
        <f>1174231+141054.79</f>
        <v>1315285.79</v>
      </c>
      <c r="G111" s="101">
        <f>962484+72136</f>
        <v>1034620</v>
      </c>
      <c r="H111" s="101"/>
      <c r="I111" s="101"/>
      <c r="J111" s="101">
        <f t="shared" si="32"/>
        <v>0</v>
      </c>
      <c r="K111" s="101"/>
      <c r="L111" s="101"/>
      <c r="M111" s="101"/>
      <c r="N111" s="101"/>
      <c r="O111" s="101"/>
      <c r="P111" s="101">
        <f t="shared" si="31"/>
        <v>1315285.79</v>
      </c>
      <c r="Q111" s="30"/>
      <c r="R111" s="32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  <c r="TF111" s="30"/>
      <c r="TG111" s="30"/>
    </row>
    <row r="112" spans="1:527" s="24" customFormat="1" ht="64.5" customHeight="1" x14ac:dyDescent="0.25">
      <c r="A112" s="59" t="s">
        <v>492</v>
      </c>
      <c r="B112" s="93">
        <v>3140</v>
      </c>
      <c r="C112" s="93">
        <v>1040</v>
      </c>
      <c r="D112" s="6" t="s">
        <v>20</v>
      </c>
      <c r="E112" s="99">
        <f t="shared" si="30"/>
        <v>5500000</v>
      </c>
      <c r="F112" s="99">
        <v>5500000</v>
      </c>
      <c r="G112" s="99"/>
      <c r="H112" s="99"/>
      <c r="I112" s="99"/>
      <c r="J112" s="99">
        <f t="shared" si="32"/>
        <v>0</v>
      </c>
      <c r="K112" s="101"/>
      <c r="L112" s="101"/>
      <c r="M112" s="101"/>
      <c r="N112" s="101"/>
      <c r="O112" s="101"/>
      <c r="P112" s="99">
        <f t="shared" si="31"/>
        <v>5500000</v>
      </c>
      <c r="Q112" s="30"/>
      <c r="R112" s="32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  <c r="SQ112" s="30"/>
      <c r="SR112" s="30"/>
      <c r="SS112" s="30"/>
      <c r="ST112" s="30"/>
      <c r="SU112" s="30"/>
      <c r="SV112" s="30"/>
      <c r="SW112" s="30"/>
      <c r="SX112" s="30"/>
      <c r="SY112" s="30"/>
      <c r="SZ112" s="30"/>
      <c r="TA112" s="30"/>
      <c r="TB112" s="30"/>
      <c r="TC112" s="30"/>
      <c r="TD112" s="30"/>
      <c r="TE112" s="30"/>
      <c r="TF112" s="30"/>
      <c r="TG112" s="30"/>
    </row>
    <row r="113" spans="1:527" s="24" customFormat="1" ht="31.5" x14ac:dyDescent="0.25">
      <c r="A113" s="59" t="s">
        <v>493</v>
      </c>
      <c r="B113" s="93">
        <v>3242</v>
      </c>
      <c r="C113" s="93">
        <v>1090</v>
      </c>
      <c r="D113" s="36" t="s">
        <v>412</v>
      </c>
      <c r="E113" s="99">
        <f t="shared" si="30"/>
        <v>54300</v>
      </c>
      <c r="F113" s="99">
        <v>54300</v>
      </c>
      <c r="G113" s="99"/>
      <c r="H113" s="99"/>
      <c r="I113" s="99"/>
      <c r="J113" s="99">
        <f t="shared" si="32"/>
        <v>0</v>
      </c>
      <c r="K113" s="101"/>
      <c r="L113" s="101"/>
      <c r="M113" s="101"/>
      <c r="N113" s="101"/>
      <c r="O113" s="101"/>
      <c r="P113" s="99">
        <f t="shared" si="31"/>
        <v>54300</v>
      </c>
      <c r="Q113" s="30"/>
      <c r="R113" s="32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30"/>
      <c r="NY113" s="30"/>
      <c r="NZ113" s="30"/>
      <c r="OA113" s="30"/>
      <c r="OB113" s="30"/>
      <c r="OC113" s="30"/>
      <c r="OD113" s="30"/>
      <c r="OE113" s="30"/>
      <c r="OF113" s="30"/>
      <c r="OG113" s="30"/>
      <c r="OH113" s="30"/>
      <c r="OI113" s="30"/>
      <c r="OJ113" s="30"/>
      <c r="OK113" s="30"/>
      <c r="OL113" s="30"/>
      <c r="OM113" s="30"/>
      <c r="ON113" s="30"/>
      <c r="OO113" s="30"/>
      <c r="OP113" s="30"/>
      <c r="OQ113" s="30"/>
      <c r="OR113" s="30"/>
      <c r="OS113" s="30"/>
      <c r="OT113" s="30"/>
      <c r="OU113" s="30"/>
      <c r="OV113" s="30"/>
      <c r="OW113" s="30"/>
      <c r="OX113" s="30"/>
      <c r="OY113" s="30"/>
      <c r="OZ113" s="30"/>
      <c r="PA113" s="30"/>
      <c r="PB113" s="30"/>
      <c r="PC113" s="30"/>
      <c r="PD113" s="30"/>
      <c r="PE113" s="30"/>
      <c r="PF113" s="30"/>
      <c r="PG113" s="30"/>
      <c r="PH113" s="30"/>
      <c r="PI113" s="30"/>
      <c r="PJ113" s="30"/>
      <c r="PK113" s="30"/>
      <c r="PL113" s="30"/>
      <c r="PM113" s="30"/>
      <c r="PN113" s="30"/>
      <c r="PO113" s="30"/>
      <c r="PP113" s="30"/>
      <c r="PQ113" s="30"/>
      <c r="PR113" s="30"/>
      <c r="PS113" s="30"/>
      <c r="PT113" s="30"/>
      <c r="PU113" s="30"/>
      <c r="PV113" s="30"/>
      <c r="PW113" s="30"/>
      <c r="PX113" s="30"/>
      <c r="PY113" s="30"/>
      <c r="PZ113" s="30"/>
      <c r="QA113" s="30"/>
      <c r="QB113" s="30"/>
      <c r="QC113" s="30"/>
      <c r="QD113" s="30"/>
      <c r="QE113" s="30"/>
      <c r="QF113" s="30"/>
      <c r="QG113" s="30"/>
      <c r="QH113" s="30"/>
      <c r="QI113" s="30"/>
      <c r="QJ113" s="30"/>
      <c r="QK113" s="30"/>
      <c r="QL113" s="30"/>
      <c r="QM113" s="30"/>
      <c r="QN113" s="30"/>
      <c r="QO113" s="30"/>
      <c r="QP113" s="30"/>
      <c r="QQ113" s="30"/>
      <c r="QR113" s="30"/>
      <c r="QS113" s="30"/>
      <c r="QT113" s="30"/>
      <c r="QU113" s="30"/>
      <c r="QV113" s="30"/>
      <c r="QW113" s="30"/>
      <c r="QX113" s="30"/>
      <c r="QY113" s="30"/>
      <c r="QZ113" s="30"/>
      <c r="RA113" s="30"/>
      <c r="RB113" s="30"/>
      <c r="RC113" s="30"/>
      <c r="RD113" s="30"/>
      <c r="RE113" s="30"/>
      <c r="RF113" s="30"/>
      <c r="RG113" s="30"/>
      <c r="RH113" s="30"/>
      <c r="RI113" s="30"/>
      <c r="RJ113" s="30"/>
      <c r="RK113" s="30"/>
      <c r="RL113" s="30"/>
      <c r="RM113" s="30"/>
      <c r="RN113" s="30"/>
      <c r="RO113" s="30"/>
      <c r="RP113" s="30"/>
      <c r="RQ113" s="30"/>
      <c r="RR113" s="30"/>
      <c r="RS113" s="30"/>
      <c r="RT113" s="30"/>
      <c r="RU113" s="30"/>
      <c r="RV113" s="30"/>
      <c r="RW113" s="30"/>
      <c r="RX113" s="30"/>
      <c r="RY113" s="30"/>
      <c r="RZ113" s="30"/>
      <c r="SA113" s="30"/>
      <c r="SB113" s="30"/>
      <c r="SC113" s="30"/>
      <c r="SD113" s="30"/>
      <c r="SE113" s="30"/>
      <c r="SF113" s="30"/>
      <c r="SG113" s="30"/>
      <c r="SH113" s="30"/>
      <c r="SI113" s="30"/>
      <c r="SJ113" s="30"/>
      <c r="SK113" s="30"/>
      <c r="SL113" s="30"/>
      <c r="SM113" s="30"/>
      <c r="SN113" s="30"/>
      <c r="SO113" s="30"/>
      <c r="SP113" s="30"/>
      <c r="SQ113" s="30"/>
      <c r="SR113" s="30"/>
      <c r="SS113" s="30"/>
      <c r="ST113" s="30"/>
      <c r="SU113" s="30"/>
      <c r="SV113" s="30"/>
      <c r="SW113" s="30"/>
      <c r="SX113" s="30"/>
      <c r="SY113" s="30"/>
      <c r="SZ113" s="30"/>
      <c r="TA113" s="30"/>
      <c r="TB113" s="30"/>
      <c r="TC113" s="30"/>
      <c r="TD113" s="30"/>
      <c r="TE113" s="30"/>
      <c r="TF113" s="30"/>
      <c r="TG113" s="30"/>
    </row>
    <row r="114" spans="1:527" s="24" customFormat="1" ht="47.25" x14ac:dyDescent="0.25">
      <c r="A114" s="59" t="s">
        <v>495</v>
      </c>
      <c r="B114" s="93">
        <v>5031</v>
      </c>
      <c r="C114" s="59" t="s">
        <v>80</v>
      </c>
      <c r="D114" s="3" t="s">
        <v>565</v>
      </c>
      <c r="E114" s="99">
        <f t="shared" si="30"/>
        <v>8883755</v>
      </c>
      <c r="F114" s="99">
        <f>8813255+70500</f>
        <v>8883755</v>
      </c>
      <c r="G114" s="99">
        <v>6510800</v>
      </c>
      <c r="H114" s="99">
        <f>202167+70500</f>
        <v>272667</v>
      </c>
      <c r="I114" s="99"/>
      <c r="J114" s="99">
        <f t="shared" si="32"/>
        <v>0</v>
      </c>
      <c r="K114" s="101"/>
      <c r="L114" s="101"/>
      <c r="M114" s="101"/>
      <c r="N114" s="101"/>
      <c r="O114" s="101"/>
      <c r="P114" s="99">
        <f t="shared" si="31"/>
        <v>8883755</v>
      </c>
      <c r="Q114" s="30"/>
      <c r="R114" s="32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  <c r="NO114" s="30"/>
      <c r="NP114" s="30"/>
      <c r="NQ114" s="30"/>
      <c r="NR114" s="30"/>
      <c r="NS114" s="30"/>
      <c r="NT114" s="30"/>
      <c r="NU114" s="30"/>
      <c r="NV114" s="30"/>
      <c r="NW114" s="30"/>
      <c r="NX114" s="30"/>
      <c r="NY114" s="30"/>
      <c r="NZ114" s="30"/>
      <c r="OA114" s="30"/>
      <c r="OB114" s="30"/>
      <c r="OC114" s="30"/>
      <c r="OD114" s="30"/>
      <c r="OE114" s="30"/>
      <c r="OF114" s="30"/>
      <c r="OG114" s="30"/>
      <c r="OH114" s="30"/>
      <c r="OI114" s="30"/>
      <c r="OJ114" s="30"/>
      <c r="OK114" s="30"/>
      <c r="OL114" s="30"/>
      <c r="OM114" s="30"/>
      <c r="ON114" s="30"/>
      <c r="OO114" s="30"/>
      <c r="OP114" s="30"/>
      <c r="OQ114" s="30"/>
      <c r="OR114" s="30"/>
      <c r="OS114" s="30"/>
      <c r="OT114" s="30"/>
      <c r="OU114" s="30"/>
      <c r="OV114" s="30"/>
      <c r="OW114" s="30"/>
      <c r="OX114" s="30"/>
      <c r="OY114" s="30"/>
      <c r="OZ114" s="30"/>
      <c r="PA114" s="30"/>
      <c r="PB114" s="30"/>
      <c r="PC114" s="30"/>
      <c r="PD114" s="30"/>
      <c r="PE114" s="30"/>
      <c r="PF114" s="30"/>
      <c r="PG114" s="30"/>
      <c r="PH114" s="30"/>
      <c r="PI114" s="30"/>
      <c r="PJ114" s="30"/>
      <c r="PK114" s="30"/>
      <c r="PL114" s="30"/>
      <c r="PM114" s="30"/>
      <c r="PN114" s="30"/>
      <c r="PO114" s="30"/>
      <c r="PP114" s="30"/>
      <c r="PQ114" s="30"/>
      <c r="PR114" s="30"/>
      <c r="PS114" s="30"/>
      <c r="PT114" s="30"/>
      <c r="PU114" s="30"/>
      <c r="PV114" s="30"/>
      <c r="PW114" s="30"/>
      <c r="PX114" s="30"/>
      <c r="PY114" s="30"/>
      <c r="PZ114" s="30"/>
      <c r="QA114" s="30"/>
      <c r="QB114" s="30"/>
      <c r="QC114" s="30"/>
      <c r="QD114" s="30"/>
      <c r="QE114" s="30"/>
      <c r="QF114" s="30"/>
      <c r="QG114" s="30"/>
      <c r="QH114" s="30"/>
      <c r="QI114" s="30"/>
      <c r="QJ114" s="30"/>
      <c r="QK114" s="30"/>
      <c r="QL114" s="30"/>
      <c r="QM114" s="30"/>
      <c r="QN114" s="30"/>
      <c r="QO114" s="30"/>
      <c r="QP114" s="30"/>
      <c r="QQ114" s="30"/>
      <c r="QR114" s="30"/>
      <c r="QS114" s="30"/>
      <c r="QT114" s="30"/>
      <c r="QU114" s="30"/>
      <c r="QV114" s="30"/>
      <c r="QW114" s="30"/>
      <c r="QX114" s="30"/>
      <c r="QY114" s="30"/>
      <c r="QZ114" s="30"/>
      <c r="RA114" s="30"/>
      <c r="RB114" s="30"/>
      <c r="RC114" s="30"/>
      <c r="RD114" s="30"/>
      <c r="RE114" s="30"/>
      <c r="RF114" s="30"/>
      <c r="RG114" s="30"/>
      <c r="RH114" s="30"/>
      <c r="RI114" s="30"/>
      <c r="RJ114" s="30"/>
      <c r="RK114" s="30"/>
      <c r="RL114" s="30"/>
      <c r="RM114" s="30"/>
      <c r="RN114" s="30"/>
      <c r="RO114" s="30"/>
      <c r="RP114" s="30"/>
      <c r="RQ114" s="30"/>
      <c r="RR114" s="30"/>
      <c r="RS114" s="30"/>
      <c r="RT114" s="30"/>
      <c r="RU114" s="30"/>
      <c r="RV114" s="30"/>
      <c r="RW114" s="30"/>
      <c r="RX114" s="30"/>
      <c r="RY114" s="30"/>
      <c r="RZ114" s="30"/>
      <c r="SA114" s="30"/>
      <c r="SB114" s="30"/>
      <c r="SC114" s="30"/>
      <c r="SD114" s="30"/>
      <c r="SE114" s="30"/>
      <c r="SF114" s="30"/>
      <c r="SG114" s="30"/>
      <c r="SH114" s="30"/>
      <c r="SI114" s="30"/>
      <c r="SJ114" s="30"/>
      <c r="SK114" s="30"/>
      <c r="SL114" s="30"/>
      <c r="SM114" s="30"/>
      <c r="SN114" s="30"/>
      <c r="SO114" s="30"/>
      <c r="SP114" s="30"/>
      <c r="SQ114" s="30"/>
      <c r="SR114" s="30"/>
      <c r="SS114" s="30"/>
      <c r="ST114" s="30"/>
      <c r="SU114" s="30"/>
      <c r="SV114" s="30"/>
      <c r="SW114" s="30"/>
      <c r="SX114" s="30"/>
      <c r="SY114" s="30"/>
      <c r="SZ114" s="30"/>
      <c r="TA114" s="30"/>
      <c r="TB114" s="30"/>
      <c r="TC114" s="30"/>
      <c r="TD114" s="30"/>
      <c r="TE114" s="30"/>
      <c r="TF114" s="30"/>
      <c r="TG114" s="30"/>
    </row>
    <row r="115" spans="1:527" s="24" customFormat="1" ht="23.25" customHeight="1" x14ac:dyDescent="0.25">
      <c r="A115" s="84"/>
      <c r="B115" s="111"/>
      <c r="C115" s="84"/>
      <c r="D115" s="87" t="s">
        <v>395</v>
      </c>
      <c r="E115" s="101">
        <f t="shared" si="30"/>
        <v>134064</v>
      </c>
      <c r="F115" s="101">
        <v>134064</v>
      </c>
      <c r="G115" s="101"/>
      <c r="H115" s="101"/>
      <c r="I115" s="101"/>
      <c r="J115" s="101">
        <f t="shared" si="32"/>
        <v>0</v>
      </c>
      <c r="K115" s="101"/>
      <c r="L115" s="101"/>
      <c r="M115" s="101"/>
      <c r="N115" s="101"/>
      <c r="O115" s="101"/>
      <c r="P115" s="101">
        <f t="shared" si="31"/>
        <v>134064</v>
      </c>
      <c r="Q115" s="30"/>
      <c r="R115" s="32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  <c r="TF115" s="30"/>
      <c r="TG115" s="30"/>
    </row>
    <row r="116" spans="1:527" s="24" customFormat="1" ht="34.5" x14ac:dyDescent="0.25">
      <c r="A116" s="59" t="s">
        <v>496</v>
      </c>
      <c r="B116" s="93">
        <v>7321</v>
      </c>
      <c r="C116" s="59" t="s">
        <v>111</v>
      </c>
      <c r="D116" s="6" t="s">
        <v>615</v>
      </c>
      <c r="E116" s="99">
        <f t="shared" si="30"/>
        <v>0</v>
      </c>
      <c r="F116" s="99"/>
      <c r="G116" s="99"/>
      <c r="H116" s="99"/>
      <c r="I116" s="99"/>
      <c r="J116" s="99">
        <f t="shared" si="32"/>
        <v>26222282</v>
      </c>
      <c r="K116" s="99">
        <f>24799566-17200+12502+204100+323280+207900+392634+299500</f>
        <v>26222282</v>
      </c>
      <c r="L116" s="99"/>
      <c r="M116" s="99"/>
      <c r="N116" s="99"/>
      <c r="O116" s="99">
        <f>24799566-17200+12502+204100+323280+207900+392634+299500</f>
        <v>26222282</v>
      </c>
      <c r="P116" s="99">
        <f t="shared" si="31"/>
        <v>26222282</v>
      </c>
      <c r="Q116" s="30"/>
      <c r="R116" s="32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  <c r="TF116" s="30"/>
      <c r="TG116" s="30"/>
    </row>
    <row r="117" spans="1:527" s="24" customFormat="1" ht="15.75" x14ac:dyDescent="0.25">
      <c r="A117" s="59"/>
      <c r="B117" s="93"/>
      <c r="C117" s="59"/>
      <c r="D117" s="87" t="s">
        <v>395</v>
      </c>
      <c r="E117" s="101">
        <f t="shared" si="30"/>
        <v>0</v>
      </c>
      <c r="F117" s="99"/>
      <c r="G117" s="99"/>
      <c r="H117" s="99"/>
      <c r="I117" s="99"/>
      <c r="J117" s="101">
        <f t="shared" si="32"/>
        <v>250000</v>
      </c>
      <c r="K117" s="101">
        <v>250000</v>
      </c>
      <c r="L117" s="99"/>
      <c r="M117" s="99"/>
      <c r="N117" s="99"/>
      <c r="O117" s="101">
        <v>250000</v>
      </c>
      <c r="P117" s="101">
        <f t="shared" si="31"/>
        <v>250000</v>
      </c>
      <c r="Q117" s="30"/>
      <c r="R117" s="32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0"/>
      <c r="NR117" s="30"/>
      <c r="NS117" s="30"/>
      <c r="NT117" s="30"/>
      <c r="NU117" s="30"/>
      <c r="NV117" s="30"/>
      <c r="NW117" s="30"/>
      <c r="NX117" s="30"/>
      <c r="NY117" s="30"/>
      <c r="NZ117" s="30"/>
      <c r="OA117" s="30"/>
      <c r="OB117" s="30"/>
      <c r="OC117" s="30"/>
      <c r="OD117" s="30"/>
      <c r="OE117" s="30"/>
      <c r="OF117" s="30"/>
      <c r="OG117" s="30"/>
      <c r="OH117" s="30"/>
      <c r="OI117" s="30"/>
      <c r="OJ117" s="30"/>
      <c r="OK117" s="30"/>
      <c r="OL117" s="30"/>
      <c r="OM117" s="30"/>
      <c r="ON117" s="30"/>
      <c r="OO117" s="30"/>
      <c r="OP117" s="30"/>
      <c r="OQ117" s="30"/>
      <c r="OR117" s="30"/>
      <c r="OS117" s="30"/>
      <c r="OT117" s="30"/>
      <c r="OU117" s="30"/>
      <c r="OV117" s="30"/>
      <c r="OW117" s="30"/>
      <c r="OX117" s="30"/>
      <c r="OY117" s="30"/>
      <c r="OZ117" s="30"/>
      <c r="PA117" s="30"/>
      <c r="PB117" s="30"/>
      <c r="PC117" s="30"/>
      <c r="PD117" s="30"/>
      <c r="PE117" s="30"/>
      <c r="PF117" s="30"/>
      <c r="PG117" s="30"/>
      <c r="PH117" s="30"/>
      <c r="PI117" s="30"/>
      <c r="PJ117" s="30"/>
      <c r="PK117" s="30"/>
      <c r="PL117" s="30"/>
      <c r="PM117" s="30"/>
      <c r="PN117" s="30"/>
      <c r="PO117" s="30"/>
      <c r="PP117" s="30"/>
      <c r="PQ117" s="30"/>
      <c r="PR117" s="30"/>
      <c r="PS117" s="30"/>
      <c r="PT117" s="30"/>
      <c r="PU117" s="30"/>
      <c r="PV117" s="30"/>
      <c r="PW117" s="30"/>
      <c r="PX117" s="30"/>
      <c r="PY117" s="30"/>
      <c r="PZ117" s="30"/>
      <c r="QA117" s="30"/>
      <c r="QB117" s="30"/>
      <c r="QC117" s="30"/>
      <c r="QD117" s="30"/>
      <c r="QE117" s="30"/>
      <c r="QF117" s="30"/>
      <c r="QG117" s="30"/>
      <c r="QH117" s="30"/>
      <c r="QI117" s="30"/>
      <c r="QJ117" s="30"/>
      <c r="QK117" s="30"/>
      <c r="QL117" s="30"/>
      <c r="QM117" s="30"/>
      <c r="QN117" s="30"/>
      <c r="QO117" s="30"/>
      <c r="QP117" s="30"/>
      <c r="QQ117" s="30"/>
      <c r="QR117" s="30"/>
      <c r="QS117" s="30"/>
      <c r="QT117" s="30"/>
      <c r="QU117" s="30"/>
      <c r="QV117" s="30"/>
      <c r="QW117" s="30"/>
      <c r="QX117" s="30"/>
      <c r="QY117" s="30"/>
      <c r="QZ117" s="30"/>
      <c r="RA117" s="30"/>
      <c r="RB117" s="30"/>
      <c r="RC117" s="30"/>
      <c r="RD117" s="30"/>
      <c r="RE117" s="30"/>
      <c r="RF117" s="30"/>
      <c r="RG117" s="30"/>
      <c r="RH117" s="30"/>
      <c r="RI117" s="30"/>
      <c r="RJ117" s="30"/>
      <c r="RK117" s="30"/>
      <c r="RL117" s="30"/>
      <c r="RM117" s="30"/>
      <c r="RN117" s="30"/>
      <c r="RO117" s="30"/>
      <c r="RP117" s="30"/>
      <c r="RQ117" s="30"/>
      <c r="RR117" s="30"/>
      <c r="RS117" s="30"/>
      <c r="RT117" s="30"/>
      <c r="RU117" s="30"/>
      <c r="RV117" s="30"/>
      <c r="RW117" s="30"/>
      <c r="RX117" s="30"/>
      <c r="RY117" s="30"/>
      <c r="RZ117" s="30"/>
      <c r="SA117" s="30"/>
      <c r="SB117" s="30"/>
      <c r="SC117" s="30"/>
      <c r="SD117" s="30"/>
      <c r="SE117" s="30"/>
      <c r="SF117" s="30"/>
      <c r="SG117" s="30"/>
      <c r="SH117" s="30"/>
      <c r="SI117" s="30"/>
      <c r="SJ117" s="30"/>
      <c r="SK117" s="30"/>
      <c r="SL117" s="30"/>
      <c r="SM117" s="30"/>
      <c r="SN117" s="30"/>
      <c r="SO117" s="30"/>
      <c r="SP117" s="30"/>
      <c r="SQ117" s="30"/>
      <c r="SR117" s="30"/>
      <c r="SS117" s="30"/>
      <c r="ST117" s="30"/>
      <c r="SU117" s="30"/>
      <c r="SV117" s="30"/>
      <c r="SW117" s="30"/>
      <c r="SX117" s="30"/>
      <c r="SY117" s="30"/>
      <c r="SZ117" s="30"/>
      <c r="TA117" s="30"/>
      <c r="TB117" s="30"/>
      <c r="TC117" s="30"/>
      <c r="TD117" s="30"/>
      <c r="TE117" s="30"/>
      <c r="TF117" s="30"/>
      <c r="TG117" s="30"/>
    </row>
    <row r="118" spans="1:527" s="24" customFormat="1" ht="51" customHeight="1" x14ac:dyDescent="0.25">
      <c r="A118" s="59" t="s">
        <v>554</v>
      </c>
      <c r="B118" s="93">
        <v>7363</v>
      </c>
      <c r="C118" s="59" t="s">
        <v>82</v>
      </c>
      <c r="D118" s="6" t="s">
        <v>398</v>
      </c>
      <c r="E118" s="99">
        <f t="shared" si="30"/>
        <v>0</v>
      </c>
      <c r="F118" s="99"/>
      <c r="G118" s="99"/>
      <c r="H118" s="99"/>
      <c r="I118" s="99"/>
      <c r="J118" s="99">
        <f t="shared" si="32"/>
        <v>15285200</v>
      </c>
      <c r="K118" s="99">
        <v>11792250</v>
      </c>
      <c r="L118" s="99"/>
      <c r="M118" s="99"/>
      <c r="N118" s="99"/>
      <c r="O118" s="99">
        <v>15285200</v>
      </c>
      <c r="P118" s="99">
        <f t="shared" si="31"/>
        <v>15285200</v>
      </c>
      <c r="Q118" s="30"/>
      <c r="R118" s="32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  <c r="SQ118" s="30"/>
      <c r="SR118" s="30"/>
      <c r="SS118" s="30"/>
      <c r="ST118" s="30"/>
      <c r="SU118" s="30"/>
      <c r="SV118" s="30"/>
      <c r="SW118" s="30"/>
      <c r="SX118" s="30"/>
      <c r="SY118" s="30"/>
      <c r="SZ118" s="30"/>
      <c r="TA118" s="30"/>
      <c r="TB118" s="30"/>
      <c r="TC118" s="30"/>
      <c r="TD118" s="30"/>
      <c r="TE118" s="30"/>
      <c r="TF118" s="30"/>
      <c r="TG118" s="30"/>
    </row>
    <row r="119" spans="1:527" s="24" customFormat="1" ht="47.25" x14ac:dyDescent="0.25">
      <c r="A119" s="84"/>
      <c r="B119" s="111"/>
      <c r="C119" s="84"/>
      <c r="D119" s="81" t="s">
        <v>566</v>
      </c>
      <c r="E119" s="101">
        <f t="shared" si="30"/>
        <v>0</v>
      </c>
      <c r="F119" s="101"/>
      <c r="G119" s="101"/>
      <c r="H119" s="101"/>
      <c r="I119" s="101"/>
      <c r="J119" s="101">
        <f t="shared" si="32"/>
        <v>9499436</v>
      </c>
      <c r="K119" s="101">
        <v>6006486</v>
      </c>
      <c r="L119" s="101"/>
      <c r="M119" s="101"/>
      <c r="N119" s="101"/>
      <c r="O119" s="101">
        <v>9499436</v>
      </c>
      <c r="P119" s="101">
        <f t="shared" si="31"/>
        <v>9499436</v>
      </c>
      <c r="Q119" s="30"/>
      <c r="R119" s="32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  <c r="TF119" s="30"/>
      <c r="TG119" s="30"/>
    </row>
    <row r="120" spans="1:527" s="24" customFormat="1" ht="15.75" x14ac:dyDescent="0.25">
      <c r="A120" s="59" t="s">
        <v>497</v>
      </c>
      <c r="B120" s="93">
        <v>7640</v>
      </c>
      <c r="C120" s="59" t="s">
        <v>86</v>
      </c>
      <c r="D120" s="3" t="s">
        <v>422</v>
      </c>
      <c r="E120" s="99">
        <f t="shared" si="30"/>
        <v>665150</v>
      </c>
      <c r="F120" s="99">
        <f>691000-25850</f>
        <v>665150</v>
      </c>
      <c r="G120" s="99"/>
      <c r="H120" s="99"/>
      <c r="I120" s="99"/>
      <c r="J120" s="99">
        <f t="shared" si="32"/>
        <v>11554696</v>
      </c>
      <c r="K120" s="99">
        <v>11554696</v>
      </c>
      <c r="L120" s="99"/>
      <c r="M120" s="99"/>
      <c r="N120" s="99"/>
      <c r="O120" s="99">
        <v>11554696</v>
      </c>
      <c r="P120" s="99">
        <f t="shared" si="31"/>
        <v>12219846</v>
      </c>
      <c r="Q120" s="30"/>
      <c r="R120" s="32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  <c r="SQ120" s="30"/>
      <c r="SR120" s="30"/>
      <c r="SS120" s="30"/>
      <c r="ST120" s="30"/>
      <c r="SU120" s="30"/>
      <c r="SV120" s="30"/>
      <c r="SW120" s="30"/>
      <c r="SX120" s="30"/>
      <c r="SY120" s="30"/>
      <c r="SZ120" s="30"/>
      <c r="TA120" s="30"/>
      <c r="TB120" s="30"/>
      <c r="TC120" s="30"/>
      <c r="TD120" s="30"/>
      <c r="TE120" s="30"/>
      <c r="TF120" s="30"/>
      <c r="TG120" s="30"/>
    </row>
    <row r="121" spans="1:527" s="24" customFormat="1" ht="47.25" x14ac:dyDescent="0.25">
      <c r="A121" s="59" t="s">
        <v>500</v>
      </c>
      <c r="B121" s="93">
        <v>7700</v>
      </c>
      <c r="C121" s="59" t="s">
        <v>93</v>
      </c>
      <c r="D121" s="3" t="s">
        <v>362</v>
      </c>
      <c r="E121" s="99">
        <f t="shared" si="30"/>
        <v>0</v>
      </c>
      <c r="F121" s="99"/>
      <c r="G121" s="99"/>
      <c r="H121" s="99"/>
      <c r="I121" s="99"/>
      <c r="J121" s="99">
        <f t="shared" si="32"/>
        <v>630000</v>
      </c>
      <c r="K121" s="99"/>
      <c r="L121" s="99"/>
      <c r="M121" s="99"/>
      <c r="N121" s="99"/>
      <c r="O121" s="99">
        <v>630000</v>
      </c>
      <c r="P121" s="99">
        <f t="shared" si="31"/>
        <v>630000</v>
      </c>
      <c r="Q121" s="30"/>
      <c r="R121" s="32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30"/>
      <c r="NY121" s="30"/>
      <c r="NZ121" s="30"/>
      <c r="OA121" s="30"/>
      <c r="OB121" s="30"/>
      <c r="OC121" s="30"/>
      <c r="OD121" s="30"/>
      <c r="OE121" s="30"/>
      <c r="OF121" s="30"/>
      <c r="OG121" s="30"/>
      <c r="OH121" s="30"/>
      <c r="OI121" s="30"/>
      <c r="OJ121" s="30"/>
      <c r="OK121" s="30"/>
      <c r="OL121" s="30"/>
      <c r="OM121" s="30"/>
      <c r="ON121" s="30"/>
      <c r="OO121" s="30"/>
      <c r="OP121" s="30"/>
      <c r="OQ121" s="30"/>
      <c r="OR121" s="30"/>
      <c r="OS121" s="30"/>
      <c r="OT121" s="30"/>
      <c r="OU121" s="30"/>
      <c r="OV121" s="30"/>
      <c r="OW121" s="30"/>
      <c r="OX121" s="30"/>
      <c r="OY121" s="30"/>
      <c r="OZ121" s="30"/>
      <c r="PA121" s="30"/>
      <c r="PB121" s="30"/>
      <c r="PC121" s="30"/>
      <c r="PD121" s="30"/>
      <c r="PE121" s="30"/>
      <c r="PF121" s="30"/>
      <c r="PG121" s="30"/>
      <c r="PH121" s="30"/>
      <c r="PI121" s="30"/>
      <c r="PJ121" s="30"/>
      <c r="PK121" s="30"/>
      <c r="PL121" s="30"/>
      <c r="PM121" s="30"/>
      <c r="PN121" s="30"/>
      <c r="PO121" s="30"/>
      <c r="PP121" s="30"/>
      <c r="PQ121" s="30"/>
      <c r="PR121" s="30"/>
      <c r="PS121" s="30"/>
      <c r="PT121" s="30"/>
      <c r="PU121" s="30"/>
      <c r="PV121" s="30"/>
      <c r="PW121" s="30"/>
      <c r="PX121" s="30"/>
      <c r="PY121" s="30"/>
      <c r="PZ121" s="30"/>
      <c r="QA121" s="30"/>
      <c r="QB121" s="30"/>
      <c r="QC121" s="30"/>
      <c r="QD121" s="30"/>
      <c r="QE121" s="30"/>
      <c r="QF121" s="30"/>
      <c r="QG121" s="30"/>
      <c r="QH121" s="30"/>
      <c r="QI121" s="30"/>
      <c r="QJ121" s="30"/>
      <c r="QK121" s="30"/>
      <c r="QL121" s="30"/>
      <c r="QM121" s="30"/>
      <c r="QN121" s="30"/>
      <c r="QO121" s="30"/>
      <c r="QP121" s="30"/>
      <c r="QQ121" s="30"/>
      <c r="QR121" s="30"/>
      <c r="QS121" s="30"/>
      <c r="QT121" s="30"/>
      <c r="QU121" s="30"/>
      <c r="QV121" s="30"/>
      <c r="QW121" s="30"/>
      <c r="QX121" s="30"/>
      <c r="QY121" s="30"/>
      <c r="QZ121" s="30"/>
      <c r="RA121" s="30"/>
      <c r="RB121" s="30"/>
      <c r="RC121" s="30"/>
      <c r="RD121" s="30"/>
      <c r="RE121" s="30"/>
      <c r="RF121" s="30"/>
      <c r="RG121" s="30"/>
      <c r="RH121" s="30"/>
      <c r="RI121" s="30"/>
      <c r="RJ121" s="30"/>
      <c r="RK121" s="30"/>
      <c r="RL121" s="30"/>
      <c r="RM121" s="30"/>
      <c r="RN121" s="30"/>
      <c r="RO121" s="30"/>
      <c r="RP121" s="30"/>
      <c r="RQ121" s="30"/>
      <c r="RR121" s="30"/>
      <c r="RS121" s="30"/>
      <c r="RT121" s="30"/>
      <c r="RU121" s="30"/>
      <c r="RV121" s="30"/>
      <c r="RW121" s="30"/>
      <c r="RX121" s="30"/>
      <c r="RY121" s="30"/>
      <c r="RZ121" s="30"/>
      <c r="SA121" s="30"/>
      <c r="SB121" s="30"/>
      <c r="SC121" s="30"/>
      <c r="SD121" s="30"/>
      <c r="SE121" s="30"/>
      <c r="SF121" s="30"/>
      <c r="SG121" s="30"/>
      <c r="SH121" s="30"/>
      <c r="SI121" s="30"/>
      <c r="SJ121" s="30"/>
      <c r="SK121" s="30"/>
      <c r="SL121" s="30"/>
      <c r="SM121" s="30"/>
      <c r="SN121" s="30"/>
      <c r="SO121" s="30"/>
      <c r="SP121" s="30"/>
      <c r="SQ121" s="30"/>
      <c r="SR121" s="30"/>
      <c r="SS121" s="30"/>
      <c r="ST121" s="30"/>
      <c r="SU121" s="30"/>
      <c r="SV121" s="30"/>
      <c r="SW121" s="30"/>
      <c r="SX121" s="30"/>
      <c r="SY121" s="30"/>
      <c r="SZ121" s="30"/>
      <c r="TA121" s="30"/>
      <c r="TB121" s="30"/>
      <c r="TC121" s="30"/>
      <c r="TD121" s="30"/>
      <c r="TE121" s="30"/>
      <c r="TF121" s="30"/>
      <c r="TG121" s="30"/>
    </row>
    <row r="122" spans="1:527" s="24" customFormat="1" ht="37.5" customHeight="1" x14ac:dyDescent="0.25">
      <c r="A122" s="59" t="s">
        <v>498</v>
      </c>
      <c r="B122" s="93">
        <v>8340</v>
      </c>
      <c r="C122" s="59" t="s">
        <v>92</v>
      </c>
      <c r="D122" s="3" t="s">
        <v>10</v>
      </c>
      <c r="E122" s="99">
        <f t="shared" si="30"/>
        <v>0</v>
      </c>
      <c r="F122" s="99"/>
      <c r="G122" s="99"/>
      <c r="H122" s="99"/>
      <c r="I122" s="99"/>
      <c r="J122" s="99">
        <f t="shared" si="32"/>
        <v>625000</v>
      </c>
      <c r="K122" s="99"/>
      <c r="L122" s="99">
        <v>575100</v>
      </c>
      <c r="M122" s="99"/>
      <c r="N122" s="99"/>
      <c r="O122" s="99">
        <v>49900</v>
      </c>
      <c r="P122" s="99">
        <f t="shared" si="31"/>
        <v>625000</v>
      </c>
      <c r="Q122" s="30"/>
      <c r="R122" s="32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0"/>
      <c r="KG122" s="30"/>
      <c r="KH122" s="30"/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/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  <c r="LU122" s="30"/>
      <c r="LV122" s="30"/>
      <c r="LW122" s="30"/>
      <c r="LX122" s="30"/>
      <c r="LY122" s="30"/>
      <c r="LZ122" s="30"/>
      <c r="MA122" s="30"/>
      <c r="MB122" s="30"/>
      <c r="MC122" s="30"/>
      <c r="MD122" s="30"/>
      <c r="ME122" s="30"/>
      <c r="MF122" s="30"/>
      <c r="MG122" s="30"/>
      <c r="MH122" s="30"/>
      <c r="MI122" s="30"/>
      <c r="MJ122" s="30"/>
      <c r="MK122" s="30"/>
      <c r="ML122" s="30"/>
      <c r="MM122" s="30"/>
      <c r="MN122" s="30"/>
      <c r="MO122" s="30"/>
      <c r="MP122" s="30"/>
      <c r="MQ122" s="30"/>
      <c r="MR122" s="30"/>
      <c r="MS122" s="30"/>
      <c r="MT122" s="30"/>
      <c r="MU122" s="30"/>
      <c r="MV122" s="30"/>
      <c r="MW122" s="30"/>
      <c r="MX122" s="30"/>
      <c r="MY122" s="30"/>
      <c r="MZ122" s="30"/>
      <c r="NA122" s="30"/>
      <c r="NB122" s="30"/>
      <c r="NC122" s="30"/>
      <c r="ND122" s="30"/>
      <c r="NE122" s="30"/>
      <c r="NF122" s="30"/>
      <c r="NG122" s="30"/>
      <c r="NH122" s="30"/>
      <c r="NI122" s="30"/>
      <c r="NJ122" s="30"/>
      <c r="NK122" s="30"/>
      <c r="NL122" s="30"/>
      <c r="NM122" s="30"/>
      <c r="NN122" s="30"/>
      <c r="NO122" s="30"/>
      <c r="NP122" s="30"/>
      <c r="NQ122" s="30"/>
      <c r="NR122" s="30"/>
      <c r="NS122" s="30"/>
      <c r="NT122" s="30"/>
      <c r="NU122" s="30"/>
      <c r="NV122" s="30"/>
      <c r="NW122" s="30"/>
      <c r="NX122" s="30"/>
      <c r="NY122" s="30"/>
      <c r="NZ122" s="30"/>
      <c r="OA122" s="30"/>
      <c r="OB122" s="30"/>
      <c r="OC122" s="30"/>
      <c r="OD122" s="30"/>
      <c r="OE122" s="30"/>
      <c r="OF122" s="30"/>
      <c r="OG122" s="30"/>
      <c r="OH122" s="30"/>
      <c r="OI122" s="30"/>
      <c r="OJ122" s="30"/>
      <c r="OK122" s="30"/>
      <c r="OL122" s="30"/>
      <c r="OM122" s="30"/>
      <c r="ON122" s="30"/>
      <c r="OO122" s="30"/>
      <c r="OP122" s="30"/>
      <c r="OQ122" s="30"/>
      <c r="OR122" s="30"/>
      <c r="OS122" s="30"/>
      <c r="OT122" s="30"/>
      <c r="OU122" s="30"/>
      <c r="OV122" s="30"/>
      <c r="OW122" s="30"/>
      <c r="OX122" s="30"/>
      <c r="OY122" s="30"/>
      <c r="OZ122" s="30"/>
      <c r="PA122" s="30"/>
      <c r="PB122" s="30"/>
      <c r="PC122" s="30"/>
      <c r="PD122" s="30"/>
      <c r="PE122" s="30"/>
      <c r="PF122" s="30"/>
      <c r="PG122" s="30"/>
      <c r="PH122" s="30"/>
      <c r="PI122" s="30"/>
      <c r="PJ122" s="30"/>
      <c r="PK122" s="30"/>
      <c r="PL122" s="30"/>
      <c r="PM122" s="30"/>
      <c r="PN122" s="30"/>
      <c r="PO122" s="30"/>
      <c r="PP122" s="30"/>
      <c r="PQ122" s="30"/>
      <c r="PR122" s="30"/>
      <c r="PS122" s="30"/>
      <c r="PT122" s="30"/>
      <c r="PU122" s="30"/>
      <c r="PV122" s="30"/>
      <c r="PW122" s="30"/>
      <c r="PX122" s="30"/>
      <c r="PY122" s="30"/>
      <c r="PZ122" s="30"/>
      <c r="QA122" s="30"/>
      <c r="QB122" s="30"/>
      <c r="QC122" s="30"/>
      <c r="QD122" s="30"/>
      <c r="QE122" s="30"/>
      <c r="QF122" s="30"/>
      <c r="QG122" s="30"/>
      <c r="QH122" s="30"/>
      <c r="QI122" s="30"/>
      <c r="QJ122" s="30"/>
      <c r="QK122" s="30"/>
      <c r="QL122" s="30"/>
      <c r="QM122" s="30"/>
      <c r="QN122" s="30"/>
      <c r="QO122" s="30"/>
      <c r="QP122" s="30"/>
      <c r="QQ122" s="30"/>
      <c r="QR122" s="30"/>
      <c r="QS122" s="30"/>
      <c r="QT122" s="30"/>
      <c r="QU122" s="30"/>
      <c r="QV122" s="30"/>
      <c r="QW122" s="30"/>
      <c r="QX122" s="30"/>
      <c r="QY122" s="30"/>
      <c r="QZ122" s="30"/>
      <c r="RA122" s="30"/>
      <c r="RB122" s="30"/>
      <c r="RC122" s="30"/>
      <c r="RD122" s="30"/>
      <c r="RE122" s="30"/>
      <c r="RF122" s="30"/>
      <c r="RG122" s="30"/>
      <c r="RH122" s="30"/>
      <c r="RI122" s="30"/>
      <c r="RJ122" s="30"/>
      <c r="RK122" s="30"/>
      <c r="RL122" s="30"/>
      <c r="RM122" s="30"/>
      <c r="RN122" s="30"/>
      <c r="RO122" s="30"/>
      <c r="RP122" s="30"/>
      <c r="RQ122" s="30"/>
      <c r="RR122" s="30"/>
      <c r="RS122" s="30"/>
      <c r="RT122" s="30"/>
      <c r="RU122" s="30"/>
      <c r="RV122" s="30"/>
      <c r="RW122" s="30"/>
      <c r="RX122" s="30"/>
      <c r="RY122" s="30"/>
      <c r="RZ122" s="30"/>
      <c r="SA122" s="30"/>
      <c r="SB122" s="30"/>
      <c r="SC122" s="30"/>
      <c r="SD122" s="30"/>
      <c r="SE122" s="30"/>
      <c r="SF122" s="30"/>
      <c r="SG122" s="30"/>
      <c r="SH122" s="30"/>
      <c r="SI122" s="30"/>
      <c r="SJ122" s="30"/>
      <c r="SK122" s="30"/>
      <c r="SL122" s="30"/>
      <c r="SM122" s="30"/>
      <c r="SN122" s="30"/>
      <c r="SO122" s="30"/>
      <c r="SP122" s="30"/>
      <c r="SQ122" s="30"/>
      <c r="SR122" s="30"/>
      <c r="SS122" s="30"/>
      <c r="ST122" s="30"/>
      <c r="SU122" s="30"/>
      <c r="SV122" s="30"/>
      <c r="SW122" s="30"/>
      <c r="SX122" s="30"/>
      <c r="SY122" s="30"/>
      <c r="SZ122" s="30"/>
      <c r="TA122" s="30"/>
      <c r="TB122" s="30"/>
      <c r="TC122" s="30"/>
      <c r="TD122" s="30"/>
      <c r="TE122" s="30"/>
      <c r="TF122" s="30"/>
      <c r="TG122" s="30"/>
    </row>
    <row r="123" spans="1:527" s="24" customFormat="1" ht="47.25" x14ac:dyDescent="0.25">
      <c r="A123" s="59" t="s">
        <v>537</v>
      </c>
      <c r="B123" s="93">
        <v>9320</v>
      </c>
      <c r="C123" s="59" t="s">
        <v>45</v>
      </c>
      <c r="D123" s="6" t="s">
        <v>616</v>
      </c>
      <c r="E123" s="99">
        <f t="shared" si="30"/>
        <v>693000</v>
      </c>
      <c r="F123" s="99">
        <v>693000</v>
      </c>
      <c r="G123" s="99"/>
      <c r="H123" s="99"/>
      <c r="I123" s="99"/>
      <c r="J123" s="99">
        <f t="shared" si="32"/>
        <v>3307000</v>
      </c>
      <c r="K123" s="99">
        <v>3307000</v>
      </c>
      <c r="L123" s="99"/>
      <c r="M123" s="99"/>
      <c r="N123" s="99"/>
      <c r="O123" s="99">
        <v>3307000</v>
      </c>
      <c r="P123" s="99">
        <f t="shared" si="31"/>
        <v>4000000</v>
      </c>
      <c r="Q123" s="30"/>
      <c r="R123" s="32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0"/>
      <c r="NR123" s="30"/>
      <c r="NS123" s="30"/>
      <c r="NT123" s="30"/>
      <c r="NU123" s="30"/>
      <c r="NV123" s="30"/>
      <c r="NW123" s="30"/>
      <c r="NX123" s="30"/>
      <c r="NY123" s="30"/>
      <c r="NZ123" s="30"/>
      <c r="OA123" s="30"/>
      <c r="OB123" s="30"/>
      <c r="OC123" s="30"/>
      <c r="OD123" s="30"/>
      <c r="OE123" s="30"/>
      <c r="OF123" s="30"/>
      <c r="OG123" s="30"/>
      <c r="OH123" s="30"/>
      <c r="OI123" s="30"/>
      <c r="OJ123" s="30"/>
      <c r="OK123" s="30"/>
      <c r="OL123" s="30"/>
      <c r="OM123" s="30"/>
      <c r="ON123" s="30"/>
      <c r="OO123" s="30"/>
      <c r="OP123" s="30"/>
      <c r="OQ123" s="30"/>
      <c r="OR123" s="30"/>
      <c r="OS123" s="30"/>
      <c r="OT123" s="30"/>
      <c r="OU123" s="30"/>
      <c r="OV123" s="30"/>
      <c r="OW123" s="30"/>
      <c r="OX123" s="30"/>
      <c r="OY123" s="30"/>
      <c r="OZ123" s="30"/>
      <c r="PA123" s="30"/>
      <c r="PB123" s="30"/>
      <c r="PC123" s="30"/>
      <c r="PD123" s="30"/>
      <c r="PE123" s="30"/>
      <c r="PF123" s="30"/>
      <c r="PG123" s="30"/>
      <c r="PH123" s="30"/>
      <c r="PI123" s="30"/>
      <c r="PJ123" s="30"/>
      <c r="PK123" s="30"/>
      <c r="PL123" s="30"/>
      <c r="PM123" s="30"/>
      <c r="PN123" s="30"/>
      <c r="PO123" s="30"/>
      <c r="PP123" s="30"/>
      <c r="PQ123" s="30"/>
      <c r="PR123" s="30"/>
      <c r="PS123" s="30"/>
      <c r="PT123" s="30"/>
      <c r="PU123" s="30"/>
      <c r="PV123" s="30"/>
      <c r="PW123" s="30"/>
      <c r="PX123" s="30"/>
      <c r="PY123" s="30"/>
      <c r="PZ123" s="30"/>
      <c r="QA123" s="30"/>
      <c r="QB123" s="30"/>
      <c r="QC123" s="30"/>
      <c r="QD123" s="30"/>
      <c r="QE123" s="30"/>
      <c r="QF123" s="30"/>
      <c r="QG123" s="30"/>
      <c r="QH123" s="30"/>
      <c r="QI123" s="30"/>
      <c r="QJ123" s="30"/>
      <c r="QK123" s="30"/>
      <c r="QL123" s="30"/>
      <c r="QM123" s="30"/>
      <c r="QN123" s="30"/>
      <c r="QO123" s="30"/>
      <c r="QP123" s="30"/>
      <c r="QQ123" s="30"/>
      <c r="QR123" s="30"/>
      <c r="QS123" s="30"/>
      <c r="QT123" s="30"/>
      <c r="QU123" s="30"/>
      <c r="QV123" s="30"/>
      <c r="QW123" s="30"/>
      <c r="QX123" s="30"/>
      <c r="QY123" s="30"/>
      <c r="QZ123" s="30"/>
      <c r="RA123" s="30"/>
      <c r="RB123" s="30"/>
      <c r="RC123" s="30"/>
      <c r="RD123" s="30"/>
      <c r="RE123" s="30"/>
      <c r="RF123" s="30"/>
      <c r="RG123" s="30"/>
      <c r="RH123" s="30"/>
      <c r="RI123" s="30"/>
      <c r="RJ123" s="30"/>
      <c r="RK123" s="30"/>
      <c r="RL123" s="30"/>
      <c r="RM123" s="30"/>
      <c r="RN123" s="30"/>
      <c r="RO123" s="30"/>
      <c r="RP123" s="30"/>
      <c r="RQ123" s="30"/>
      <c r="RR123" s="30"/>
      <c r="RS123" s="30"/>
      <c r="RT123" s="30"/>
      <c r="RU123" s="30"/>
      <c r="RV123" s="30"/>
      <c r="RW123" s="30"/>
      <c r="RX123" s="30"/>
      <c r="RY123" s="30"/>
      <c r="RZ123" s="30"/>
      <c r="SA123" s="30"/>
      <c r="SB123" s="30"/>
      <c r="SC123" s="30"/>
      <c r="SD123" s="30"/>
      <c r="SE123" s="30"/>
      <c r="SF123" s="30"/>
      <c r="SG123" s="30"/>
      <c r="SH123" s="30"/>
      <c r="SI123" s="30"/>
      <c r="SJ123" s="30"/>
      <c r="SK123" s="30"/>
      <c r="SL123" s="30"/>
      <c r="SM123" s="30"/>
      <c r="SN123" s="30"/>
      <c r="SO123" s="30"/>
      <c r="SP123" s="30"/>
      <c r="SQ123" s="30"/>
      <c r="SR123" s="30"/>
      <c r="SS123" s="30"/>
      <c r="ST123" s="30"/>
      <c r="SU123" s="30"/>
      <c r="SV123" s="30"/>
      <c r="SW123" s="30"/>
      <c r="SX123" s="30"/>
      <c r="SY123" s="30"/>
      <c r="SZ123" s="30"/>
      <c r="TA123" s="30"/>
      <c r="TB123" s="30"/>
      <c r="TC123" s="30"/>
      <c r="TD123" s="30"/>
      <c r="TE123" s="30"/>
      <c r="TF123" s="30"/>
      <c r="TG123" s="30"/>
    </row>
    <row r="124" spans="1:527" s="24" customFormat="1" ht="31.5" x14ac:dyDescent="0.25">
      <c r="A124" s="84"/>
      <c r="B124" s="111"/>
      <c r="C124" s="84"/>
      <c r="D124" s="87" t="s">
        <v>532</v>
      </c>
      <c r="E124" s="101">
        <f t="shared" si="30"/>
        <v>693000</v>
      </c>
      <c r="F124" s="101">
        <v>693000</v>
      </c>
      <c r="G124" s="101"/>
      <c r="H124" s="101"/>
      <c r="I124" s="101"/>
      <c r="J124" s="101">
        <f t="shared" si="32"/>
        <v>3307000</v>
      </c>
      <c r="K124" s="101">
        <v>3307000</v>
      </c>
      <c r="L124" s="101"/>
      <c r="M124" s="101"/>
      <c r="N124" s="101"/>
      <c r="O124" s="101">
        <v>3307000</v>
      </c>
      <c r="P124" s="101">
        <f t="shared" si="31"/>
        <v>4000000</v>
      </c>
      <c r="Q124" s="30"/>
      <c r="R124" s="32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  <c r="TF124" s="30"/>
      <c r="TG124" s="30"/>
    </row>
    <row r="125" spans="1:527" s="24" customFormat="1" ht="22.5" customHeight="1" x14ac:dyDescent="0.25">
      <c r="A125" s="59" t="s">
        <v>499</v>
      </c>
      <c r="B125" s="93">
        <v>9770</v>
      </c>
      <c r="C125" s="59" t="s">
        <v>45</v>
      </c>
      <c r="D125" s="6" t="s">
        <v>356</v>
      </c>
      <c r="E125" s="99">
        <f t="shared" ref="E125" si="40">F125+I125</f>
        <v>67650000</v>
      </c>
      <c r="F125" s="99">
        <v>67650000</v>
      </c>
      <c r="G125" s="99"/>
      <c r="H125" s="99"/>
      <c r="I125" s="99"/>
      <c r="J125" s="99">
        <f t="shared" ref="J125" si="41">L125+O125</f>
        <v>1256508</v>
      </c>
      <c r="K125" s="99">
        <v>1256508</v>
      </c>
      <c r="L125" s="99"/>
      <c r="M125" s="99"/>
      <c r="N125" s="99"/>
      <c r="O125" s="99">
        <v>1256508</v>
      </c>
      <c r="P125" s="99">
        <f t="shared" ref="P125" si="42">E125+J125</f>
        <v>68906508</v>
      </c>
      <c r="Q125" s="30"/>
      <c r="R125" s="32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  <c r="TF125" s="30"/>
      <c r="TG125" s="30"/>
    </row>
    <row r="126" spans="1:527" s="24" customFormat="1" ht="48.75" customHeight="1" x14ac:dyDescent="0.25">
      <c r="A126" s="59" t="s">
        <v>527</v>
      </c>
      <c r="B126" s="93">
        <v>9800</v>
      </c>
      <c r="C126" s="59" t="s">
        <v>45</v>
      </c>
      <c r="D126" s="6" t="s">
        <v>367</v>
      </c>
      <c r="E126" s="99">
        <f t="shared" si="30"/>
        <v>58930</v>
      </c>
      <c r="F126" s="99">
        <f>49600+9330</f>
        <v>58930</v>
      </c>
      <c r="G126" s="99"/>
      <c r="H126" s="99"/>
      <c r="I126" s="99"/>
      <c r="J126" s="99">
        <f t="shared" si="32"/>
        <v>0</v>
      </c>
      <c r="K126" s="99"/>
      <c r="L126" s="99"/>
      <c r="M126" s="99"/>
      <c r="N126" s="99"/>
      <c r="O126" s="99"/>
      <c r="P126" s="99">
        <f t="shared" si="31"/>
        <v>58930</v>
      </c>
      <c r="Q126" s="30"/>
      <c r="R126" s="32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  <c r="TF126" s="30"/>
      <c r="TG126" s="30"/>
    </row>
    <row r="127" spans="1:527" s="27" customFormat="1" ht="33.75" customHeight="1" x14ac:dyDescent="0.25">
      <c r="A127" s="110" t="s">
        <v>169</v>
      </c>
      <c r="B127" s="112"/>
      <c r="C127" s="112"/>
      <c r="D127" s="107" t="s">
        <v>463</v>
      </c>
      <c r="E127" s="95">
        <f>E128</f>
        <v>99726317.400000006</v>
      </c>
      <c r="F127" s="95">
        <f t="shared" ref="F127:P127" si="43">F128</f>
        <v>99726317.400000006</v>
      </c>
      <c r="G127" s="95">
        <f t="shared" si="43"/>
        <v>4343800</v>
      </c>
      <c r="H127" s="95">
        <f t="shared" si="43"/>
        <v>112968</v>
      </c>
      <c r="I127" s="95">
        <f t="shared" si="43"/>
        <v>0</v>
      </c>
      <c r="J127" s="95">
        <f t="shared" si="43"/>
        <v>153734974.53999999</v>
      </c>
      <c r="K127" s="95">
        <f t="shared" si="43"/>
        <v>153734974.53999999</v>
      </c>
      <c r="L127" s="95">
        <f t="shared" si="43"/>
        <v>0</v>
      </c>
      <c r="M127" s="95">
        <f t="shared" si="43"/>
        <v>0</v>
      </c>
      <c r="N127" s="95">
        <f t="shared" si="43"/>
        <v>0</v>
      </c>
      <c r="O127" s="95">
        <f t="shared" si="43"/>
        <v>153734974.53999999</v>
      </c>
      <c r="P127" s="95">
        <f t="shared" si="43"/>
        <v>253461291.94</v>
      </c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32"/>
      <c r="IH127" s="32"/>
      <c r="II127" s="32"/>
      <c r="IJ127" s="32"/>
      <c r="IK127" s="32"/>
      <c r="IL127" s="32"/>
      <c r="IM127" s="32"/>
      <c r="IN127" s="32"/>
      <c r="IO127" s="32"/>
      <c r="IP127" s="32"/>
      <c r="IQ127" s="32"/>
      <c r="IR127" s="32"/>
      <c r="IS127" s="32"/>
      <c r="IT127" s="32"/>
      <c r="IU127" s="32"/>
      <c r="IV127" s="32"/>
      <c r="IW127" s="32"/>
      <c r="IX127" s="32"/>
      <c r="IY127" s="32"/>
      <c r="IZ127" s="32"/>
      <c r="JA127" s="32"/>
      <c r="JB127" s="32"/>
      <c r="JC127" s="32"/>
      <c r="JD127" s="32"/>
      <c r="JE127" s="32"/>
      <c r="JF127" s="32"/>
      <c r="JG127" s="32"/>
      <c r="JH127" s="32"/>
      <c r="JI127" s="32"/>
      <c r="JJ127" s="32"/>
      <c r="JK127" s="32"/>
      <c r="JL127" s="32"/>
      <c r="JM127" s="32"/>
      <c r="JN127" s="32"/>
      <c r="JO127" s="32"/>
      <c r="JP127" s="32"/>
      <c r="JQ127" s="32"/>
      <c r="JR127" s="32"/>
      <c r="JS127" s="32"/>
      <c r="JT127" s="32"/>
      <c r="JU127" s="32"/>
      <c r="JV127" s="32"/>
      <c r="JW127" s="32"/>
      <c r="JX127" s="32"/>
      <c r="JY127" s="32"/>
      <c r="JZ127" s="32"/>
      <c r="KA127" s="32"/>
      <c r="KB127" s="32"/>
      <c r="KC127" s="32"/>
      <c r="KD127" s="32"/>
      <c r="KE127" s="32"/>
      <c r="KF127" s="32"/>
      <c r="KG127" s="32"/>
      <c r="KH127" s="32"/>
      <c r="KI127" s="32"/>
      <c r="KJ127" s="32"/>
      <c r="KK127" s="32"/>
      <c r="KL127" s="32"/>
      <c r="KM127" s="32"/>
      <c r="KN127" s="32"/>
      <c r="KO127" s="32"/>
      <c r="KP127" s="32"/>
      <c r="KQ127" s="32"/>
      <c r="KR127" s="32"/>
      <c r="KS127" s="32"/>
      <c r="KT127" s="32"/>
      <c r="KU127" s="32"/>
      <c r="KV127" s="32"/>
      <c r="KW127" s="32"/>
      <c r="KX127" s="32"/>
      <c r="KY127" s="32"/>
      <c r="KZ127" s="32"/>
      <c r="LA127" s="32"/>
      <c r="LB127" s="32"/>
      <c r="LC127" s="32"/>
      <c r="LD127" s="32"/>
      <c r="LE127" s="32"/>
      <c r="LF127" s="32"/>
      <c r="LG127" s="32"/>
      <c r="LH127" s="32"/>
      <c r="LI127" s="32"/>
      <c r="LJ127" s="32"/>
      <c r="LK127" s="32"/>
      <c r="LL127" s="32"/>
      <c r="LM127" s="32"/>
      <c r="LN127" s="32"/>
      <c r="LO127" s="32"/>
      <c r="LP127" s="32"/>
      <c r="LQ127" s="32"/>
      <c r="LR127" s="32"/>
      <c r="LS127" s="32"/>
      <c r="LT127" s="32"/>
      <c r="LU127" s="32"/>
      <c r="LV127" s="32"/>
      <c r="LW127" s="32"/>
      <c r="LX127" s="32"/>
      <c r="LY127" s="32"/>
      <c r="LZ127" s="32"/>
      <c r="MA127" s="32"/>
      <c r="MB127" s="32"/>
      <c r="MC127" s="32"/>
      <c r="MD127" s="32"/>
      <c r="ME127" s="32"/>
      <c r="MF127" s="32"/>
      <c r="MG127" s="32"/>
      <c r="MH127" s="32"/>
      <c r="MI127" s="32"/>
      <c r="MJ127" s="32"/>
      <c r="MK127" s="32"/>
      <c r="ML127" s="32"/>
      <c r="MM127" s="32"/>
      <c r="MN127" s="32"/>
      <c r="MO127" s="32"/>
      <c r="MP127" s="32"/>
      <c r="MQ127" s="32"/>
      <c r="MR127" s="32"/>
      <c r="MS127" s="32"/>
      <c r="MT127" s="32"/>
      <c r="MU127" s="32"/>
      <c r="MV127" s="32"/>
      <c r="MW127" s="32"/>
      <c r="MX127" s="32"/>
      <c r="MY127" s="32"/>
      <c r="MZ127" s="32"/>
      <c r="NA127" s="32"/>
      <c r="NB127" s="32"/>
      <c r="NC127" s="32"/>
      <c r="ND127" s="32"/>
      <c r="NE127" s="32"/>
      <c r="NF127" s="32"/>
      <c r="NG127" s="32"/>
      <c r="NH127" s="32"/>
      <c r="NI127" s="32"/>
      <c r="NJ127" s="32"/>
      <c r="NK127" s="32"/>
      <c r="NL127" s="32"/>
      <c r="NM127" s="32"/>
      <c r="NN127" s="32"/>
      <c r="NO127" s="32"/>
      <c r="NP127" s="32"/>
      <c r="NQ127" s="32"/>
      <c r="NR127" s="32"/>
      <c r="NS127" s="32"/>
      <c r="NT127" s="32"/>
      <c r="NU127" s="32"/>
      <c r="NV127" s="32"/>
      <c r="NW127" s="32"/>
      <c r="NX127" s="32"/>
      <c r="NY127" s="32"/>
      <c r="NZ127" s="32"/>
      <c r="OA127" s="32"/>
      <c r="OB127" s="32"/>
      <c r="OC127" s="32"/>
      <c r="OD127" s="32"/>
      <c r="OE127" s="32"/>
      <c r="OF127" s="32"/>
      <c r="OG127" s="32"/>
      <c r="OH127" s="32"/>
      <c r="OI127" s="32"/>
      <c r="OJ127" s="32"/>
      <c r="OK127" s="32"/>
      <c r="OL127" s="32"/>
      <c r="OM127" s="32"/>
      <c r="ON127" s="32"/>
      <c r="OO127" s="32"/>
      <c r="OP127" s="32"/>
      <c r="OQ127" s="32"/>
      <c r="OR127" s="32"/>
      <c r="OS127" s="32"/>
      <c r="OT127" s="32"/>
      <c r="OU127" s="32"/>
      <c r="OV127" s="32"/>
      <c r="OW127" s="32"/>
      <c r="OX127" s="32"/>
      <c r="OY127" s="32"/>
      <c r="OZ127" s="32"/>
      <c r="PA127" s="32"/>
      <c r="PB127" s="32"/>
      <c r="PC127" s="32"/>
      <c r="PD127" s="32"/>
      <c r="PE127" s="32"/>
      <c r="PF127" s="32"/>
      <c r="PG127" s="32"/>
      <c r="PH127" s="32"/>
      <c r="PI127" s="32"/>
      <c r="PJ127" s="32"/>
      <c r="PK127" s="32"/>
      <c r="PL127" s="32"/>
      <c r="PM127" s="32"/>
      <c r="PN127" s="32"/>
      <c r="PO127" s="32"/>
      <c r="PP127" s="32"/>
      <c r="PQ127" s="32"/>
      <c r="PR127" s="32"/>
      <c r="PS127" s="32"/>
      <c r="PT127" s="32"/>
      <c r="PU127" s="32"/>
      <c r="PV127" s="32"/>
      <c r="PW127" s="32"/>
      <c r="PX127" s="32"/>
      <c r="PY127" s="32"/>
      <c r="PZ127" s="32"/>
      <c r="QA127" s="32"/>
      <c r="QB127" s="32"/>
      <c r="QC127" s="32"/>
      <c r="QD127" s="32"/>
      <c r="QE127" s="32"/>
      <c r="QF127" s="32"/>
      <c r="QG127" s="32"/>
      <c r="QH127" s="32"/>
      <c r="QI127" s="32"/>
      <c r="QJ127" s="32"/>
      <c r="QK127" s="32"/>
      <c r="QL127" s="32"/>
      <c r="QM127" s="32"/>
      <c r="QN127" s="32"/>
      <c r="QO127" s="32"/>
      <c r="QP127" s="32"/>
      <c r="QQ127" s="32"/>
      <c r="QR127" s="32"/>
      <c r="QS127" s="32"/>
      <c r="QT127" s="32"/>
      <c r="QU127" s="32"/>
      <c r="QV127" s="32"/>
      <c r="QW127" s="32"/>
      <c r="QX127" s="32"/>
      <c r="QY127" s="32"/>
      <c r="QZ127" s="32"/>
      <c r="RA127" s="32"/>
      <c r="RB127" s="32"/>
      <c r="RC127" s="32"/>
      <c r="RD127" s="32"/>
      <c r="RE127" s="32"/>
      <c r="RF127" s="32"/>
      <c r="RG127" s="32"/>
      <c r="RH127" s="32"/>
      <c r="RI127" s="32"/>
      <c r="RJ127" s="32"/>
      <c r="RK127" s="32"/>
      <c r="RL127" s="32"/>
      <c r="RM127" s="32"/>
      <c r="RN127" s="32"/>
      <c r="RO127" s="32"/>
      <c r="RP127" s="32"/>
      <c r="RQ127" s="32"/>
      <c r="RR127" s="32"/>
      <c r="RS127" s="32"/>
      <c r="RT127" s="32"/>
      <c r="RU127" s="32"/>
      <c r="RV127" s="32"/>
      <c r="RW127" s="32"/>
      <c r="RX127" s="32"/>
      <c r="RY127" s="32"/>
      <c r="RZ127" s="32"/>
      <c r="SA127" s="32"/>
      <c r="SB127" s="32"/>
      <c r="SC127" s="32"/>
      <c r="SD127" s="32"/>
      <c r="SE127" s="32"/>
      <c r="SF127" s="32"/>
      <c r="SG127" s="32"/>
      <c r="SH127" s="32"/>
      <c r="SI127" s="32"/>
      <c r="SJ127" s="32"/>
      <c r="SK127" s="32"/>
      <c r="SL127" s="32"/>
      <c r="SM127" s="32"/>
      <c r="SN127" s="32"/>
      <c r="SO127" s="32"/>
      <c r="SP127" s="32"/>
      <c r="SQ127" s="32"/>
      <c r="SR127" s="32"/>
      <c r="SS127" s="32"/>
      <c r="ST127" s="32"/>
      <c r="SU127" s="32"/>
      <c r="SV127" s="32"/>
      <c r="SW127" s="32"/>
      <c r="SX127" s="32"/>
      <c r="SY127" s="32"/>
      <c r="SZ127" s="32"/>
      <c r="TA127" s="32"/>
      <c r="TB127" s="32"/>
      <c r="TC127" s="32"/>
      <c r="TD127" s="32"/>
      <c r="TE127" s="32"/>
      <c r="TF127" s="32"/>
      <c r="TG127" s="32"/>
    </row>
    <row r="128" spans="1:527" s="34" customFormat="1" ht="30.75" customHeight="1" x14ac:dyDescent="0.25">
      <c r="A128" s="96" t="s">
        <v>170</v>
      </c>
      <c r="B128" s="109"/>
      <c r="C128" s="109"/>
      <c r="D128" s="77" t="s">
        <v>469</v>
      </c>
      <c r="E128" s="98">
        <f>E136+E137+E142+E144+E146+E148+E151+E152+E153+E154+E155+E157+E159+E160+E141</f>
        <v>99726317.400000006</v>
      </c>
      <c r="F128" s="98">
        <f t="shared" ref="F128:P128" si="44">F136+F137+F142+F144+F146+F148+F151+F152+F153+F154+F155+F157+F159+F160+F141</f>
        <v>99726317.400000006</v>
      </c>
      <c r="G128" s="98">
        <f t="shared" si="44"/>
        <v>4343800</v>
      </c>
      <c r="H128" s="98">
        <f t="shared" si="44"/>
        <v>112968</v>
      </c>
      <c r="I128" s="98">
        <f t="shared" si="44"/>
        <v>0</v>
      </c>
      <c r="J128" s="98">
        <f t="shared" si="44"/>
        <v>153734974.53999999</v>
      </c>
      <c r="K128" s="98">
        <f>K136+K137+K142+K144+K146+K148+K151+K152+K153+K154+K155+K157+K159+K160+K141</f>
        <v>153734974.53999999</v>
      </c>
      <c r="L128" s="98">
        <f t="shared" si="44"/>
        <v>0</v>
      </c>
      <c r="M128" s="98">
        <f t="shared" si="44"/>
        <v>0</v>
      </c>
      <c r="N128" s="98">
        <f t="shared" si="44"/>
        <v>0</v>
      </c>
      <c r="O128" s="98">
        <f t="shared" si="44"/>
        <v>153734974.53999999</v>
      </c>
      <c r="P128" s="98">
        <f t="shared" si="44"/>
        <v>253461291.94</v>
      </c>
      <c r="Q128" s="33"/>
      <c r="R128" s="32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3"/>
      <c r="LI128" s="33"/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3"/>
      <c r="ME128" s="33"/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33"/>
      <c r="NA128" s="33"/>
      <c r="NB128" s="33"/>
      <c r="NC128" s="33"/>
      <c r="ND128" s="33"/>
      <c r="NE128" s="33"/>
      <c r="NF128" s="33"/>
      <c r="NG128" s="33"/>
      <c r="NH128" s="33"/>
      <c r="NI128" s="33"/>
      <c r="NJ128" s="33"/>
      <c r="NK128" s="33"/>
      <c r="NL128" s="33"/>
      <c r="NM128" s="33"/>
      <c r="NN128" s="33"/>
      <c r="NO128" s="33"/>
      <c r="NP128" s="33"/>
      <c r="NQ128" s="33"/>
      <c r="NR128" s="33"/>
      <c r="NS128" s="33"/>
      <c r="NT128" s="33"/>
      <c r="NU128" s="33"/>
      <c r="NV128" s="33"/>
      <c r="NW128" s="33"/>
      <c r="NX128" s="33"/>
      <c r="NY128" s="33"/>
      <c r="NZ128" s="33"/>
      <c r="OA128" s="33"/>
      <c r="OB128" s="33"/>
      <c r="OC128" s="33"/>
      <c r="OD128" s="33"/>
      <c r="OE128" s="33"/>
      <c r="OF128" s="33"/>
      <c r="OG128" s="33"/>
      <c r="OH128" s="33"/>
      <c r="OI128" s="33"/>
      <c r="OJ128" s="33"/>
      <c r="OK128" s="33"/>
      <c r="OL128" s="33"/>
      <c r="OM128" s="33"/>
      <c r="ON128" s="33"/>
      <c r="OO128" s="33"/>
      <c r="OP128" s="33"/>
      <c r="OQ128" s="33"/>
      <c r="OR128" s="33"/>
      <c r="OS128" s="33"/>
      <c r="OT128" s="33"/>
      <c r="OU128" s="33"/>
      <c r="OV128" s="33"/>
      <c r="OW128" s="33"/>
      <c r="OX128" s="33"/>
      <c r="OY128" s="33"/>
      <c r="OZ128" s="33"/>
      <c r="PA128" s="33"/>
      <c r="PB128" s="33"/>
      <c r="PC128" s="33"/>
      <c r="PD128" s="33"/>
      <c r="PE128" s="33"/>
      <c r="PF128" s="33"/>
      <c r="PG128" s="33"/>
      <c r="PH128" s="33"/>
      <c r="PI128" s="33"/>
      <c r="PJ128" s="33"/>
      <c r="PK128" s="33"/>
      <c r="PL128" s="33"/>
      <c r="PM128" s="33"/>
      <c r="PN128" s="33"/>
      <c r="PO128" s="33"/>
      <c r="PP128" s="33"/>
      <c r="PQ128" s="33"/>
      <c r="PR128" s="33"/>
      <c r="PS128" s="33"/>
      <c r="PT128" s="33"/>
      <c r="PU128" s="33"/>
      <c r="PV128" s="33"/>
      <c r="PW128" s="33"/>
      <c r="PX128" s="33"/>
      <c r="PY128" s="33"/>
      <c r="PZ128" s="33"/>
      <c r="QA128" s="33"/>
      <c r="QB128" s="33"/>
      <c r="QC128" s="33"/>
      <c r="QD128" s="33"/>
      <c r="QE128" s="33"/>
      <c r="QF128" s="33"/>
      <c r="QG128" s="33"/>
      <c r="QH128" s="33"/>
      <c r="QI128" s="33"/>
      <c r="QJ128" s="33"/>
      <c r="QK128" s="33"/>
      <c r="QL128" s="33"/>
      <c r="QM128" s="33"/>
      <c r="QN128" s="33"/>
      <c r="QO128" s="33"/>
      <c r="QP128" s="33"/>
      <c r="QQ128" s="33"/>
      <c r="QR128" s="33"/>
      <c r="QS128" s="33"/>
      <c r="QT128" s="33"/>
      <c r="QU128" s="33"/>
      <c r="QV128" s="33"/>
      <c r="QW128" s="33"/>
      <c r="QX128" s="33"/>
      <c r="QY128" s="33"/>
      <c r="QZ128" s="33"/>
      <c r="RA128" s="33"/>
      <c r="RB128" s="33"/>
      <c r="RC128" s="33"/>
      <c r="RD128" s="33"/>
      <c r="RE128" s="33"/>
      <c r="RF128" s="33"/>
      <c r="RG128" s="33"/>
      <c r="RH128" s="33"/>
      <c r="RI128" s="33"/>
      <c r="RJ128" s="33"/>
      <c r="RK128" s="33"/>
      <c r="RL128" s="33"/>
      <c r="RM128" s="33"/>
      <c r="RN128" s="33"/>
      <c r="RO128" s="33"/>
      <c r="RP128" s="33"/>
      <c r="RQ128" s="33"/>
      <c r="RR128" s="33"/>
      <c r="RS128" s="33"/>
      <c r="RT128" s="33"/>
      <c r="RU128" s="33"/>
      <c r="RV128" s="33"/>
      <c r="RW128" s="33"/>
      <c r="RX128" s="33"/>
      <c r="RY128" s="33"/>
      <c r="RZ128" s="33"/>
      <c r="SA128" s="33"/>
      <c r="SB128" s="33"/>
      <c r="SC128" s="33"/>
      <c r="SD128" s="33"/>
      <c r="SE128" s="33"/>
      <c r="SF128" s="33"/>
      <c r="SG128" s="33"/>
      <c r="SH128" s="33"/>
      <c r="SI128" s="33"/>
      <c r="SJ128" s="33"/>
      <c r="SK128" s="33"/>
      <c r="SL128" s="33"/>
      <c r="SM128" s="33"/>
      <c r="SN128" s="33"/>
      <c r="SO128" s="33"/>
      <c r="SP128" s="33"/>
      <c r="SQ128" s="33"/>
      <c r="SR128" s="33"/>
      <c r="SS128" s="33"/>
      <c r="ST128" s="33"/>
      <c r="SU128" s="33"/>
      <c r="SV128" s="33"/>
      <c r="SW128" s="33"/>
      <c r="SX128" s="33"/>
      <c r="SY128" s="33"/>
      <c r="SZ128" s="33"/>
      <c r="TA128" s="33"/>
      <c r="TB128" s="33"/>
      <c r="TC128" s="33"/>
      <c r="TD128" s="33"/>
      <c r="TE128" s="33"/>
      <c r="TF128" s="33"/>
      <c r="TG128" s="33"/>
    </row>
    <row r="129" spans="1:527" s="34" customFormat="1" ht="31.5" hidden="1" customHeight="1" x14ac:dyDescent="0.25">
      <c r="A129" s="96"/>
      <c r="B129" s="109"/>
      <c r="C129" s="109"/>
      <c r="D129" s="77" t="s">
        <v>390</v>
      </c>
      <c r="E129" s="98">
        <f>E138+E143+E145</f>
        <v>0</v>
      </c>
      <c r="F129" s="98">
        <f t="shared" ref="F129:P129" si="45">F138+F143+F145</f>
        <v>0</v>
      </c>
      <c r="G129" s="98">
        <f t="shared" si="45"/>
        <v>0</v>
      </c>
      <c r="H129" s="98">
        <f t="shared" si="45"/>
        <v>0</v>
      </c>
      <c r="I129" s="98">
        <f t="shared" si="45"/>
        <v>0</v>
      </c>
      <c r="J129" s="98">
        <f t="shared" si="45"/>
        <v>0</v>
      </c>
      <c r="K129" s="98">
        <f t="shared" si="45"/>
        <v>0</v>
      </c>
      <c r="L129" s="98">
        <f t="shared" si="45"/>
        <v>0</v>
      </c>
      <c r="M129" s="98">
        <f t="shared" si="45"/>
        <v>0</v>
      </c>
      <c r="N129" s="98">
        <f t="shared" si="45"/>
        <v>0</v>
      </c>
      <c r="O129" s="98">
        <f t="shared" si="45"/>
        <v>0</v>
      </c>
      <c r="P129" s="98">
        <f t="shared" si="45"/>
        <v>0</v>
      </c>
      <c r="Q129" s="33"/>
      <c r="R129" s="32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3"/>
      <c r="LI129" s="33"/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3"/>
      <c r="ME129" s="33"/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33"/>
      <c r="NA129" s="33"/>
      <c r="NB129" s="33"/>
      <c r="NC129" s="33"/>
      <c r="ND129" s="33"/>
      <c r="NE129" s="33"/>
      <c r="NF129" s="33"/>
      <c r="NG129" s="33"/>
      <c r="NH129" s="33"/>
      <c r="NI129" s="33"/>
      <c r="NJ129" s="33"/>
      <c r="NK129" s="33"/>
      <c r="NL129" s="33"/>
      <c r="NM129" s="33"/>
      <c r="NN129" s="33"/>
      <c r="NO129" s="33"/>
      <c r="NP129" s="33"/>
      <c r="NQ129" s="33"/>
      <c r="NR129" s="33"/>
      <c r="NS129" s="33"/>
      <c r="NT129" s="33"/>
      <c r="NU129" s="33"/>
      <c r="NV129" s="33"/>
      <c r="NW129" s="33"/>
      <c r="NX129" s="33"/>
      <c r="NY129" s="33"/>
      <c r="NZ129" s="33"/>
      <c r="OA129" s="33"/>
      <c r="OB129" s="33"/>
      <c r="OC129" s="33"/>
      <c r="OD129" s="33"/>
      <c r="OE129" s="33"/>
      <c r="OF129" s="33"/>
      <c r="OG129" s="33"/>
      <c r="OH129" s="33"/>
      <c r="OI129" s="33"/>
      <c r="OJ129" s="33"/>
      <c r="OK129" s="33"/>
      <c r="OL129" s="33"/>
      <c r="OM129" s="33"/>
      <c r="ON129" s="33"/>
      <c r="OO129" s="33"/>
      <c r="OP129" s="33"/>
      <c r="OQ129" s="33"/>
      <c r="OR129" s="33"/>
      <c r="OS129" s="33"/>
      <c r="OT129" s="33"/>
      <c r="OU129" s="33"/>
      <c r="OV129" s="33"/>
      <c r="OW129" s="33"/>
      <c r="OX129" s="33"/>
      <c r="OY129" s="33"/>
      <c r="OZ129" s="33"/>
      <c r="PA129" s="33"/>
      <c r="PB129" s="33"/>
      <c r="PC129" s="33"/>
      <c r="PD129" s="33"/>
      <c r="PE129" s="33"/>
      <c r="PF129" s="33"/>
      <c r="PG129" s="33"/>
      <c r="PH129" s="33"/>
      <c r="PI129" s="33"/>
      <c r="PJ129" s="33"/>
      <c r="PK129" s="33"/>
      <c r="PL129" s="33"/>
      <c r="PM129" s="33"/>
      <c r="PN129" s="33"/>
      <c r="PO129" s="33"/>
      <c r="PP129" s="33"/>
      <c r="PQ129" s="33"/>
      <c r="PR129" s="33"/>
      <c r="PS129" s="33"/>
      <c r="PT129" s="33"/>
      <c r="PU129" s="33"/>
      <c r="PV129" s="33"/>
      <c r="PW129" s="33"/>
      <c r="PX129" s="33"/>
      <c r="PY129" s="33"/>
      <c r="PZ129" s="33"/>
      <c r="QA129" s="33"/>
      <c r="QB129" s="33"/>
      <c r="QC129" s="33"/>
      <c r="QD129" s="33"/>
      <c r="QE129" s="33"/>
      <c r="QF129" s="33"/>
      <c r="QG129" s="33"/>
      <c r="QH129" s="33"/>
      <c r="QI129" s="33"/>
      <c r="QJ129" s="33"/>
      <c r="QK129" s="33"/>
      <c r="QL129" s="33"/>
      <c r="QM129" s="33"/>
      <c r="QN129" s="33"/>
      <c r="QO129" s="33"/>
      <c r="QP129" s="33"/>
      <c r="QQ129" s="33"/>
      <c r="QR129" s="33"/>
      <c r="QS129" s="33"/>
      <c r="QT129" s="33"/>
      <c r="QU129" s="33"/>
      <c r="QV129" s="33"/>
      <c r="QW129" s="33"/>
      <c r="QX129" s="33"/>
      <c r="QY129" s="33"/>
      <c r="QZ129" s="33"/>
      <c r="RA129" s="33"/>
      <c r="RB129" s="33"/>
      <c r="RC129" s="33"/>
      <c r="RD129" s="33"/>
      <c r="RE129" s="33"/>
      <c r="RF129" s="33"/>
      <c r="RG129" s="33"/>
      <c r="RH129" s="33"/>
      <c r="RI129" s="33"/>
      <c r="RJ129" s="33"/>
      <c r="RK129" s="33"/>
      <c r="RL129" s="33"/>
      <c r="RM129" s="33"/>
      <c r="RN129" s="33"/>
      <c r="RO129" s="33"/>
      <c r="RP129" s="33"/>
      <c r="RQ129" s="33"/>
      <c r="RR129" s="33"/>
      <c r="RS129" s="33"/>
      <c r="RT129" s="33"/>
      <c r="RU129" s="33"/>
      <c r="RV129" s="33"/>
      <c r="RW129" s="33"/>
      <c r="RX129" s="33"/>
      <c r="RY129" s="33"/>
      <c r="RZ129" s="33"/>
      <c r="SA129" s="33"/>
      <c r="SB129" s="33"/>
      <c r="SC129" s="33"/>
      <c r="SD129" s="33"/>
      <c r="SE129" s="33"/>
      <c r="SF129" s="33"/>
      <c r="SG129" s="33"/>
      <c r="SH129" s="33"/>
      <c r="SI129" s="33"/>
      <c r="SJ129" s="33"/>
      <c r="SK129" s="33"/>
      <c r="SL129" s="33"/>
      <c r="SM129" s="33"/>
      <c r="SN129" s="33"/>
      <c r="SO129" s="33"/>
      <c r="SP129" s="33"/>
      <c r="SQ129" s="33"/>
      <c r="SR129" s="33"/>
      <c r="SS129" s="33"/>
      <c r="ST129" s="33"/>
      <c r="SU129" s="33"/>
      <c r="SV129" s="33"/>
      <c r="SW129" s="33"/>
      <c r="SX129" s="33"/>
      <c r="SY129" s="33"/>
      <c r="SZ129" s="33"/>
      <c r="TA129" s="33"/>
      <c r="TB129" s="33"/>
      <c r="TC129" s="33"/>
      <c r="TD129" s="33"/>
      <c r="TE129" s="33"/>
      <c r="TF129" s="33"/>
      <c r="TG129" s="33"/>
    </row>
    <row r="130" spans="1:527" s="34" customFormat="1" ht="63" hidden="1" customHeight="1" x14ac:dyDescent="0.25">
      <c r="A130" s="96"/>
      <c r="B130" s="109"/>
      <c r="C130" s="109"/>
      <c r="D130" s="77" t="s">
        <v>388</v>
      </c>
      <c r="E130" s="98">
        <f>E156</f>
        <v>0</v>
      </c>
      <c r="F130" s="98">
        <f>F156</f>
        <v>0</v>
      </c>
      <c r="G130" s="98">
        <f t="shared" ref="G130:I130" si="46">G156</f>
        <v>0</v>
      </c>
      <c r="H130" s="98">
        <f t="shared" si="46"/>
        <v>0</v>
      </c>
      <c r="I130" s="98">
        <f t="shared" si="46"/>
        <v>0</v>
      </c>
      <c r="J130" s="98">
        <f>J156</f>
        <v>156000</v>
      </c>
      <c r="K130" s="98">
        <f t="shared" ref="K130:P130" si="47">K156</f>
        <v>156000</v>
      </c>
      <c r="L130" s="98">
        <f t="shared" si="47"/>
        <v>0</v>
      </c>
      <c r="M130" s="98">
        <f t="shared" si="47"/>
        <v>0</v>
      </c>
      <c r="N130" s="98">
        <f t="shared" si="47"/>
        <v>0</v>
      </c>
      <c r="O130" s="98">
        <f t="shared" si="47"/>
        <v>156000</v>
      </c>
      <c r="P130" s="98">
        <f t="shared" si="47"/>
        <v>156000</v>
      </c>
      <c r="Q130" s="33"/>
      <c r="R130" s="32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  <c r="OE130" s="33"/>
      <c r="OF130" s="33"/>
      <c r="OG130" s="33"/>
      <c r="OH130" s="33"/>
      <c r="OI130" s="33"/>
      <c r="OJ130" s="33"/>
      <c r="OK130" s="33"/>
      <c r="OL130" s="33"/>
      <c r="OM130" s="33"/>
      <c r="ON130" s="33"/>
      <c r="OO130" s="33"/>
      <c r="OP130" s="33"/>
      <c r="OQ130" s="33"/>
      <c r="OR130" s="33"/>
      <c r="OS130" s="33"/>
      <c r="OT130" s="33"/>
      <c r="OU130" s="33"/>
      <c r="OV130" s="33"/>
      <c r="OW130" s="33"/>
      <c r="OX130" s="33"/>
      <c r="OY130" s="33"/>
      <c r="OZ130" s="33"/>
      <c r="PA130" s="33"/>
      <c r="PB130" s="33"/>
      <c r="PC130" s="33"/>
      <c r="PD130" s="33"/>
      <c r="PE130" s="33"/>
      <c r="PF130" s="33"/>
      <c r="PG130" s="33"/>
      <c r="PH130" s="33"/>
      <c r="PI130" s="33"/>
      <c r="PJ130" s="33"/>
      <c r="PK130" s="33"/>
      <c r="PL130" s="33"/>
      <c r="PM130" s="33"/>
      <c r="PN130" s="33"/>
      <c r="PO130" s="33"/>
      <c r="PP130" s="33"/>
      <c r="PQ130" s="33"/>
      <c r="PR130" s="33"/>
      <c r="PS130" s="33"/>
      <c r="PT130" s="33"/>
      <c r="PU130" s="33"/>
      <c r="PV130" s="33"/>
      <c r="PW130" s="33"/>
      <c r="PX130" s="33"/>
      <c r="PY130" s="33"/>
      <c r="PZ130" s="33"/>
      <c r="QA130" s="33"/>
      <c r="QB130" s="33"/>
      <c r="QC130" s="33"/>
      <c r="QD130" s="33"/>
      <c r="QE130" s="33"/>
      <c r="QF130" s="33"/>
      <c r="QG130" s="33"/>
      <c r="QH130" s="33"/>
      <c r="QI130" s="33"/>
      <c r="QJ130" s="33"/>
      <c r="QK130" s="33"/>
      <c r="QL130" s="33"/>
      <c r="QM130" s="33"/>
      <c r="QN130" s="33"/>
      <c r="QO130" s="33"/>
      <c r="QP130" s="33"/>
      <c r="QQ130" s="33"/>
      <c r="QR130" s="33"/>
      <c r="QS130" s="33"/>
      <c r="QT130" s="33"/>
      <c r="QU130" s="33"/>
      <c r="QV130" s="33"/>
      <c r="QW130" s="33"/>
      <c r="QX130" s="33"/>
      <c r="QY130" s="33"/>
      <c r="QZ130" s="33"/>
      <c r="RA130" s="33"/>
      <c r="RB130" s="33"/>
      <c r="RC130" s="33"/>
      <c r="RD130" s="33"/>
      <c r="RE130" s="33"/>
      <c r="RF130" s="33"/>
      <c r="RG130" s="33"/>
      <c r="RH130" s="33"/>
      <c r="RI130" s="33"/>
      <c r="RJ130" s="33"/>
      <c r="RK130" s="33"/>
      <c r="RL130" s="33"/>
      <c r="RM130" s="33"/>
      <c r="RN130" s="33"/>
      <c r="RO130" s="33"/>
      <c r="RP130" s="33"/>
      <c r="RQ130" s="33"/>
      <c r="RR130" s="33"/>
      <c r="RS130" s="33"/>
      <c r="RT130" s="33"/>
      <c r="RU130" s="33"/>
      <c r="RV130" s="33"/>
      <c r="RW130" s="33"/>
      <c r="RX130" s="33"/>
      <c r="RY130" s="33"/>
      <c r="RZ130" s="33"/>
      <c r="SA130" s="33"/>
      <c r="SB130" s="33"/>
      <c r="SC130" s="33"/>
      <c r="SD130" s="33"/>
      <c r="SE130" s="33"/>
      <c r="SF130" s="33"/>
      <c r="SG130" s="33"/>
      <c r="SH130" s="33"/>
      <c r="SI130" s="33"/>
      <c r="SJ130" s="33"/>
      <c r="SK130" s="33"/>
      <c r="SL130" s="33"/>
      <c r="SM130" s="33"/>
      <c r="SN130" s="33"/>
      <c r="SO130" s="33"/>
      <c r="SP130" s="33"/>
      <c r="SQ130" s="33"/>
      <c r="SR130" s="33"/>
      <c r="SS130" s="33"/>
      <c r="ST130" s="33"/>
      <c r="SU130" s="33"/>
      <c r="SV130" s="33"/>
      <c r="SW130" s="33"/>
      <c r="SX130" s="33"/>
      <c r="SY130" s="33"/>
      <c r="SZ130" s="33"/>
      <c r="TA130" s="33"/>
      <c r="TB130" s="33"/>
      <c r="TC130" s="33"/>
      <c r="TD130" s="33"/>
      <c r="TE130" s="33"/>
      <c r="TF130" s="33"/>
      <c r="TG130" s="33"/>
    </row>
    <row r="131" spans="1:527" s="34" customFormat="1" ht="47.25" hidden="1" customHeight="1" x14ac:dyDescent="0.25">
      <c r="A131" s="96"/>
      <c r="B131" s="109"/>
      <c r="C131" s="109"/>
      <c r="D131" s="77" t="s">
        <v>391</v>
      </c>
      <c r="E131" s="98">
        <f>E139+E149</f>
        <v>0</v>
      </c>
      <c r="F131" s="98">
        <f t="shared" ref="F131:P131" si="48">F139+F149</f>
        <v>0</v>
      </c>
      <c r="G131" s="98">
        <f t="shared" si="48"/>
        <v>0</v>
      </c>
      <c r="H131" s="98">
        <f t="shared" si="48"/>
        <v>0</v>
      </c>
      <c r="I131" s="98">
        <f t="shared" si="48"/>
        <v>0</v>
      </c>
      <c r="J131" s="98">
        <f t="shared" si="48"/>
        <v>0</v>
      </c>
      <c r="K131" s="98">
        <f t="shared" si="48"/>
        <v>0</v>
      </c>
      <c r="L131" s="98">
        <f t="shared" si="48"/>
        <v>0</v>
      </c>
      <c r="M131" s="98">
        <f t="shared" si="48"/>
        <v>0</v>
      </c>
      <c r="N131" s="98">
        <f t="shared" si="48"/>
        <v>0</v>
      </c>
      <c r="O131" s="98">
        <f t="shared" si="48"/>
        <v>0</v>
      </c>
      <c r="P131" s="98">
        <f t="shared" si="48"/>
        <v>0</v>
      </c>
      <c r="Q131" s="33"/>
      <c r="R131" s="32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  <c r="SQ131" s="33"/>
      <c r="SR131" s="33"/>
      <c r="SS131" s="33"/>
      <c r="ST131" s="33"/>
      <c r="SU131" s="33"/>
      <c r="SV131" s="33"/>
      <c r="SW131" s="33"/>
      <c r="SX131" s="33"/>
      <c r="SY131" s="33"/>
      <c r="SZ131" s="33"/>
      <c r="TA131" s="33"/>
      <c r="TB131" s="33"/>
      <c r="TC131" s="33"/>
      <c r="TD131" s="33"/>
      <c r="TE131" s="33"/>
      <c r="TF131" s="33"/>
      <c r="TG131" s="33"/>
    </row>
    <row r="132" spans="1:527" s="34" customFormat="1" ht="63" x14ac:dyDescent="0.25">
      <c r="A132" s="96"/>
      <c r="B132" s="109"/>
      <c r="C132" s="109"/>
      <c r="D132" s="77" t="s">
        <v>392</v>
      </c>
      <c r="E132" s="98">
        <f>E147+E150</f>
        <v>11403700</v>
      </c>
      <c r="F132" s="98">
        <f t="shared" ref="F132:P132" si="49">F147+F150</f>
        <v>11403700</v>
      </c>
      <c r="G132" s="98">
        <f t="shared" si="49"/>
        <v>0</v>
      </c>
      <c r="H132" s="98">
        <f t="shared" si="49"/>
        <v>0</v>
      </c>
      <c r="I132" s="98">
        <f t="shared" si="49"/>
        <v>0</v>
      </c>
      <c r="J132" s="98">
        <f t="shared" si="49"/>
        <v>0</v>
      </c>
      <c r="K132" s="98">
        <f>K147+K150</f>
        <v>0</v>
      </c>
      <c r="L132" s="98">
        <f t="shared" si="49"/>
        <v>0</v>
      </c>
      <c r="M132" s="98">
        <f t="shared" si="49"/>
        <v>0</v>
      </c>
      <c r="N132" s="98">
        <f t="shared" si="49"/>
        <v>0</v>
      </c>
      <c r="O132" s="98">
        <f t="shared" si="49"/>
        <v>0</v>
      </c>
      <c r="P132" s="98">
        <f t="shared" si="49"/>
        <v>11403700</v>
      </c>
      <c r="Q132" s="33"/>
      <c r="R132" s="32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  <c r="OE132" s="33"/>
      <c r="OF132" s="33"/>
      <c r="OG132" s="33"/>
      <c r="OH132" s="33"/>
      <c r="OI132" s="33"/>
      <c r="OJ132" s="33"/>
      <c r="OK132" s="33"/>
      <c r="OL132" s="33"/>
      <c r="OM132" s="33"/>
      <c r="ON132" s="33"/>
      <c r="OO132" s="33"/>
      <c r="OP132" s="33"/>
      <c r="OQ132" s="33"/>
      <c r="OR132" s="33"/>
      <c r="OS132" s="33"/>
      <c r="OT132" s="33"/>
      <c r="OU132" s="33"/>
      <c r="OV132" s="33"/>
      <c r="OW132" s="33"/>
      <c r="OX132" s="33"/>
      <c r="OY132" s="33"/>
      <c r="OZ132" s="33"/>
      <c r="PA132" s="33"/>
      <c r="PB132" s="33"/>
      <c r="PC132" s="33"/>
      <c r="PD132" s="33"/>
      <c r="PE132" s="33"/>
      <c r="PF132" s="33"/>
      <c r="PG132" s="33"/>
      <c r="PH132" s="33"/>
      <c r="PI132" s="33"/>
      <c r="PJ132" s="33"/>
      <c r="PK132" s="33"/>
      <c r="PL132" s="33"/>
      <c r="PM132" s="33"/>
      <c r="PN132" s="33"/>
      <c r="PO132" s="33"/>
      <c r="PP132" s="33"/>
      <c r="PQ132" s="33"/>
      <c r="PR132" s="33"/>
      <c r="PS132" s="33"/>
      <c r="PT132" s="33"/>
      <c r="PU132" s="33"/>
      <c r="PV132" s="33"/>
      <c r="PW132" s="33"/>
      <c r="PX132" s="33"/>
      <c r="PY132" s="33"/>
      <c r="PZ132" s="33"/>
      <c r="QA132" s="33"/>
      <c r="QB132" s="33"/>
      <c r="QC132" s="33"/>
      <c r="QD132" s="33"/>
      <c r="QE132" s="33"/>
      <c r="QF132" s="33"/>
      <c r="QG132" s="33"/>
      <c r="QH132" s="33"/>
      <c r="QI132" s="33"/>
      <c r="QJ132" s="33"/>
      <c r="QK132" s="33"/>
      <c r="QL132" s="33"/>
      <c r="QM132" s="33"/>
      <c r="QN132" s="33"/>
      <c r="QO132" s="33"/>
      <c r="QP132" s="33"/>
      <c r="QQ132" s="33"/>
      <c r="QR132" s="33"/>
      <c r="QS132" s="33"/>
      <c r="QT132" s="33"/>
      <c r="QU132" s="33"/>
      <c r="QV132" s="33"/>
      <c r="QW132" s="33"/>
      <c r="QX132" s="33"/>
      <c r="QY132" s="33"/>
      <c r="QZ132" s="33"/>
      <c r="RA132" s="33"/>
      <c r="RB132" s="33"/>
      <c r="RC132" s="33"/>
      <c r="RD132" s="33"/>
      <c r="RE132" s="33"/>
      <c r="RF132" s="33"/>
      <c r="RG132" s="33"/>
      <c r="RH132" s="33"/>
      <c r="RI132" s="33"/>
      <c r="RJ132" s="33"/>
      <c r="RK132" s="33"/>
      <c r="RL132" s="33"/>
      <c r="RM132" s="33"/>
      <c r="RN132" s="33"/>
      <c r="RO132" s="33"/>
      <c r="RP132" s="33"/>
      <c r="RQ132" s="33"/>
      <c r="RR132" s="33"/>
      <c r="RS132" s="33"/>
      <c r="RT132" s="33"/>
      <c r="RU132" s="33"/>
      <c r="RV132" s="33"/>
      <c r="RW132" s="33"/>
      <c r="RX132" s="33"/>
      <c r="RY132" s="33"/>
      <c r="RZ132" s="33"/>
      <c r="SA132" s="33"/>
      <c r="SB132" s="33"/>
      <c r="SC132" s="33"/>
      <c r="SD132" s="33"/>
      <c r="SE132" s="33"/>
      <c r="SF132" s="33"/>
      <c r="SG132" s="33"/>
      <c r="SH132" s="33"/>
      <c r="SI132" s="33"/>
      <c r="SJ132" s="33"/>
      <c r="SK132" s="33"/>
      <c r="SL132" s="33"/>
      <c r="SM132" s="33"/>
      <c r="SN132" s="33"/>
      <c r="SO132" s="33"/>
      <c r="SP132" s="33"/>
      <c r="SQ132" s="33"/>
      <c r="SR132" s="33"/>
      <c r="SS132" s="33"/>
      <c r="ST132" s="33"/>
      <c r="SU132" s="33"/>
      <c r="SV132" s="33"/>
      <c r="SW132" s="33"/>
      <c r="SX132" s="33"/>
      <c r="SY132" s="33"/>
      <c r="SZ132" s="33"/>
      <c r="TA132" s="33"/>
      <c r="TB132" s="33"/>
      <c r="TC132" s="33"/>
      <c r="TD132" s="33"/>
      <c r="TE132" s="33"/>
      <c r="TF132" s="33"/>
      <c r="TG132" s="33"/>
    </row>
    <row r="133" spans="1:527" s="34" customFormat="1" ht="49.5" customHeight="1" x14ac:dyDescent="0.25">
      <c r="A133" s="96"/>
      <c r="B133" s="109"/>
      <c r="C133" s="109"/>
      <c r="D133" s="77" t="s">
        <v>388</v>
      </c>
      <c r="E133" s="98">
        <f>E156</f>
        <v>0</v>
      </c>
      <c r="F133" s="98">
        <f t="shared" ref="F133:P133" si="50">F156</f>
        <v>0</v>
      </c>
      <c r="G133" s="98">
        <f t="shared" si="50"/>
        <v>0</v>
      </c>
      <c r="H133" s="98">
        <f t="shared" si="50"/>
        <v>0</v>
      </c>
      <c r="I133" s="98">
        <f t="shared" si="50"/>
        <v>0</v>
      </c>
      <c r="J133" s="98">
        <f t="shared" si="50"/>
        <v>156000</v>
      </c>
      <c r="K133" s="98">
        <f t="shared" si="50"/>
        <v>156000</v>
      </c>
      <c r="L133" s="98">
        <f t="shared" si="50"/>
        <v>0</v>
      </c>
      <c r="M133" s="98">
        <f t="shared" si="50"/>
        <v>0</v>
      </c>
      <c r="N133" s="98">
        <f t="shared" si="50"/>
        <v>0</v>
      </c>
      <c r="O133" s="98">
        <f t="shared" si="50"/>
        <v>156000</v>
      </c>
      <c r="P133" s="98">
        <f t="shared" si="50"/>
        <v>156000</v>
      </c>
      <c r="Q133" s="33"/>
      <c r="R133" s="32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  <c r="SQ133" s="33"/>
      <c r="SR133" s="33"/>
      <c r="SS133" s="33"/>
      <c r="ST133" s="33"/>
      <c r="SU133" s="33"/>
      <c r="SV133" s="33"/>
      <c r="SW133" s="33"/>
      <c r="SX133" s="33"/>
      <c r="SY133" s="33"/>
      <c r="SZ133" s="33"/>
      <c r="TA133" s="33"/>
      <c r="TB133" s="33"/>
      <c r="TC133" s="33"/>
      <c r="TD133" s="33"/>
      <c r="TE133" s="33"/>
      <c r="TF133" s="33"/>
      <c r="TG133" s="33"/>
    </row>
    <row r="134" spans="1:527" s="34" customFormat="1" ht="15.75" x14ac:dyDescent="0.25">
      <c r="A134" s="96"/>
      <c r="B134" s="109"/>
      <c r="C134" s="109"/>
      <c r="D134" s="77" t="s">
        <v>393</v>
      </c>
      <c r="E134" s="98">
        <f>E140</f>
        <v>93426</v>
      </c>
      <c r="F134" s="98">
        <f t="shared" ref="F134:O134" si="51">F140</f>
        <v>93426</v>
      </c>
      <c r="G134" s="98">
        <f t="shared" si="51"/>
        <v>0</v>
      </c>
      <c r="H134" s="98">
        <f t="shared" si="51"/>
        <v>0</v>
      </c>
      <c r="I134" s="98">
        <f t="shared" si="51"/>
        <v>0</v>
      </c>
      <c r="J134" s="98">
        <f t="shared" si="51"/>
        <v>5750000</v>
      </c>
      <c r="K134" s="98">
        <f t="shared" si="51"/>
        <v>5750000</v>
      </c>
      <c r="L134" s="98">
        <f t="shared" si="51"/>
        <v>0</v>
      </c>
      <c r="M134" s="98">
        <f t="shared" si="51"/>
        <v>0</v>
      </c>
      <c r="N134" s="98">
        <f t="shared" si="51"/>
        <v>0</v>
      </c>
      <c r="O134" s="98">
        <f t="shared" si="51"/>
        <v>5750000</v>
      </c>
      <c r="P134" s="98">
        <f>P140</f>
        <v>5843426</v>
      </c>
      <c r="Q134" s="33"/>
      <c r="R134" s="32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3"/>
      <c r="LI134" s="33"/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3"/>
      <c r="ME134" s="33"/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33"/>
      <c r="NA134" s="33"/>
      <c r="NB134" s="33"/>
      <c r="NC134" s="33"/>
      <c r="ND134" s="33"/>
      <c r="NE134" s="33"/>
      <c r="NF134" s="33"/>
      <c r="NG134" s="33"/>
      <c r="NH134" s="33"/>
      <c r="NI134" s="33"/>
      <c r="NJ134" s="33"/>
      <c r="NK134" s="33"/>
      <c r="NL134" s="33"/>
      <c r="NM134" s="33"/>
      <c r="NN134" s="33"/>
      <c r="NO134" s="33"/>
      <c r="NP134" s="33"/>
      <c r="NQ134" s="33"/>
      <c r="NR134" s="33"/>
      <c r="NS134" s="33"/>
      <c r="NT134" s="33"/>
      <c r="NU134" s="33"/>
      <c r="NV134" s="33"/>
      <c r="NW134" s="33"/>
      <c r="NX134" s="33"/>
      <c r="NY134" s="33"/>
      <c r="NZ134" s="33"/>
      <c r="OA134" s="33"/>
      <c r="OB134" s="33"/>
      <c r="OC134" s="33"/>
      <c r="OD134" s="33"/>
      <c r="OE134" s="33"/>
      <c r="OF134" s="33"/>
      <c r="OG134" s="33"/>
      <c r="OH134" s="33"/>
      <c r="OI134" s="33"/>
      <c r="OJ134" s="33"/>
      <c r="OK134" s="33"/>
      <c r="OL134" s="33"/>
      <c r="OM134" s="33"/>
      <c r="ON134" s="33"/>
      <c r="OO134" s="33"/>
      <c r="OP134" s="33"/>
      <c r="OQ134" s="33"/>
      <c r="OR134" s="33"/>
      <c r="OS134" s="33"/>
      <c r="OT134" s="33"/>
      <c r="OU134" s="33"/>
      <c r="OV134" s="33"/>
      <c r="OW134" s="33"/>
      <c r="OX134" s="33"/>
      <c r="OY134" s="33"/>
      <c r="OZ134" s="33"/>
      <c r="PA134" s="33"/>
      <c r="PB134" s="33"/>
      <c r="PC134" s="33"/>
      <c r="PD134" s="33"/>
      <c r="PE134" s="33"/>
      <c r="PF134" s="33"/>
      <c r="PG134" s="33"/>
      <c r="PH134" s="33"/>
      <c r="PI134" s="33"/>
      <c r="PJ134" s="33"/>
      <c r="PK134" s="33"/>
      <c r="PL134" s="33"/>
      <c r="PM134" s="33"/>
      <c r="PN134" s="33"/>
      <c r="PO134" s="33"/>
      <c r="PP134" s="33"/>
      <c r="PQ134" s="33"/>
      <c r="PR134" s="33"/>
      <c r="PS134" s="33"/>
      <c r="PT134" s="33"/>
      <c r="PU134" s="33"/>
      <c r="PV134" s="33"/>
      <c r="PW134" s="33"/>
      <c r="PX134" s="33"/>
      <c r="PY134" s="33"/>
      <c r="PZ134" s="33"/>
      <c r="QA134" s="33"/>
      <c r="QB134" s="33"/>
      <c r="QC134" s="33"/>
      <c r="QD134" s="33"/>
      <c r="QE134" s="33"/>
      <c r="QF134" s="33"/>
      <c r="QG134" s="33"/>
      <c r="QH134" s="33"/>
      <c r="QI134" s="33"/>
      <c r="QJ134" s="33"/>
      <c r="QK134" s="33"/>
      <c r="QL134" s="33"/>
      <c r="QM134" s="33"/>
      <c r="QN134" s="33"/>
      <c r="QO134" s="33"/>
      <c r="QP134" s="33"/>
      <c r="QQ134" s="33"/>
      <c r="QR134" s="33"/>
      <c r="QS134" s="33"/>
      <c r="QT134" s="33"/>
      <c r="QU134" s="33"/>
      <c r="QV134" s="33"/>
      <c r="QW134" s="33"/>
      <c r="QX134" s="33"/>
      <c r="QY134" s="33"/>
      <c r="QZ134" s="33"/>
      <c r="RA134" s="33"/>
      <c r="RB134" s="33"/>
      <c r="RC134" s="33"/>
      <c r="RD134" s="33"/>
      <c r="RE134" s="33"/>
      <c r="RF134" s="33"/>
      <c r="RG134" s="33"/>
      <c r="RH134" s="33"/>
      <c r="RI134" s="33"/>
      <c r="RJ134" s="33"/>
      <c r="RK134" s="33"/>
      <c r="RL134" s="33"/>
      <c r="RM134" s="33"/>
      <c r="RN134" s="33"/>
      <c r="RO134" s="33"/>
      <c r="RP134" s="33"/>
      <c r="RQ134" s="33"/>
      <c r="RR134" s="33"/>
      <c r="RS134" s="33"/>
      <c r="RT134" s="33"/>
      <c r="RU134" s="33"/>
      <c r="RV134" s="33"/>
      <c r="RW134" s="33"/>
      <c r="RX134" s="33"/>
      <c r="RY134" s="33"/>
      <c r="RZ134" s="33"/>
      <c r="SA134" s="33"/>
      <c r="SB134" s="33"/>
      <c r="SC134" s="33"/>
      <c r="SD134" s="33"/>
      <c r="SE134" s="33"/>
      <c r="SF134" s="33"/>
      <c r="SG134" s="33"/>
      <c r="SH134" s="33"/>
      <c r="SI134" s="33"/>
      <c r="SJ134" s="33"/>
      <c r="SK134" s="33"/>
      <c r="SL134" s="33"/>
      <c r="SM134" s="33"/>
      <c r="SN134" s="33"/>
      <c r="SO134" s="33"/>
      <c r="SP134" s="33"/>
      <c r="SQ134" s="33"/>
      <c r="SR134" s="33"/>
      <c r="SS134" s="33"/>
      <c r="ST134" s="33"/>
      <c r="SU134" s="33"/>
      <c r="SV134" s="33"/>
      <c r="SW134" s="33"/>
      <c r="SX134" s="33"/>
      <c r="SY134" s="33"/>
      <c r="SZ134" s="33"/>
      <c r="TA134" s="33"/>
      <c r="TB134" s="33"/>
      <c r="TC134" s="33"/>
      <c r="TD134" s="33"/>
      <c r="TE134" s="33"/>
      <c r="TF134" s="33"/>
      <c r="TG134" s="33"/>
    </row>
    <row r="135" spans="1:527" s="34" customFormat="1" ht="15.75" x14ac:dyDescent="0.25">
      <c r="A135" s="96"/>
      <c r="B135" s="109"/>
      <c r="C135" s="109"/>
      <c r="D135" s="83" t="s">
        <v>419</v>
      </c>
      <c r="E135" s="98">
        <f>E158</f>
        <v>0</v>
      </c>
      <c r="F135" s="98">
        <f t="shared" ref="F135:P135" si="52">F158</f>
        <v>0</v>
      </c>
      <c r="G135" s="98">
        <f t="shared" si="52"/>
        <v>0</v>
      </c>
      <c r="H135" s="98">
        <f t="shared" si="52"/>
        <v>0</v>
      </c>
      <c r="I135" s="98">
        <f t="shared" si="52"/>
        <v>0</v>
      </c>
      <c r="J135" s="98">
        <f t="shared" si="52"/>
        <v>4662070.12</v>
      </c>
      <c r="K135" s="98">
        <f t="shared" si="52"/>
        <v>4662070.12</v>
      </c>
      <c r="L135" s="98">
        <f t="shared" si="52"/>
        <v>0</v>
      </c>
      <c r="M135" s="98">
        <f t="shared" si="52"/>
        <v>0</v>
      </c>
      <c r="N135" s="98">
        <f t="shared" si="52"/>
        <v>0</v>
      </c>
      <c r="O135" s="98">
        <f t="shared" si="52"/>
        <v>4662070.12</v>
      </c>
      <c r="P135" s="98">
        <f t="shared" si="52"/>
        <v>4662070.12</v>
      </c>
      <c r="Q135" s="33"/>
      <c r="R135" s="32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  <c r="QA135" s="33"/>
      <c r="QB135" s="33"/>
      <c r="QC135" s="33"/>
      <c r="QD135" s="33"/>
      <c r="QE135" s="33"/>
      <c r="QF135" s="33"/>
      <c r="QG135" s="33"/>
      <c r="QH135" s="33"/>
      <c r="QI135" s="33"/>
      <c r="QJ135" s="33"/>
      <c r="QK135" s="33"/>
      <c r="QL135" s="33"/>
      <c r="QM135" s="33"/>
      <c r="QN135" s="33"/>
      <c r="QO135" s="33"/>
      <c r="QP135" s="33"/>
      <c r="QQ135" s="33"/>
      <c r="QR135" s="33"/>
      <c r="QS135" s="33"/>
      <c r="QT135" s="33"/>
      <c r="QU135" s="33"/>
      <c r="QV135" s="33"/>
      <c r="QW135" s="33"/>
      <c r="QX135" s="33"/>
      <c r="QY135" s="33"/>
      <c r="QZ135" s="33"/>
      <c r="RA135" s="33"/>
      <c r="RB135" s="33"/>
      <c r="RC135" s="33"/>
      <c r="RD135" s="33"/>
      <c r="RE135" s="33"/>
      <c r="RF135" s="33"/>
      <c r="RG135" s="33"/>
      <c r="RH135" s="33"/>
      <c r="RI135" s="33"/>
      <c r="RJ135" s="33"/>
      <c r="RK135" s="33"/>
      <c r="RL135" s="33"/>
      <c r="RM135" s="33"/>
      <c r="RN135" s="33"/>
      <c r="RO135" s="33"/>
      <c r="RP135" s="33"/>
      <c r="RQ135" s="33"/>
      <c r="RR135" s="33"/>
      <c r="RS135" s="33"/>
      <c r="RT135" s="33"/>
      <c r="RU135" s="33"/>
      <c r="RV135" s="33"/>
      <c r="RW135" s="33"/>
      <c r="RX135" s="33"/>
      <c r="RY135" s="33"/>
      <c r="RZ135" s="33"/>
      <c r="SA135" s="33"/>
      <c r="SB135" s="33"/>
      <c r="SC135" s="33"/>
      <c r="SD135" s="33"/>
      <c r="SE135" s="33"/>
      <c r="SF135" s="33"/>
      <c r="SG135" s="33"/>
      <c r="SH135" s="33"/>
      <c r="SI135" s="33"/>
      <c r="SJ135" s="33"/>
      <c r="SK135" s="33"/>
      <c r="SL135" s="33"/>
      <c r="SM135" s="33"/>
      <c r="SN135" s="33"/>
      <c r="SO135" s="33"/>
      <c r="SP135" s="33"/>
      <c r="SQ135" s="33"/>
      <c r="SR135" s="33"/>
      <c r="SS135" s="33"/>
      <c r="ST135" s="33"/>
      <c r="SU135" s="33"/>
      <c r="SV135" s="33"/>
      <c r="SW135" s="33"/>
      <c r="SX135" s="33"/>
      <c r="SY135" s="33"/>
      <c r="SZ135" s="33"/>
      <c r="TA135" s="33"/>
      <c r="TB135" s="33"/>
      <c r="TC135" s="33"/>
      <c r="TD135" s="33"/>
      <c r="TE135" s="33"/>
      <c r="TF135" s="33"/>
      <c r="TG135" s="33"/>
    </row>
    <row r="136" spans="1:527" s="22" customFormat="1" ht="48" customHeight="1" x14ac:dyDescent="0.25">
      <c r="A136" s="59" t="s">
        <v>171</v>
      </c>
      <c r="B136" s="93" t="str">
        <f>'дод 8'!A19</f>
        <v>0160</v>
      </c>
      <c r="C136" s="93" t="str">
        <f>'дод 8'!B19</f>
        <v>0111</v>
      </c>
      <c r="D136" s="36" t="s">
        <v>494</v>
      </c>
      <c r="E136" s="99">
        <f t="shared" ref="E136:E160" si="53">F136+I136</f>
        <v>2564384</v>
      </c>
      <c r="F136" s="99">
        <v>2564384</v>
      </c>
      <c r="G136" s="99">
        <v>1956200</v>
      </c>
      <c r="H136" s="99">
        <f>35584+8500</f>
        <v>44084</v>
      </c>
      <c r="I136" s="99"/>
      <c r="J136" s="99">
        <f>L136+O136</f>
        <v>600000</v>
      </c>
      <c r="K136" s="99">
        <v>600000</v>
      </c>
      <c r="L136" s="99"/>
      <c r="M136" s="99"/>
      <c r="N136" s="99"/>
      <c r="O136" s="99">
        <v>600000</v>
      </c>
      <c r="P136" s="99">
        <f t="shared" ref="P136:P160" si="54">E136+J136</f>
        <v>3164384</v>
      </c>
      <c r="Q136" s="23"/>
      <c r="R136" s="32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  <c r="IU136" s="23"/>
      <c r="IV136" s="23"/>
      <c r="IW136" s="23"/>
      <c r="IX136" s="23"/>
      <c r="IY136" s="23"/>
      <c r="IZ136" s="23"/>
      <c r="JA136" s="23"/>
      <c r="JB136" s="23"/>
      <c r="JC136" s="23"/>
      <c r="JD136" s="23"/>
      <c r="JE136" s="23"/>
      <c r="JF136" s="23"/>
      <c r="JG136" s="23"/>
      <c r="JH136" s="23"/>
      <c r="JI136" s="23"/>
      <c r="JJ136" s="23"/>
      <c r="JK136" s="23"/>
      <c r="JL136" s="23"/>
      <c r="JM136" s="23"/>
      <c r="JN136" s="23"/>
      <c r="JO136" s="23"/>
      <c r="JP136" s="23"/>
      <c r="JQ136" s="23"/>
      <c r="JR136" s="23"/>
      <c r="JS136" s="23"/>
      <c r="JT136" s="23"/>
      <c r="JU136" s="23"/>
      <c r="JV136" s="23"/>
      <c r="JW136" s="23"/>
      <c r="JX136" s="23"/>
      <c r="JY136" s="23"/>
      <c r="JZ136" s="23"/>
      <c r="KA136" s="23"/>
      <c r="KB136" s="23"/>
      <c r="KC136" s="23"/>
      <c r="KD136" s="23"/>
      <c r="KE136" s="23"/>
      <c r="KF136" s="23"/>
      <c r="KG136" s="23"/>
      <c r="KH136" s="23"/>
      <c r="KI136" s="23"/>
      <c r="KJ136" s="23"/>
      <c r="KK136" s="23"/>
      <c r="KL136" s="23"/>
      <c r="KM136" s="23"/>
      <c r="KN136" s="23"/>
      <c r="KO136" s="23"/>
      <c r="KP136" s="23"/>
      <c r="KQ136" s="23"/>
      <c r="KR136" s="23"/>
      <c r="KS136" s="23"/>
      <c r="KT136" s="23"/>
      <c r="KU136" s="23"/>
      <c r="KV136" s="23"/>
      <c r="KW136" s="23"/>
      <c r="KX136" s="23"/>
      <c r="KY136" s="23"/>
      <c r="KZ136" s="23"/>
      <c r="LA136" s="23"/>
      <c r="LB136" s="23"/>
      <c r="LC136" s="23"/>
      <c r="LD136" s="23"/>
      <c r="LE136" s="23"/>
      <c r="LF136" s="23"/>
      <c r="LG136" s="23"/>
      <c r="LH136" s="23"/>
      <c r="LI136" s="23"/>
      <c r="LJ136" s="23"/>
      <c r="LK136" s="23"/>
      <c r="LL136" s="23"/>
      <c r="LM136" s="23"/>
      <c r="LN136" s="23"/>
      <c r="LO136" s="23"/>
      <c r="LP136" s="23"/>
      <c r="LQ136" s="23"/>
      <c r="LR136" s="23"/>
      <c r="LS136" s="23"/>
      <c r="LT136" s="23"/>
      <c r="LU136" s="23"/>
      <c r="LV136" s="23"/>
      <c r="LW136" s="23"/>
      <c r="LX136" s="23"/>
      <c r="LY136" s="23"/>
      <c r="LZ136" s="23"/>
      <c r="MA136" s="23"/>
      <c r="MB136" s="23"/>
      <c r="MC136" s="23"/>
      <c r="MD136" s="23"/>
      <c r="ME136" s="23"/>
      <c r="MF136" s="23"/>
      <c r="MG136" s="23"/>
      <c r="MH136" s="23"/>
      <c r="MI136" s="23"/>
      <c r="MJ136" s="23"/>
      <c r="MK136" s="23"/>
      <c r="ML136" s="23"/>
      <c r="MM136" s="23"/>
      <c r="MN136" s="23"/>
      <c r="MO136" s="23"/>
      <c r="MP136" s="23"/>
      <c r="MQ136" s="23"/>
      <c r="MR136" s="23"/>
      <c r="MS136" s="23"/>
      <c r="MT136" s="23"/>
      <c r="MU136" s="23"/>
      <c r="MV136" s="23"/>
      <c r="MW136" s="23"/>
      <c r="MX136" s="23"/>
      <c r="MY136" s="23"/>
      <c r="MZ136" s="23"/>
      <c r="NA136" s="23"/>
      <c r="NB136" s="23"/>
      <c r="NC136" s="23"/>
      <c r="ND136" s="23"/>
      <c r="NE136" s="23"/>
      <c r="NF136" s="23"/>
      <c r="NG136" s="23"/>
      <c r="NH136" s="23"/>
      <c r="NI136" s="23"/>
      <c r="NJ136" s="23"/>
      <c r="NK136" s="23"/>
      <c r="NL136" s="23"/>
      <c r="NM136" s="23"/>
      <c r="NN136" s="23"/>
      <c r="NO136" s="23"/>
      <c r="NP136" s="23"/>
      <c r="NQ136" s="23"/>
      <c r="NR136" s="23"/>
      <c r="NS136" s="23"/>
      <c r="NT136" s="23"/>
      <c r="NU136" s="23"/>
      <c r="NV136" s="23"/>
      <c r="NW136" s="23"/>
      <c r="NX136" s="23"/>
      <c r="NY136" s="23"/>
      <c r="NZ136" s="23"/>
      <c r="OA136" s="23"/>
      <c r="OB136" s="23"/>
      <c r="OC136" s="23"/>
      <c r="OD136" s="23"/>
      <c r="OE136" s="23"/>
      <c r="OF136" s="23"/>
      <c r="OG136" s="23"/>
      <c r="OH136" s="23"/>
      <c r="OI136" s="23"/>
      <c r="OJ136" s="23"/>
      <c r="OK136" s="23"/>
      <c r="OL136" s="23"/>
      <c r="OM136" s="23"/>
      <c r="ON136" s="23"/>
      <c r="OO136" s="23"/>
      <c r="OP136" s="23"/>
      <c r="OQ136" s="23"/>
      <c r="OR136" s="23"/>
      <c r="OS136" s="23"/>
      <c r="OT136" s="23"/>
      <c r="OU136" s="23"/>
      <c r="OV136" s="23"/>
      <c r="OW136" s="23"/>
      <c r="OX136" s="23"/>
      <c r="OY136" s="23"/>
      <c r="OZ136" s="23"/>
      <c r="PA136" s="23"/>
      <c r="PB136" s="23"/>
      <c r="PC136" s="23"/>
      <c r="PD136" s="23"/>
      <c r="PE136" s="23"/>
      <c r="PF136" s="23"/>
      <c r="PG136" s="23"/>
      <c r="PH136" s="23"/>
      <c r="PI136" s="23"/>
      <c r="PJ136" s="23"/>
      <c r="PK136" s="23"/>
      <c r="PL136" s="23"/>
      <c r="PM136" s="23"/>
      <c r="PN136" s="23"/>
      <c r="PO136" s="23"/>
      <c r="PP136" s="23"/>
      <c r="PQ136" s="23"/>
      <c r="PR136" s="23"/>
      <c r="PS136" s="23"/>
      <c r="PT136" s="23"/>
      <c r="PU136" s="23"/>
      <c r="PV136" s="23"/>
      <c r="PW136" s="23"/>
      <c r="PX136" s="23"/>
      <c r="PY136" s="23"/>
      <c r="PZ136" s="23"/>
      <c r="QA136" s="23"/>
      <c r="QB136" s="23"/>
      <c r="QC136" s="23"/>
      <c r="QD136" s="23"/>
      <c r="QE136" s="23"/>
      <c r="QF136" s="23"/>
      <c r="QG136" s="23"/>
      <c r="QH136" s="23"/>
      <c r="QI136" s="23"/>
      <c r="QJ136" s="23"/>
      <c r="QK136" s="23"/>
      <c r="QL136" s="23"/>
      <c r="QM136" s="23"/>
      <c r="QN136" s="23"/>
      <c r="QO136" s="23"/>
      <c r="QP136" s="23"/>
      <c r="QQ136" s="23"/>
      <c r="QR136" s="23"/>
      <c r="QS136" s="23"/>
      <c r="QT136" s="23"/>
      <c r="QU136" s="23"/>
      <c r="QV136" s="23"/>
      <c r="QW136" s="23"/>
      <c r="QX136" s="23"/>
      <c r="QY136" s="23"/>
      <c r="QZ136" s="23"/>
      <c r="RA136" s="23"/>
      <c r="RB136" s="23"/>
      <c r="RC136" s="23"/>
      <c r="RD136" s="23"/>
      <c r="RE136" s="23"/>
      <c r="RF136" s="23"/>
      <c r="RG136" s="23"/>
      <c r="RH136" s="23"/>
      <c r="RI136" s="23"/>
      <c r="RJ136" s="23"/>
      <c r="RK136" s="23"/>
      <c r="RL136" s="23"/>
      <c r="RM136" s="23"/>
      <c r="RN136" s="23"/>
      <c r="RO136" s="23"/>
      <c r="RP136" s="23"/>
      <c r="RQ136" s="23"/>
      <c r="RR136" s="23"/>
      <c r="RS136" s="23"/>
      <c r="RT136" s="23"/>
      <c r="RU136" s="23"/>
      <c r="RV136" s="23"/>
      <c r="RW136" s="23"/>
      <c r="RX136" s="23"/>
      <c r="RY136" s="23"/>
      <c r="RZ136" s="23"/>
      <c r="SA136" s="23"/>
      <c r="SB136" s="23"/>
      <c r="SC136" s="23"/>
      <c r="SD136" s="23"/>
      <c r="SE136" s="23"/>
      <c r="SF136" s="23"/>
      <c r="SG136" s="23"/>
      <c r="SH136" s="23"/>
      <c r="SI136" s="23"/>
      <c r="SJ136" s="23"/>
      <c r="SK136" s="23"/>
      <c r="SL136" s="23"/>
      <c r="SM136" s="23"/>
      <c r="SN136" s="23"/>
      <c r="SO136" s="23"/>
      <c r="SP136" s="23"/>
      <c r="SQ136" s="23"/>
      <c r="SR136" s="23"/>
      <c r="SS136" s="23"/>
      <c r="ST136" s="23"/>
      <c r="SU136" s="23"/>
      <c r="SV136" s="23"/>
      <c r="SW136" s="23"/>
      <c r="SX136" s="23"/>
      <c r="SY136" s="23"/>
      <c r="SZ136" s="23"/>
      <c r="TA136" s="23"/>
      <c r="TB136" s="23"/>
      <c r="TC136" s="23"/>
      <c r="TD136" s="23"/>
      <c r="TE136" s="23"/>
      <c r="TF136" s="23"/>
      <c r="TG136" s="23"/>
    </row>
    <row r="137" spans="1:527" s="22" customFormat="1" ht="33" customHeight="1" x14ac:dyDescent="0.25">
      <c r="A137" s="59" t="s">
        <v>172</v>
      </c>
      <c r="B137" s="93" t="str">
        <f>'дод 8'!A84</f>
        <v>2010</v>
      </c>
      <c r="C137" s="93" t="str">
        <f>'дод 8'!B84</f>
        <v>0731</v>
      </c>
      <c r="D137" s="6" t="s">
        <v>617</v>
      </c>
      <c r="E137" s="99">
        <f t="shared" si="53"/>
        <v>45832353.399999999</v>
      </c>
      <c r="F137" s="99">
        <v>45832353.399999999</v>
      </c>
      <c r="G137" s="99"/>
      <c r="H137" s="99"/>
      <c r="I137" s="113"/>
      <c r="J137" s="99">
        <f t="shared" ref="J137:J160" si="55">L137+O137</f>
        <v>46545966.82</v>
      </c>
      <c r="K137" s="99">
        <f>45245966.82+1300000</f>
        <v>46545966.82</v>
      </c>
      <c r="L137" s="99"/>
      <c r="M137" s="99"/>
      <c r="N137" s="99"/>
      <c r="O137" s="99">
        <f>45245966.82+1300000</f>
        <v>46545966.82</v>
      </c>
      <c r="P137" s="99">
        <f t="shared" si="54"/>
        <v>92378320.219999999</v>
      </c>
      <c r="Q137" s="23"/>
      <c r="R137" s="32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  <c r="IW137" s="23"/>
      <c r="IX137" s="23"/>
      <c r="IY137" s="23"/>
      <c r="IZ137" s="23"/>
      <c r="JA137" s="23"/>
      <c r="JB137" s="23"/>
      <c r="JC137" s="23"/>
      <c r="JD137" s="23"/>
      <c r="JE137" s="23"/>
      <c r="JF137" s="23"/>
      <c r="JG137" s="23"/>
      <c r="JH137" s="23"/>
      <c r="JI137" s="23"/>
      <c r="JJ137" s="23"/>
      <c r="JK137" s="23"/>
      <c r="JL137" s="23"/>
      <c r="JM137" s="23"/>
      <c r="JN137" s="23"/>
      <c r="JO137" s="23"/>
      <c r="JP137" s="23"/>
      <c r="JQ137" s="23"/>
      <c r="JR137" s="23"/>
      <c r="JS137" s="23"/>
      <c r="JT137" s="23"/>
      <c r="JU137" s="23"/>
      <c r="JV137" s="23"/>
      <c r="JW137" s="23"/>
      <c r="JX137" s="23"/>
      <c r="JY137" s="23"/>
      <c r="JZ137" s="23"/>
      <c r="KA137" s="23"/>
      <c r="KB137" s="23"/>
      <c r="KC137" s="23"/>
      <c r="KD137" s="23"/>
      <c r="KE137" s="23"/>
      <c r="KF137" s="23"/>
      <c r="KG137" s="23"/>
      <c r="KH137" s="23"/>
      <c r="KI137" s="23"/>
      <c r="KJ137" s="23"/>
      <c r="KK137" s="23"/>
      <c r="KL137" s="23"/>
      <c r="KM137" s="23"/>
      <c r="KN137" s="23"/>
      <c r="KO137" s="23"/>
      <c r="KP137" s="23"/>
      <c r="KQ137" s="23"/>
      <c r="KR137" s="23"/>
      <c r="KS137" s="23"/>
      <c r="KT137" s="23"/>
      <c r="KU137" s="23"/>
      <c r="KV137" s="23"/>
      <c r="KW137" s="23"/>
      <c r="KX137" s="23"/>
      <c r="KY137" s="23"/>
      <c r="KZ137" s="23"/>
      <c r="LA137" s="23"/>
      <c r="LB137" s="23"/>
      <c r="LC137" s="23"/>
      <c r="LD137" s="23"/>
      <c r="LE137" s="23"/>
      <c r="LF137" s="23"/>
      <c r="LG137" s="23"/>
      <c r="LH137" s="23"/>
      <c r="LI137" s="23"/>
      <c r="LJ137" s="23"/>
      <c r="LK137" s="23"/>
      <c r="LL137" s="23"/>
      <c r="LM137" s="23"/>
      <c r="LN137" s="23"/>
      <c r="LO137" s="23"/>
      <c r="LP137" s="23"/>
      <c r="LQ137" s="23"/>
      <c r="LR137" s="23"/>
      <c r="LS137" s="23"/>
      <c r="LT137" s="23"/>
      <c r="LU137" s="23"/>
      <c r="LV137" s="23"/>
      <c r="LW137" s="23"/>
      <c r="LX137" s="23"/>
      <c r="LY137" s="23"/>
      <c r="LZ137" s="23"/>
      <c r="MA137" s="23"/>
      <c r="MB137" s="23"/>
      <c r="MC137" s="23"/>
      <c r="MD137" s="23"/>
      <c r="ME137" s="23"/>
      <c r="MF137" s="23"/>
      <c r="MG137" s="23"/>
      <c r="MH137" s="23"/>
      <c r="MI137" s="23"/>
      <c r="MJ137" s="23"/>
      <c r="MK137" s="23"/>
      <c r="ML137" s="23"/>
      <c r="MM137" s="23"/>
      <c r="MN137" s="23"/>
      <c r="MO137" s="23"/>
      <c r="MP137" s="23"/>
      <c r="MQ137" s="23"/>
      <c r="MR137" s="23"/>
      <c r="MS137" s="23"/>
      <c r="MT137" s="23"/>
      <c r="MU137" s="23"/>
      <c r="MV137" s="23"/>
      <c r="MW137" s="23"/>
      <c r="MX137" s="23"/>
      <c r="MY137" s="23"/>
      <c r="MZ137" s="23"/>
      <c r="NA137" s="23"/>
      <c r="NB137" s="23"/>
      <c r="NC137" s="23"/>
      <c r="ND137" s="23"/>
      <c r="NE137" s="23"/>
      <c r="NF137" s="23"/>
      <c r="NG137" s="23"/>
      <c r="NH137" s="23"/>
      <c r="NI137" s="23"/>
      <c r="NJ137" s="23"/>
      <c r="NK137" s="23"/>
      <c r="NL137" s="23"/>
      <c r="NM137" s="23"/>
      <c r="NN137" s="23"/>
      <c r="NO137" s="23"/>
      <c r="NP137" s="23"/>
      <c r="NQ137" s="23"/>
      <c r="NR137" s="23"/>
      <c r="NS137" s="23"/>
      <c r="NT137" s="23"/>
      <c r="NU137" s="23"/>
      <c r="NV137" s="23"/>
      <c r="NW137" s="23"/>
      <c r="NX137" s="23"/>
      <c r="NY137" s="23"/>
      <c r="NZ137" s="23"/>
      <c r="OA137" s="23"/>
      <c r="OB137" s="23"/>
      <c r="OC137" s="23"/>
      <c r="OD137" s="23"/>
      <c r="OE137" s="23"/>
      <c r="OF137" s="23"/>
      <c r="OG137" s="23"/>
      <c r="OH137" s="23"/>
      <c r="OI137" s="23"/>
      <c r="OJ137" s="23"/>
      <c r="OK137" s="23"/>
      <c r="OL137" s="23"/>
      <c r="OM137" s="23"/>
      <c r="ON137" s="23"/>
      <c r="OO137" s="23"/>
      <c r="OP137" s="23"/>
      <c r="OQ137" s="23"/>
      <c r="OR137" s="23"/>
      <c r="OS137" s="23"/>
      <c r="OT137" s="23"/>
      <c r="OU137" s="23"/>
      <c r="OV137" s="23"/>
      <c r="OW137" s="23"/>
      <c r="OX137" s="23"/>
      <c r="OY137" s="23"/>
      <c r="OZ137" s="23"/>
      <c r="PA137" s="23"/>
      <c r="PB137" s="23"/>
      <c r="PC137" s="23"/>
      <c r="PD137" s="23"/>
      <c r="PE137" s="23"/>
      <c r="PF137" s="23"/>
      <c r="PG137" s="23"/>
      <c r="PH137" s="23"/>
      <c r="PI137" s="23"/>
      <c r="PJ137" s="23"/>
      <c r="PK137" s="23"/>
      <c r="PL137" s="23"/>
      <c r="PM137" s="23"/>
      <c r="PN137" s="23"/>
      <c r="PO137" s="23"/>
      <c r="PP137" s="23"/>
      <c r="PQ137" s="23"/>
      <c r="PR137" s="23"/>
      <c r="PS137" s="23"/>
      <c r="PT137" s="23"/>
      <c r="PU137" s="23"/>
      <c r="PV137" s="23"/>
      <c r="PW137" s="23"/>
      <c r="PX137" s="23"/>
      <c r="PY137" s="23"/>
      <c r="PZ137" s="23"/>
      <c r="QA137" s="23"/>
      <c r="QB137" s="23"/>
      <c r="QC137" s="23"/>
      <c r="QD137" s="23"/>
      <c r="QE137" s="23"/>
      <c r="QF137" s="23"/>
      <c r="QG137" s="23"/>
      <c r="QH137" s="23"/>
      <c r="QI137" s="23"/>
      <c r="QJ137" s="23"/>
      <c r="QK137" s="23"/>
      <c r="QL137" s="23"/>
      <c r="QM137" s="23"/>
      <c r="QN137" s="23"/>
      <c r="QO137" s="23"/>
      <c r="QP137" s="23"/>
      <c r="QQ137" s="23"/>
      <c r="QR137" s="23"/>
      <c r="QS137" s="23"/>
      <c r="QT137" s="23"/>
      <c r="QU137" s="23"/>
      <c r="QV137" s="23"/>
      <c r="QW137" s="23"/>
      <c r="QX137" s="23"/>
      <c r="QY137" s="23"/>
      <c r="QZ137" s="23"/>
      <c r="RA137" s="23"/>
      <c r="RB137" s="23"/>
      <c r="RC137" s="23"/>
      <c r="RD137" s="23"/>
      <c r="RE137" s="23"/>
      <c r="RF137" s="23"/>
      <c r="RG137" s="23"/>
      <c r="RH137" s="23"/>
      <c r="RI137" s="23"/>
      <c r="RJ137" s="23"/>
      <c r="RK137" s="23"/>
      <c r="RL137" s="23"/>
      <c r="RM137" s="23"/>
      <c r="RN137" s="23"/>
      <c r="RO137" s="23"/>
      <c r="RP137" s="23"/>
      <c r="RQ137" s="23"/>
      <c r="RR137" s="23"/>
      <c r="RS137" s="23"/>
      <c r="RT137" s="23"/>
      <c r="RU137" s="23"/>
      <c r="RV137" s="23"/>
      <c r="RW137" s="23"/>
      <c r="RX137" s="23"/>
      <c r="RY137" s="23"/>
      <c r="RZ137" s="23"/>
      <c r="SA137" s="23"/>
      <c r="SB137" s="23"/>
      <c r="SC137" s="23"/>
      <c r="SD137" s="23"/>
      <c r="SE137" s="23"/>
      <c r="SF137" s="23"/>
      <c r="SG137" s="23"/>
      <c r="SH137" s="23"/>
      <c r="SI137" s="23"/>
      <c r="SJ137" s="23"/>
      <c r="SK137" s="23"/>
      <c r="SL137" s="23"/>
      <c r="SM137" s="23"/>
      <c r="SN137" s="23"/>
      <c r="SO137" s="23"/>
      <c r="SP137" s="23"/>
      <c r="SQ137" s="23"/>
      <c r="SR137" s="23"/>
      <c r="SS137" s="23"/>
      <c r="ST137" s="23"/>
      <c r="SU137" s="23"/>
      <c r="SV137" s="23"/>
      <c r="SW137" s="23"/>
      <c r="SX137" s="23"/>
      <c r="SY137" s="23"/>
      <c r="SZ137" s="23"/>
      <c r="TA137" s="23"/>
      <c r="TB137" s="23"/>
      <c r="TC137" s="23"/>
      <c r="TD137" s="23"/>
      <c r="TE137" s="23"/>
      <c r="TF137" s="23"/>
      <c r="TG137" s="23"/>
    </row>
    <row r="138" spans="1:527" s="24" customFormat="1" ht="30" hidden="1" customHeight="1" x14ac:dyDescent="0.25">
      <c r="A138" s="84"/>
      <c r="B138" s="111"/>
      <c r="C138" s="111"/>
      <c r="D138" s="87" t="s">
        <v>390</v>
      </c>
      <c r="E138" s="101">
        <f t="shared" si="53"/>
        <v>0</v>
      </c>
      <c r="F138" s="101"/>
      <c r="G138" s="101"/>
      <c r="H138" s="101"/>
      <c r="I138" s="114"/>
      <c r="J138" s="101">
        <f t="shared" si="55"/>
        <v>0</v>
      </c>
      <c r="K138" s="101"/>
      <c r="L138" s="101"/>
      <c r="M138" s="101"/>
      <c r="N138" s="101"/>
      <c r="O138" s="101"/>
      <c r="P138" s="101">
        <f t="shared" si="54"/>
        <v>0</v>
      </c>
      <c r="Q138" s="30"/>
      <c r="R138" s="32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  <c r="ID138" s="30"/>
      <c r="IE138" s="30"/>
      <c r="IF138" s="30"/>
      <c r="IG138" s="30"/>
      <c r="IH138" s="30"/>
      <c r="II138" s="30"/>
      <c r="IJ138" s="30"/>
      <c r="IK138" s="30"/>
      <c r="IL138" s="30"/>
      <c r="IM138" s="30"/>
      <c r="IN138" s="30"/>
      <c r="IO138" s="30"/>
      <c r="IP138" s="30"/>
      <c r="IQ138" s="30"/>
      <c r="IR138" s="30"/>
      <c r="IS138" s="30"/>
      <c r="IT138" s="30"/>
      <c r="IU138" s="30"/>
      <c r="IV138" s="30"/>
      <c r="IW138" s="30"/>
      <c r="IX138" s="30"/>
      <c r="IY138" s="30"/>
      <c r="IZ138" s="30"/>
      <c r="JA138" s="30"/>
      <c r="JB138" s="30"/>
      <c r="JC138" s="30"/>
      <c r="JD138" s="30"/>
      <c r="JE138" s="30"/>
      <c r="JF138" s="30"/>
      <c r="JG138" s="30"/>
      <c r="JH138" s="30"/>
      <c r="JI138" s="30"/>
      <c r="JJ138" s="30"/>
      <c r="JK138" s="30"/>
      <c r="JL138" s="30"/>
      <c r="JM138" s="30"/>
      <c r="JN138" s="30"/>
      <c r="JO138" s="30"/>
      <c r="JP138" s="30"/>
      <c r="JQ138" s="30"/>
      <c r="JR138" s="30"/>
      <c r="JS138" s="30"/>
      <c r="JT138" s="30"/>
      <c r="JU138" s="30"/>
      <c r="JV138" s="30"/>
      <c r="JW138" s="30"/>
      <c r="JX138" s="30"/>
      <c r="JY138" s="30"/>
      <c r="JZ138" s="30"/>
      <c r="KA138" s="30"/>
      <c r="KB138" s="30"/>
      <c r="KC138" s="30"/>
      <c r="KD138" s="30"/>
      <c r="KE138" s="30"/>
      <c r="KF138" s="30"/>
      <c r="KG138" s="30"/>
      <c r="KH138" s="30"/>
      <c r="KI138" s="30"/>
      <c r="KJ138" s="30"/>
      <c r="KK138" s="30"/>
      <c r="KL138" s="30"/>
      <c r="KM138" s="30"/>
      <c r="KN138" s="30"/>
      <c r="KO138" s="30"/>
      <c r="KP138" s="30"/>
      <c r="KQ138" s="30"/>
      <c r="KR138" s="30"/>
      <c r="KS138" s="30"/>
      <c r="KT138" s="30"/>
      <c r="KU138" s="30"/>
      <c r="KV138" s="30"/>
      <c r="KW138" s="30"/>
      <c r="KX138" s="30"/>
      <c r="KY138" s="30"/>
      <c r="KZ138" s="30"/>
      <c r="LA138" s="30"/>
      <c r="LB138" s="30"/>
      <c r="LC138" s="30"/>
      <c r="LD138" s="30"/>
      <c r="LE138" s="30"/>
      <c r="LF138" s="30"/>
      <c r="LG138" s="30"/>
      <c r="LH138" s="30"/>
      <c r="LI138" s="30"/>
      <c r="LJ138" s="30"/>
      <c r="LK138" s="30"/>
      <c r="LL138" s="30"/>
      <c r="LM138" s="30"/>
      <c r="LN138" s="30"/>
      <c r="LO138" s="30"/>
      <c r="LP138" s="30"/>
      <c r="LQ138" s="30"/>
      <c r="LR138" s="30"/>
      <c r="LS138" s="30"/>
      <c r="LT138" s="30"/>
      <c r="LU138" s="30"/>
      <c r="LV138" s="30"/>
      <c r="LW138" s="30"/>
      <c r="LX138" s="30"/>
      <c r="LY138" s="30"/>
      <c r="LZ138" s="30"/>
      <c r="MA138" s="30"/>
      <c r="MB138" s="30"/>
      <c r="MC138" s="30"/>
      <c r="MD138" s="30"/>
      <c r="ME138" s="30"/>
      <c r="MF138" s="30"/>
      <c r="MG138" s="30"/>
      <c r="MH138" s="30"/>
      <c r="MI138" s="30"/>
      <c r="MJ138" s="30"/>
      <c r="MK138" s="30"/>
      <c r="ML138" s="30"/>
      <c r="MM138" s="30"/>
      <c r="MN138" s="30"/>
      <c r="MO138" s="30"/>
      <c r="MP138" s="30"/>
      <c r="MQ138" s="30"/>
      <c r="MR138" s="30"/>
      <c r="MS138" s="30"/>
      <c r="MT138" s="30"/>
      <c r="MU138" s="30"/>
      <c r="MV138" s="30"/>
      <c r="MW138" s="30"/>
      <c r="MX138" s="30"/>
      <c r="MY138" s="30"/>
      <c r="MZ138" s="30"/>
      <c r="NA138" s="30"/>
      <c r="NB138" s="30"/>
      <c r="NC138" s="30"/>
      <c r="ND138" s="30"/>
      <c r="NE138" s="30"/>
      <c r="NF138" s="30"/>
      <c r="NG138" s="30"/>
      <c r="NH138" s="30"/>
      <c r="NI138" s="30"/>
      <c r="NJ138" s="30"/>
      <c r="NK138" s="30"/>
      <c r="NL138" s="30"/>
      <c r="NM138" s="30"/>
      <c r="NN138" s="30"/>
      <c r="NO138" s="30"/>
      <c r="NP138" s="30"/>
      <c r="NQ138" s="30"/>
      <c r="NR138" s="30"/>
      <c r="NS138" s="30"/>
      <c r="NT138" s="30"/>
      <c r="NU138" s="30"/>
      <c r="NV138" s="30"/>
      <c r="NW138" s="30"/>
      <c r="NX138" s="30"/>
      <c r="NY138" s="30"/>
      <c r="NZ138" s="30"/>
      <c r="OA138" s="30"/>
      <c r="OB138" s="30"/>
      <c r="OC138" s="30"/>
      <c r="OD138" s="30"/>
      <c r="OE138" s="30"/>
      <c r="OF138" s="30"/>
      <c r="OG138" s="30"/>
      <c r="OH138" s="30"/>
      <c r="OI138" s="30"/>
      <c r="OJ138" s="30"/>
      <c r="OK138" s="30"/>
      <c r="OL138" s="30"/>
      <c r="OM138" s="30"/>
      <c r="ON138" s="30"/>
      <c r="OO138" s="30"/>
      <c r="OP138" s="30"/>
      <c r="OQ138" s="30"/>
      <c r="OR138" s="30"/>
      <c r="OS138" s="30"/>
      <c r="OT138" s="30"/>
      <c r="OU138" s="30"/>
      <c r="OV138" s="30"/>
      <c r="OW138" s="30"/>
      <c r="OX138" s="30"/>
      <c r="OY138" s="30"/>
      <c r="OZ138" s="30"/>
      <c r="PA138" s="30"/>
      <c r="PB138" s="30"/>
      <c r="PC138" s="30"/>
      <c r="PD138" s="30"/>
      <c r="PE138" s="30"/>
      <c r="PF138" s="30"/>
      <c r="PG138" s="30"/>
      <c r="PH138" s="30"/>
      <c r="PI138" s="30"/>
      <c r="PJ138" s="30"/>
      <c r="PK138" s="30"/>
      <c r="PL138" s="30"/>
      <c r="PM138" s="30"/>
      <c r="PN138" s="30"/>
      <c r="PO138" s="30"/>
      <c r="PP138" s="30"/>
      <c r="PQ138" s="30"/>
      <c r="PR138" s="30"/>
      <c r="PS138" s="30"/>
      <c r="PT138" s="30"/>
      <c r="PU138" s="30"/>
      <c r="PV138" s="30"/>
      <c r="PW138" s="30"/>
      <c r="PX138" s="30"/>
      <c r="PY138" s="30"/>
      <c r="PZ138" s="30"/>
      <c r="QA138" s="30"/>
      <c r="QB138" s="30"/>
      <c r="QC138" s="30"/>
      <c r="QD138" s="30"/>
      <c r="QE138" s="30"/>
      <c r="QF138" s="30"/>
      <c r="QG138" s="30"/>
      <c r="QH138" s="30"/>
      <c r="QI138" s="30"/>
      <c r="QJ138" s="30"/>
      <c r="QK138" s="30"/>
      <c r="QL138" s="30"/>
      <c r="QM138" s="30"/>
      <c r="QN138" s="30"/>
      <c r="QO138" s="30"/>
      <c r="QP138" s="30"/>
      <c r="QQ138" s="30"/>
      <c r="QR138" s="30"/>
      <c r="QS138" s="30"/>
      <c r="QT138" s="30"/>
      <c r="QU138" s="30"/>
      <c r="QV138" s="30"/>
      <c r="QW138" s="30"/>
      <c r="QX138" s="30"/>
      <c r="QY138" s="30"/>
      <c r="QZ138" s="30"/>
      <c r="RA138" s="30"/>
      <c r="RB138" s="30"/>
      <c r="RC138" s="30"/>
      <c r="RD138" s="30"/>
      <c r="RE138" s="30"/>
      <c r="RF138" s="30"/>
      <c r="RG138" s="30"/>
      <c r="RH138" s="30"/>
      <c r="RI138" s="30"/>
      <c r="RJ138" s="30"/>
      <c r="RK138" s="30"/>
      <c r="RL138" s="30"/>
      <c r="RM138" s="30"/>
      <c r="RN138" s="30"/>
      <c r="RO138" s="30"/>
      <c r="RP138" s="30"/>
      <c r="RQ138" s="30"/>
      <c r="RR138" s="30"/>
      <c r="RS138" s="30"/>
      <c r="RT138" s="30"/>
      <c r="RU138" s="30"/>
      <c r="RV138" s="30"/>
      <c r="RW138" s="30"/>
      <c r="RX138" s="30"/>
      <c r="RY138" s="30"/>
      <c r="RZ138" s="30"/>
      <c r="SA138" s="30"/>
      <c r="SB138" s="30"/>
      <c r="SC138" s="30"/>
      <c r="SD138" s="30"/>
      <c r="SE138" s="30"/>
      <c r="SF138" s="30"/>
      <c r="SG138" s="30"/>
      <c r="SH138" s="30"/>
      <c r="SI138" s="30"/>
      <c r="SJ138" s="30"/>
      <c r="SK138" s="30"/>
      <c r="SL138" s="30"/>
      <c r="SM138" s="30"/>
      <c r="SN138" s="30"/>
      <c r="SO138" s="30"/>
      <c r="SP138" s="30"/>
      <c r="SQ138" s="30"/>
      <c r="SR138" s="30"/>
      <c r="SS138" s="30"/>
      <c r="ST138" s="30"/>
      <c r="SU138" s="30"/>
      <c r="SV138" s="30"/>
      <c r="SW138" s="30"/>
      <c r="SX138" s="30"/>
      <c r="SY138" s="30"/>
      <c r="SZ138" s="30"/>
      <c r="TA138" s="30"/>
      <c r="TB138" s="30"/>
      <c r="TC138" s="30"/>
      <c r="TD138" s="30"/>
      <c r="TE138" s="30"/>
      <c r="TF138" s="30"/>
      <c r="TG138" s="30"/>
    </row>
    <row r="139" spans="1:527" s="24" customFormat="1" ht="47.25" hidden="1" x14ac:dyDescent="0.25">
      <c r="A139" s="84"/>
      <c r="B139" s="111"/>
      <c r="C139" s="111"/>
      <c r="D139" s="87" t="s">
        <v>391</v>
      </c>
      <c r="E139" s="101">
        <f t="shared" si="53"/>
        <v>0</v>
      </c>
      <c r="F139" s="101"/>
      <c r="G139" s="101"/>
      <c r="H139" s="101"/>
      <c r="I139" s="101"/>
      <c r="J139" s="101">
        <f t="shared" si="55"/>
        <v>0</v>
      </c>
      <c r="K139" s="101"/>
      <c r="L139" s="101"/>
      <c r="M139" s="101"/>
      <c r="N139" s="101"/>
      <c r="O139" s="101"/>
      <c r="P139" s="101">
        <f t="shared" si="54"/>
        <v>0</v>
      </c>
      <c r="Q139" s="30"/>
      <c r="R139" s="32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  <c r="LU139" s="30"/>
      <c r="LV139" s="30"/>
      <c r="LW139" s="30"/>
      <c r="LX139" s="30"/>
      <c r="LY139" s="30"/>
      <c r="LZ139" s="30"/>
      <c r="MA139" s="30"/>
      <c r="MB139" s="30"/>
      <c r="MC139" s="30"/>
      <c r="MD139" s="30"/>
      <c r="ME139" s="30"/>
      <c r="MF139" s="30"/>
      <c r="MG139" s="30"/>
      <c r="MH139" s="30"/>
      <c r="MI139" s="30"/>
      <c r="MJ139" s="30"/>
      <c r="MK139" s="30"/>
      <c r="ML139" s="30"/>
      <c r="MM139" s="30"/>
      <c r="MN139" s="30"/>
      <c r="MO139" s="30"/>
      <c r="MP139" s="30"/>
      <c r="MQ139" s="30"/>
      <c r="MR139" s="30"/>
      <c r="MS139" s="30"/>
      <c r="MT139" s="30"/>
      <c r="MU139" s="30"/>
      <c r="MV139" s="30"/>
      <c r="MW139" s="30"/>
      <c r="MX139" s="30"/>
      <c r="MY139" s="30"/>
      <c r="MZ139" s="30"/>
      <c r="NA139" s="30"/>
      <c r="NB139" s="30"/>
      <c r="NC139" s="30"/>
      <c r="ND139" s="30"/>
      <c r="NE139" s="30"/>
      <c r="NF139" s="30"/>
      <c r="NG139" s="30"/>
      <c r="NH139" s="30"/>
      <c r="NI139" s="30"/>
      <c r="NJ139" s="30"/>
      <c r="NK139" s="30"/>
      <c r="NL139" s="30"/>
      <c r="NM139" s="30"/>
      <c r="NN139" s="30"/>
      <c r="NO139" s="30"/>
      <c r="NP139" s="30"/>
      <c r="NQ139" s="30"/>
      <c r="NR139" s="30"/>
      <c r="NS139" s="30"/>
      <c r="NT139" s="30"/>
      <c r="NU139" s="30"/>
      <c r="NV139" s="30"/>
      <c r="NW139" s="30"/>
      <c r="NX139" s="30"/>
      <c r="NY139" s="30"/>
      <c r="NZ139" s="30"/>
      <c r="OA139" s="30"/>
      <c r="OB139" s="30"/>
      <c r="OC139" s="30"/>
      <c r="OD139" s="30"/>
      <c r="OE139" s="30"/>
      <c r="OF139" s="30"/>
      <c r="OG139" s="30"/>
      <c r="OH139" s="30"/>
      <c r="OI139" s="30"/>
      <c r="OJ139" s="30"/>
      <c r="OK139" s="30"/>
      <c r="OL139" s="30"/>
      <c r="OM139" s="30"/>
      <c r="ON139" s="30"/>
      <c r="OO139" s="30"/>
      <c r="OP139" s="30"/>
      <c r="OQ139" s="30"/>
      <c r="OR139" s="30"/>
      <c r="OS139" s="30"/>
      <c r="OT139" s="30"/>
      <c r="OU139" s="30"/>
      <c r="OV139" s="30"/>
      <c r="OW139" s="30"/>
      <c r="OX139" s="30"/>
      <c r="OY139" s="30"/>
      <c r="OZ139" s="30"/>
      <c r="PA139" s="30"/>
      <c r="PB139" s="30"/>
      <c r="PC139" s="30"/>
      <c r="PD139" s="30"/>
      <c r="PE139" s="30"/>
      <c r="PF139" s="30"/>
      <c r="PG139" s="30"/>
      <c r="PH139" s="30"/>
      <c r="PI139" s="30"/>
      <c r="PJ139" s="30"/>
      <c r="PK139" s="30"/>
      <c r="PL139" s="30"/>
      <c r="PM139" s="30"/>
      <c r="PN139" s="30"/>
      <c r="PO139" s="30"/>
      <c r="PP139" s="30"/>
      <c r="PQ139" s="30"/>
      <c r="PR139" s="30"/>
      <c r="PS139" s="30"/>
      <c r="PT139" s="30"/>
      <c r="PU139" s="30"/>
      <c r="PV139" s="30"/>
      <c r="PW139" s="30"/>
      <c r="PX139" s="30"/>
      <c r="PY139" s="30"/>
      <c r="PZ139" s="30"/>
      <c r="QA139" s="30"/>
      <c r="QB139" s="30"/>
      <c r="QC139" s="30"/>
      <c r="QD139" s="30"/>
      <c r="QE139" s="30"/>
      <c r="QF139" s="30"/>
      <c r="QG139" s="30"/>
      <c r="QH139" s="30"/>
      <c r="QI139" s="30"/>
      <c r="QJ139" s="30"/>
      <c r="QK139" s="30"/>
      <c r="QL139" s="30"/>
      <c r="QM139" s="30"/>
      <c r="QN139" s="30"/>
      <c r="QO139" s="30"/>
      <c r="QP139" s="30"/>
      <c r="QQ139" s="30"/>
      <c r="QR139" s="30"/>
      <c r="QS139" s="30"/>
      <c r="QT139" s="30"/>
      <c r="QU139" s="30"/>
      <c r="QV139" s="30"/>
      <c r="QW139" s="30"/>
      <c r="QX139" s="30"/>
      <c r="QY139" s="30"/>
      <c r="QZ139" s="30"/>
      <c r="RA139" s="30"/>
      <c r="RB139" s="30"/>
      <c r="RC139" s="30"/>
      <c r="RD139" s="30"/>
      <c r="RE139" s="30"/>
      <c r="RF139" s="30"/>
      <c r="RG139" s="30"/>
      <c r="RH139" s="30"/>
      <c r="RI139" s="30"/>
      <c r="RJ139" s="30"/>
      <c r="RK139" s="30"/>
      <c r="RL139" s="30"/>
      <c r="RM139" s="30"/>
      <c r="RN139" s="30"/>
      <c r="RO139" s="30"/>
      <c r="RP139" s="30"/>
      <c r="RQ139" s="30"/>
      <c r="RR139" s="30"/>
      <c r="RS139" s="30"/>
      <c r="RT139" s="30"/>
      <c r="RU139" s="30"/>
      <c r="RV139" s="30"/>
      <c r="RW139" s="30"/>
      <c r="RX139" s="30"/>
      <c r="RY139" s="30"/>
      <c r="RZ139" s="30"/>
      <c r="SA139" s="30"/>
      <c r="SB139" s="30"/>
      <c r="SC139" s="30"/>
      <c r="SD139" s="30"/>
      <c r="SE139" s="30"/>
      <c r="SF139" s="30"/>
      <c r="SG139" s="30"/>
      <c r="SH139" s="30"/>
      <c r="SI139" s="30"/>
      <c r="SJ139" s="30"/>
      <c r="SK139" s="30"/>
      <c r="SL139" s="30"/>
      <c r="SM139" s="30"/>
      <c r="SN139" s="30"/>
      <c r="SO139" s="30"/>
      <c r="SP139" s="30"/>
      <c r="SQ139" s="30"/>
      <c r="SR139" s="30"/>
      <c r="SS139" s="30"/>
      <c r="ST139" s="30"/>
      <c r="SU139" s="30"/>
      <c r="SV139" s="30"/>
      <c r="SW139" s="30"/>
      <c r="SX139" s="30"/>
      <c r="SY139" s="30"/>
      <c r="SZ139" s="30"/>
      <c r="TA139" s="30"/>
      <c r="TB139" s="30"/>
      <c r="TC139" s="30"/>
      <c r="TD139" s="30"/>
      <c r="TE139" s="30"/>
      <c r="TF139" s="30"/>
      <c r="TG139" s="30"/>
    </row>
    <row r="140" spans="1:527" s="24" customFormat="1" ht="15.75" x14ac:dyDescent="0.25">
      <c r="A140" s="84"/>
      <c r="B140" s="111"/>
      <c r="C140" s="111"/>
      <c r="D140" s="87" t="s">
        <v>393</v>
      </c>
      <c r="E140" s="101">
        <f t="shared" si="53"/>
        <v>93426</v>
      </c>
      <c r="F140" s="101">
        <v>93426</v>
      </c>
      <c r="G140" s="101"/>
      <c r="H140" s="101"/>
      <c r="I140" s="114"/>
      <c r="J140" s="101">
        <f t="shared" si="55"/>
        <v>5750000</v>
      </c>
      <c r="K140" s="101">
        <v>5750000</v>
      </c>
      <c r="L140" s="101"/>
      <c r="M140" s="101"/>
      <c r="N140" s="101"/>
      <c r="O140" s="101">
        <v>5750000</v>
      </c>
      <c r="P140" s="101">
        <f t="shared" si="54"/>
        <v>5843426</v>
      </c>
      <c r="Q140" s="30"/>
      <c r="R140" s="32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0"/>
      <c r="NR140" s="30"/>
      <c r="NS140" s="30"/>
      <c r="NT140" s="30"/>
      <c r="NU140" s="30"/>
      <c r="NV140" s="30"/>
      <c r="NW140" s="30"/>
      <c r="NX140" s="30"/>
      <c r="NY140" s="30"/>
      <c r="NZ140" s="30"/>
      <c r="OA140" s="30"/>
      <c r="OB140" s="30"/>
      <c r="OC140" s="30"/>
      <c r="OD140" s="30"/>
      <c r="OE140" s="30"/>
      <c r="OF140" s="30"/>
      <c r="OG140" s="30"/>
      <c r="OH140" s="30"/>
      <c r="OI140" s="30"/>
      <c r="OJ140" s="30"/>
      <c r="OK140" s="30"/>
      <c r="OL140" s="30"/>
      <c r="OM140" s="30"/>
      <c r="ON140" s="30"/>
      <c r="OO140" s="30"/>
      <c r="OP140" s="30"/>
      <c r="OQ140" s="30"/>
      <c r="OR140" s="30"/>
      <c r="OS140" s="30"/>
      <c r="OT140" s="30"/>
      <c r="OU140" s="30"/>
      <c r="OV140" s="30"/>
      <c r="OW140" s="30"/>
      <c r="OX140" s="30"/>
      <c r="OY140" s="30"/>
      <c r="OZ140" s="30"/>
      <c r="PA140" s="30"/>
      <c r="PB140" s="30"/>
      <c r="PC140" s="30"/>
      <c r="PD140" s="30"/>
      <c r="PE140" s="30"/>
      <c r="PF140" s="30"/>
      <c r="PG140" s="30"/>
      <c r="PH140" s="30"/>
      <c r="PI140" s="30"/>
      <c r="PJ140" s="30"/>
      <c r="PK140" s="30"/>
      <c r="PL140" s="30"/>
      <c r="PM140" s="30"/>
      <c r="PN140" s="30"/>
      <c r="PO140" s="30"/>
      <c r="PP140" s="30"/>
      <c r="PQ140" s="30"/>
      <c r="PR140" s="30"/>
      <c r="PS140" s="30"/>
      <c r="PT140" s="30"/>
      <c r="PU140" s="30"/>
      <c r="PV140" s="30"/>
      <c r="PW140" s="30"/>
      <c r="PX140" s="30"/>
      <c r="PY140" s="30"/>
      <c r="PZ140" s="30"/>
      <c r="QA140" s="30"/>
      <c r="QB140" s="30"/>
      <c r="QC140" s="30"/>
      <c r="QD140" s="30"/>
      <c r="QE140" s="30"/>
      <c r="QF140" s="30"/>
      <c r="QG140" s="30"/>
      <c r="QH140" s="30"/>
      <c r="QI140" s="30"/>
      <c r="QJ140" s="30"/>
      <c r="QK140" s="30"/>
      <c r="QL140" s="30"/>
      <c r="QM140" s="30"/>
      <c r="QN140" s="30"/>
      <c r="QO140" s="30"/>
      <c r="QP140" s="30"/>
      <c r="QQ140" s="30"/>
      <c r="QR140" s="30"/>
      <c r="QS140" s="30"/>
      <c r="QT140" s="30"/>
      <c r="QU140" s="30"/>
      <c r="QV140" s="30"/>
      <c r="QW140" s="30"/>
      <c r="QX140" s="30"/>
      <c r="QY140" s="30"/>
      <c r="QZ140" s="30"/>
      <c r="RA140" s="30"/>
      <c r="RB140" s="30"/>
      <c r="RC140" s="30"/>
      <c r="RD140" s="30"/>
      <c r="RE140" s="30"/>
      <c r="RF140" s="30"/>
      <c r="RG140" s="30"/>
      <c r="RH140" s="30"/>
      <c r="RI140" s="30"/>
      <c r="RJ140" s="30"/>
      <c r="RK140" s="30"/>
      <c r="RL140" s="30"/>
      <c r="RM140" s="30"/>
      <c r="RN140" s="30"/>
      <c r="RO140" s="30"/>
      <c r="RP140" s="30"/>
      <c r="RQ140" s="30"/>
      <c r="RR140" s="30"/>
      <c r="RS140" s="30"/>
      <c r="RT140" s="30"/>
      <c r="RU140" s="30"/>
      <c r="RV140" s="30"/>
      <c r="RW140" s="30"/>
      <c r="RX140" s="30"/>
      <c r="RY140" s="30"/>
      <c r="RZ140" s="30"/>
      <c r="SA140" s="30"/>
      <c r="SB140" s="30"/>
      <c r="SC140" s="30"/>
      <c r="SD140" s="30"/>
      <c r="SE140" s="30"/>
      <c r="SF140" s="30"/>
      <c r="SG140" s="30"/>
      <c r="SH140" s="30"/>
      <c r="SI140" s="30"/>
      <c r="SJ140" s="30"/>
      <c r="SK140" s="30"/>
      <c r="SL140" s="30"/>
      <c r="SM140" s="30"/>
      <c r="SN140" s="30"/>
      <c r="SO140" s="30"/>
      <c r="SP140" s="30"/>
      <c r="SQ140" s="30"/>
      <c r="SR140" s="30"/>
      <c r="SS140" s="30"/>
      <c r="ST140" s="30"/>
      <c r="SU140" s="30"/>
      <c r="SV140" s="30"/>
      <c r="SW140" s="30"/>
      <c r="SX140" s="30"/>
      <c r="SY140" s="30"/>
      <c r="SZ140" s="30"/>
      <c r="TA140" s="30"/>
      <c r="TB140" s="30"/>
      <c r="TC140" s="30"/>
      <c r="TD140" s="30"/>
      <c r="TE140" s="30"/>
      <c r="TF140" s="30"/>
      <c r="TG140" s="30"/>
    </row>
    <row r="141" spans="1:527" s="22" customFormat="1" ht="31.5" x14ac:dyDescent="0.25">
      <c r="A141" s="59" t="s">
        <v>447</v>
      </c>
      <c r="B141" s="93">
        <v>2020</v>
      </c>
      <c r="C141" s="59" t="s">
        <v>448</v>
      </c>
      <c r="D141" s="60" t="str">
        <f>'дод 8'!C88</f>
        <v xml:space="preserve"> Спеціалізована стаціонарна медична допомога населенню</v>
      </c>
      <c r="E141" s="99">
        <f t="shared" si="53"/>
        <v>90000</v>
      </c>
      <c r="F141" s="99">
        <v>90000</v>
      </c>
      <c r="G141" s="113"/>
      <c r="H141" s="113"/>
      <c r="I141" s="113"/>
      <c r="J141" s="99">
        <f t="shared" si="55"/>
        <v>0</v>
      </c>
      <c r="K141" s="99"/>
      <c r="L141" s="99"/>
      <c r="M141" s="99"/>
      <c r="N141" s="99"/>
      <c r="O141" s="99"/>
      <c r="P141" s="99">
        <f t="shared" si="54"/>
        <v>90000</v>
      </c>
      <c r="Q141" s="23"/>
      <c r="R141" s="32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  <c r="IW141" s="23"/>
      <c r="IX141" s="23"/>
      <c r="IY141" s="23"/>
      <c r="IZ141" s="23"/>
      <c r="JA141" s="23"/>
      <c r="JB141" s="23"/>
      <c r="JC141" s="23"/>
      <c r="JD141" s="23"/>
      <c r="JE141" s="23"/>
      <c r="JF141" s="23"/>
      <c r="JG141" s="23"/>
      <c r="JH141" s="23"/>
      <c r="JI141" s="23"/>
      <c r="JJ141" s="23"/>
      <c r="JK141" s="23"/>
      <c r="JL141" s="23"/>
      <c r="JM141" s="23"/>
      <c r="JN141" s="23"/>
      <c r="JO141" s="23"/>
      <c r="JP141" s="23"/>
      <c r="JQ141" s="23"/>
      <c r="JR141" s="23"/>
      <c r="JS141" s="23"/>
      <c r="JT141" s="23"/>
      <c r="JU141" s="23"/>
      <c r="JV141" s="23"/>
      <c r="JW141" s="23"/>
      <c r="JX141" s="23"/>
      <c r="JY141" s="23"/>
      <c r="JZ141" s="23"/>
      <c r="KA141" s="23"/>
      <c r="KB141" s="23"/>
      <c r="KC141" s="23"/>
      <c r="KD141" s="23"/>
      <c r="KE141" s="23"/>
      <c r="KF141" s="23"/>
      <c r="KG141" s="23"/>
      <c r="KH141" s="23"/>
      <c r="KI141" s="23"/>
      <c r="KJ141" s="23"/>
      <c r="KK141" s="23"/>
      <c r="KL141" s="23"/>
      <c r="KM141" s="23"/>
      <c r="KN141" s="23"/>
      <c r="KO141" s="23"/>
      <c r="KP141" s="23"/>
      <c r="KQ141" s="23"/>
      <c r="KR141" s="23"/>
      <c r="KS141" s="23"/>
      <c r="KT141" s="23"/>
      <c r="KU141" s="23"/>
      <c r="KV141" s="23"/>
      <c r="KW141" s="23"/>
      <c r="KX141" s="23"/>
      <c r="KY141" s="23"/>
      <c r="KZ141" s="23"/>
      <c r="LA141" s="23"/>
      <c r="LB141" s="23"/>
      <c r="LC141" s="23"/>
      <c r="LD141" s="23"/>
      <c r="LE141" s="23"/>
      <c r="LF141" s="23"/>
      <c r="LG141" s="23"/>
      <c r="LH141" s="23"/>
      <c r="LI141" s="23"/>
      <c r="LJ141" s="23"/>
      <c r="LK141" s="23"/>
      <c r="LL141" s="23"/>
      <c r="LM141" s="23"/>
      <c r="LN141" s="23"/>
      <c r="LO141" s="23"/>
      <c r="LP141" s="23"/>
      <c r="LQ141" s="23"/>
      <c r="LR141" s="23"/>
      <c r="LS141" s="23"/>
      <c r="LT141" s="23"/>
      <c r="LU141" s="23"/>
      <c r="LV141" s="23"/>
      <c r="LW141" s="23"/>
      <c r="LX141" s="23"/>
      <c r="LY141" s="23"/>
      <c r="LZ141" s="23"/>
      <c r="MA141" s="23"/>
      <c r="MB141" s="23"/>
      <c r="MC141" s="23"/>
      <c r="MD141" s="23"/>
      <c r="ME141" s="23"/>
      <c r="MF141" s="23"/>
      <c r="MG141" s="23"/>
      <c r="MH141" s="23"/>
      <c r="MI141" s="23"/>
      <c r="MJ141" s="23"/>
      <c r="MK141" s="23"/>
      <c r="ML141" s="23"/>
      <c r="MM141" s="23"/>
      <c r="MN141" s="23"/>
      <c r="MO141" s="23"/>
      <c r="MP141" s="23"/>
      <c r="MQ141" s="23"/>
      <c r="MR141" s="23"/>
      <c r="MS141" s="23"/>
      <c r="MT141" s="23"/>
      <c r="MU141" s="23"/>
      <c r="MV141" s="23"/>
      <c r="MW141" s="23"/>
      <c r="MX141" s="23"/>
      <c r="MY141" s="23"/>
      <c r="MZ141" s="23"/>
      <c r="NA141" s="23"/>
      <c r="NB141" s="23"/>
      <c r="NC141" s="23"/>
      <c r="ND141" s="23"/>
      <c r="NE141" s="23"/>
      <c r="NF141" s="23"/>
      <c r="NG141" s="23"/>
      <c r="NH141" s="23"/>
      <c r="NI141" s="23"/>
      <c r="NJ141" s="23"/>
      <c r="NK141" s="23"/>
      <c r="NL141" s="23"/>
      <c r="NM141" s="23"/>
      <c r="NN141" s="23"/>
      <c r="NO141" s="23"/>
      <c r="NP141" s="23"/>
      <c r="NQ141" s="23"/>
      <c r="NR141" s="23"/>
      <c r="NS141" s="23"/>
      <c r="NT141" s="23"/>
      <c r="NU141" s="23"/>
      <c r="NV141" s="23"/>
      <c r="NW141" s="23"/>
      <c r="NX141" s="23"/>
      <c r="NY141" s="23"/>
      <c r="NZ141" s="23"/>
      <c r="OA141" s="23"/>
      <c r="OB141" s="23"/>
      <c r="OC141" s="23"/>
      <c r="OD141" s="23"/>
      <c r="OE141" s="23"/>
      <c r="OF141" s="23"/>
      <c r="OG141" s="23"/>
      <c r="OH141" s="23"/>
      <c r="OI141" s="23"/>
      <c r="OJ141" s="23"/>
      <c r="OK141" s="23"/>
      <c r="OL141" s="23"/>
      <c r="OM141" s="23"/>
      <c r="ON141" s="23"/>
      <c r="OO141" s="23"/>
      <c r="OP141" s="23"/>
      <c r="OQ141" s="23"/>
      <c r="OR141" s="23"/>
      <c r="OS141" s="23"/>
      <c r="OT141" s="23"/>
      <c r="OU141" s="23"/>
      <c r="OV141" s="23"/>
      <c r="OW141" s="23"/>
      <c r="OX141" s="23"/>
      <c r="OY141" s="23"/>
      <c r="OZ141" s="23"/>
      <c r="PA141" s="23"/>
      <c r="PB141" s="23"/>
      <c r="PC141" s="23"/>
      <c r="PD141" s="23"/>
      <c r="PE141" s="23"/>
      <c r="PF141" s="23"/>
      <c r="PG141" s="23"/>
      <c r="PH141" s="23"/>
      <c r="PI141" s="23"/>
      <c r="PJ141" s="23"/>
      <c r="PK141" s="23"/>
      <c r="PL141" s="23"/>
      <c r="PM141" s="23"/>
      <c r="PN141" s="23"/>
      <c r="PO141" s="23"/>
      <c r="PP141" s="23"/>
      <c r="PQ141" s="23"/>
      <c r="PR141" s="23"/>
      <c r="PS141" s="23"/>
      <c r="PT141" s="23"/>
      <c r="PU141" s="23"/>
      <c r="PV141" s="23"/>
      <c r="PW141" s="23"/>
      <c r="PX141" s="23"/>
      <c r="PY141" s="23"/>
      <c r="PZ141" s="23"/>
      <c r="QA141" s="23"/>
      <c r="QB141" s="23"/>
      <c r="QC141" s="23"/>
      <c r="QD141" s="23"/>
      <c r="QE141" s="23"/>
      <c r="QF141" s="23"/>
      <c r="QG141" s="23"/>
      <c r="QH141" s="23"/>
      <c r="QI141" s="23"/>
      <c r="QJ141" s="23"/>
      <c r="QK141" s="23"/>
      <c r="QL141" s="23"/>
      <c r="QM141" s="23"/>
      <c r="QN141" s="23"/>
      <c r="QO141" s="23"/>
      <c r="QP141" s="23"/>
      <c r="QQ141" s="23"/>
      <c r="QR141" s="23"/>
      <c r="QS141" s="23"/>
      <c r="QT141" s="23"/>
      <c r="QU141" s="23"/>
      <c r="QV141" s="23"/>
      <c r="QW141" s="23"/>
      <c r="QX141" s="23"/>
      <c r="QY141" s="23"/>
      <c r="QZ141" s="23"/>
      <c r="RA141" s="23"/>
      <c r="RB141" s="23"/>
      <c r="RC141" s="23"/>
      <c r="RD141" s="23"/>
      <c r="RE141" s="23"/>
      <c r="RF141" s="23"/>
      <c r="RG141" s="23"/>
      <c r="RH141" s="23"/>
      <c r="RI141" s="23"/>
      <c r="RJ141" s="23"/>
      <c r="RK141" s="23"/>
      <c r="RL141" s="23"/>
      <c r="RM141" s="23"/>
      <c r="RN141" s="23"/>
      <c r="RO141" s="23"/>
      <c r="RP141" s="23"/>
      <c r="RQ141" s="23"/>
      <c r="RR141" s="23"/>
      <c r="RS141" s="23"/>
      <c r="RT141" s="23"/>
      <c r="RU141" s="23"/>
      <c r="RV141" s="23"/>
      <c r="RW141" s="23"/>
      <c r="RX141" s="23"/>
      <c r="RY141" s="23"/>
      <c r="RZ141" s="23"/>
      <c r="SA141" s="23"/>
      <c r="SB141" s="23"/>
      <c r="SC141" s="23"/>
      <c r="SD141" s="23"/>
      <c r="SE141" s="23"/>
      <c r="SF141" s="23"/>
      <c r="SG141" s="23"/>
      <c r="SH141" s="23"/>
      <c r="SI141" s="23"/>
      <c r="SJ141" s="23"/>
      <c r="SK141" s="23"/>
      <c r="SL141" s="23"/>
      <c r="SM141" s="23"/>
      <c r="SN141" s="23"/>
      <c r="SO141" s="23"/>
      <c r="SP141" s="23"/>
      <c r="SQ141" s="23"/>
      <c r="SR141" s="23"/>
      <c r="SS141" s="23"/>
      <c r="ST141" s="23"/>
      <c r="SU141" s="23"/>
      <c r="SV141" s="23"/>
      <c r="SW141" s="23"/>
      <c r="SX141" s="23"/>
      <c r="SY141" s="23"/>
      <c r="SZ141" s="23"/>
      <c r="TA141" s="23"/>
      <c r="TB141" s="23"/>
      <c r="TC141" s="23"/>
      <c r="TD141" s="23"/>
      <c r="TE141" s="23"/>
      <c r="TF141" s="23"/>
      <c r="TG141" s="23"/>
    </row>
    <row r="142" spans="1:527" s="22" customFormat="1" ht="36.75" customHeight="1" x14ac:dyDescent="0.25">
      <c r="A142" s="59" t="s">
        <v>177</v>
      </c>
      <c r="B142" s="93" t="str">
        <f>'дод 8'!A89</f>
        <v>2030</v>
      </c>
      <c r="C142" s="93" t="str">
        <f>'дод 8'!B89</f>
        <v>0733</v>
      </c>
      <c r="D142" s="60" t="s">
        <v>464</v>
      </c>
      <c r="E142" s="99">
        <f t="shared" si="53"/>
        <v>4498159</v>
      </c>
      <c r="F142" s="99">
        <v>4498159</v>
      </c>
      <c r="G142" s="115"/>
      <c r="H142" s="115"/>
      <c r="I142" s="113"/>
      <c r="J142" s="99">
        <f t="shared" si="55"/>
        <v>5100000</v>
      </c>
      <c r="K142" s="99">
        <v>5100000</v>
      </c>
      <c r="L142" s="99"/>
      <c r="M142" s="99"/>
      <c r="N142" s="99"/>
      <c r="O142" s="99">
        <v>5100000</v>
      </c>
      <c r="P142" s="99">
        <f t="shared" si="54"/>
        <v>9598159</v>
      </c>
      <c r="Q142" s="23"/>
      <c r="R142" s="32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  <c r="IT142" s="23"/>
      <c r="IU142" s="23"/>
      <c r="IV142" s="23"/>
      <c r="IW142" s="23"/>
      <c r="IX142" s="23"/>
      <c r="IY142" s="23"/>
      <c r="IZ142" s="23"/>
      <c r="JA142" s="23"/>
      <c r="JB142" s="23"/>
      <c r="JC142" s="23"/>
      <c r="JD142" s="23"/>
      <c r="JE142" s="23"/>
      <c r="JF142" s="23"/>
      <c r="JG142" s="23"/>
      <c r="JH142" s="23"/>
      <c r="JI142" s="23"/>
      <c r="JJ142" s="23"/>
      <c r="JK142" s="23"/>
      <c r="JL142" s="23"/>
      <c r="JM142" s="23"/>
      <c r="JN142" s="23"/>
      <c r="JO142" s="23"/>
      <c r="JP142" s="23"/>
      <c r="JQ142" s="23"/>
      <c r="JR142" s="23"/>
      <c r="JS142" s="23"/>
      <c r="JT142" s="23"/>
      <c r="JU142" s="23"/>
      <c r="JV142" s="23"/>
      <c r="JW142" s="23"/>
      <c r="JX142" s="23"/>
      <c r="JY142" s="23"/>
      <c r="JZ142" s="23"/>
      <c r="KA142" s="23"/>
      <c r="KB142" s="23"/>
      <c r="KC142" s="23"/>
      <c r="KD142" s="23"/>
      <c r="KE142" s="23"/>
      <c r="KF142" s="23"/>
      <c r="KG142" s="23"/>
      <c r="KH142" s="23"/>
      <c r="KI142" s="23"/>
      <c r="KJ142" s="23"/>
      <c r="KK142" s="23"/>
      <c r="KL142" s="23"/>
      <c r="KM142" s="23"/>
      <c r="KN142" s="23"/>
      <c r="KO142" s="23"/>
      <c r="KP142" s="23"/>
      <c r="KQ142" s="23"/>
      <c r="KR142" s="23"/>
      <c r="KS142" s="23"/>
      <c r="KT142" s="23"/>
      <c r="KU142" s="23"/>
      <c r="KV142" s="23"/>
      <c r="KW142" s="23"/>
      <c r="KX142" s="23"/>
      <c r="KY142" s="23"/>
      <c r="KZ142" s="23"/>
      <c r="LA142" s="23"/>
      <c r="LB142" s="23"/>
      <c r="LC142" s="23"/>
      <c r="LD142" s="23"/>
      <c r="LE142" s="23"/>
      <c r="LF142" s="23"/>
      <c r="LG142" s="23"/>
      <c r="LH142" s="23"/>
      <c r="LI142" s="23"/>
      <c r="LJ142" s="23"/>
      <c r="LK142" s="23"/>
      <c r="LL142" s="23"/>
      <c r="LM142" s="23"/>
      <c r="LN142" s="23"/>
      <c r="LO142" s="23"/>
      <c r="LP142" s="23"/>
      <c r="LQ142" s="23"/>
      <c r="LR142" s="23"/>
      <c r="LS142" s="23"/>
      <c r="LT142" s="23"/>
      <c r="LU142" s="23"/>
      <c r="LV142" s="23"/>
      <c r="LW142" s="23"/>
      <c r="LX142" s="23"/>
      <c r="LY142" s="23"/>
      <c r="LZ142" s="23"/>
      <c r="MA142" s="23"/>
      <c r="MB142" s="23"/>
      <c r="MC142" s="23"/>
      <c r="MD142" s="23"/>
      <c r="ME142" s="23"/>
      <c r="MF142" s="23"/>
      <c r="MG142" s="23"/>
      <c r="MH142" s="23"/>
      <c r="MI142" s="23"/>
      <c r="MJ142" s="23"/>
      <c r="MK142" s="23"/>
      <c r="ML142" s="23"/>
      <c r="MM142" s="23"/>
      <c r="MN142" s="23"/>
      <c r="MO142" s="23"/>
      <c r="MP142" s="23"/>
      <c r="MQ142" s="23"/>
      <c r="MR142" s="23"/>
      <c r="MS142" s="23"/>
      <c r="MT142" s="23"/>
      <c r="MU142" s="23"/>
      <c r="MV142" s="23"/>
      <c r="MW142" s="23"/>
      <c r="MX142" s="23"/>
      <c r="MY142" s="23"/>
      <c r="MZ142" s="23"/>
      <c r="NA142" s="23"/>
      <c r="NB142" s="23"/>
      <c r="NC142" s="23"/>
      <c r="ND142" s="23"/>
      <c r="NE142" s="23"/>
      <c r="NF142" s="23"/>
      <c r="NG142" s="23"/>
      <c r="NH142" s="23"/>
      <c r="NI142" s="23"/>
      <c r="NJ142" s="23"/>
      <c r="NK142" s="23"/>
      <c r="NL142" s="23"/>
      <c r="NM142" s="23"/>
      <c r="NN142" s="23"/>
      <c r="NO142" s="23"/>
      <c r="NP142" s="23"/>
      <c r="NQ142" s="23"/>
      <c r="NR142" s="23"/>
      <c r="NS142" s="23"/>
      <c r="NT142" s="23"/>
      <c r="NU142" s="23"/>
      <c r="NV142" s="23"/>
      <c r="NW142" s="23"/>
      <c r="NX142" s="23"/>
      <c r="NY142" s="23"/>
      <c r="NZ142" s="23"/>
      <c r="OA142" s="23"/>
      <c r="OB142" s="23"/>
      <c r="OC142" s="23"/>
      <c r="OD142" s="23"/>
      <c r="OE142" s="23"/>
      <c r="OF142" s="23"/>
      <c r="OG142" s="23"/>
      <c r="OH142" s="23"/>
      <c r="OI142" s="23"/>
      <c r="OJ142" s="23"/>
      <c r="OK142" s="23"/>
      <c r="OL142" s="23"/>
      <c r="OM142" s="23"/>
      <c r="ON142" s="23"/>
      <c r="OO142" s="23"/>
      <c r="OP142" s="23"/>
      <c r="OQ142" s="23"/>
      <c r="OR142" s="23"/>
      <c r="OS142" s="23"/>
      <c r="OT142" s="23"/>
      <c r="OU142" s="23"/>
      <c r="OV142" s="23"/>
      <c r="OW142" s="23"/>
      <c r="OX142" s="23"/>
      <c r="OY142" s="23"/>
      <c r="OZ142" s="23"/>
      <c r="PA142" s="23"/>
      <c r="PB142" s="23"/>
      <c r="PC142" s="23"/>
      <c r="PD142" s="23"/>
      <c r="PE142" s="23"/>
      <c r="PF142" s="23"/>
      <c r="PG142" s="23"/>
      <c r="PH142" s="23"/>
      <c r="PI142" s="23"/>
      <c r="PJ142" s="23"/>
      <c r="PK142" s="23"/>
      <c r="PL142" s="23"/>
      <c r="PM142" s="23"/>
      <c r="PN142" s="23"/>
      <c r="PO142" s="23"/>
      <c r="PP142" s="23"/>
      <c r="PQ142" s="23"/>
      <c r="PR142" s="23"/>
      <c r="PS142" s="23"/>
      <c r="PT142" s="23"/>
      <c r="PU142" s="23"/>
      <c r="PV142" s="23"/>
      <c r="PW142" s="23"/>
      <c r="PX142" s="23"/>
      <c r="PY142" s="23"/>
      <c r="PZ142" s="23"/>
      <c r="QA142" s="23"/>
      <c r="QB142" s="23"/>
      <c r="QC142" s="23"/>
      <c r="QD142" s="23"/>
      <c r="QE142" s="23"/>
      <c r="QF142" s="23"/>
      <c r="QG142" s="23"/>
      <c r="QH142" s="23"/>
      <c r="QI142" s="23"/>
      <c r="QJ142" s="23"/>
      <c r="QK142" s="23"/>
      <c r="QL142" s="23"/>
      <c r="QM142" s="23"/>
      <c r="QN142" s="23"/>
      <c r="QO142" s="23"/>
      <c r="QP142" s="23"/>
      <c r="QQ142" s="23"/>
      <c r="QR142" s="23"/>
      <c r="QS142" s="23"/>
      <c r="QT142" s="23"/>
      <c r="QU142" s="23"/>
      <c r="QV142" s="23"/>
      <c r="QW142" s="23"/>
      <c r="QX142" s="23"/>
      <c r="QY142" s="23"/>
      <c r="QZ142" s="23"/>
      <c r="RA142" s="23"/>
      <c r="RB142" s="23"/>
      <c r="RC142" s="23"/>
      <c r="RD142" s="23"/>
      <c r="RE142" s="23"/>
      <c r="RF142" s="23"/>
      <c r="RG142" s="23"/>
      <c r="RH142" s="23"/>
      <c r="RI142" s="23"/>
      <c r="RJ142" s="23"/>
      <c r="RK142" s="23"/>
      <c r="RL142" s="23"/>
      <c r="RM142" s="23"/>
      <c r="RN142" s="23"/>
      <c r="RO142" s="23"/>
      <c r="RP142" s="23"/>
      <c r="RQ142" s="23"/>
      <c r="RR142" s="23"/>
      <c r="RS142" s="23"/>
      <c r="RT142" s="23"/>
      <c r="RU142" s="23"/>
      <c r="RV142" s="23"/>
      <c r="RW142" s="23"/>
      <c r="RX142" s="23"/>
      <c r="RY142" s="23"/>
      <c r="RZ142" s="23"/>
      <c r="SA142" s="23"/>
      <c r="SB142" s="23"/>
      <c r="SC142" s="23"/>
      <c r="SD142" s="23"/>
      <c r="SE142" s="23"/>
      <c r="SF142" s="23"/>
      <c r="SG142" s="23"/>
      <c r="SH142" s="23"/>
      <c r="SI142" s="23"/>
      <c r="SJ142" s="23"/>
      <c r="SK142" s="23"/>
      <c r="SL142" s="23"/>
      <c r="SM142" s="23"/>
      <c r="SN142" s="23"/>
      <c r="SO142" s="23"/>
      <c r="SP142" s="23"/>
      <c r="SQ142" s="23"/>
      <c r="SR142" s="23"/>
      <c r="SS142" s="23"/>
      <c r="ST142" s="23"/>
      <c r="SU142" s="23"/>
      <c r="SV142" s="23"/>
      <c r="SW142" s="23"/>
      <c r="SX142" s="23"/>
      <c r="SY142" s="23"/>
      <c r="SZ142" s="23"/>
      <c r="TA142" s="23"/>
      <c r="TB142" s="23"/>
      <c r="TC142" s="23"/>
      <c r="TD142" s="23"/>
      <c r="TE142" s="23"/>
      <c r="TF142" s="23"/>
      <c r="TG142" s="23"/>
    </row>
    <row r="143" spans="1:527" s="24" customFormat="1" ht="30" hidden="1" customHeight="1" x14ac:dyDescent="0.25">
      <c r="A143" s="84"/>
      <c r="B143" s="111"/>
      <c r="C143" s="111"/>
      <c r="D143" s="87" t="s">
        <v>390</v>
      </c>
      <c r="E143" s="101">
        <f t="shared" si="53"/>
        <v>0</v>
      </c>
      <c r="F143" s="101"/>
      <c r="G143" s="114"/>
      <c r="H143" s="114"/>
      <c r="I143" s="114"/>
      <c r="J143" s="101"/>
      <c r="K143" s="101"/>
      <c r="L143" s="101"/>
      <c r="M143" s="101"/>
      <c r="N143" s="101"/>
      <c r="O143" s="101"/>
      <c r="P143" s="101">
        <f t="shared" si="54"/>
        <v>0</v>
      </c>
      <c r="Q143" s="30"/>
      <c r="R143" s="32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30"/>
      <c r="NY143" s="30"/>
      <c r="NZ143" s="30"/>
      <c r="OA143" s="30"/>
      <c r="OB143" s="30"/>
      <c r="OC143" s="30"/>
      <c r="OD143" s="30"/>
      <c r="OE143" s="30"/>
      <c r="OF143" s="30"/>
      <c r="OG143" s="30"/>
      <c r="OH143" s="30"/>
      <c r="OI143" s="30"/>
      <c r="OJ143" s="30"/>
      <c r="OK143" s="30"/>
      <c r="OL143" s="30"/>
      <c r="OM143" s="30"/>
      <c r="ON143" s="30"/>
      <c r="OO143" s="30"/>
      <c r="OP143" s="30"/>
      <c r="OQ143" s="30"/>
      <c r="OR143" s="30"/>
      <c r="OS143" s="30"/>
      <c r="OT143" s="30"/>
      <c r="OU143" s="30"/>
      <c r="OV143" s="30"/>
      <c r="OW143" s="30"/>
      <c r="OX143" s="30"/>
      <c r="OY143" s="30"/>
      <c r="OZ143" s="30"/>
      <c r="PA143" s="30"/>
      <c r="PB143" s="30"/>
      <c r="PC143" s="30"/>
      <c r="PD143" s="30"/>
      <c r="PE143" s="30"/>
      <c r="PF143" s="30"/>
      <c r="PG143" s="30"/>
      <c r="PH143" s="30"/>
      <c r="PI143" s="30"/>
      <c r="PJ143" s="30"/>
      <c r="PK143" s="30"/>
      <c r="PL143" s="30"/>
      <c r="PM143" s="30"/>
      <c r="PN143" s="30"/>
      <c r="PO143" s="30"/>
      <c r="PP143" s="30"/>
      <c r="PQ143" s="30"/>
      <c r="PR143" s="30"/>
      <c r="PS143" s="30"/>
      <c r="PT143" s="30"/>
      <c r="PU143" s="30"/>
      <c r="PV143" s="30"/>
      <c r="PW143" s="30"/>
      <c r="PX143" s="30"/>
      <c r="PY143" s="30"/>
      <c r="PZ143" s="30"/>
      <c r="QA143" s="30"/>
      <c r="QB143" s="30"/>
      <c r="QC143" s="30"/>
      <c r="QD143" s="30"/>
      <c r="QE143" s="30"/>
      <c r="QF143" s="30"/>
      <c r="QG143" s="30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0"/>
      <c r="RN143" s="30"/>
      <c r="RO143" s="30"/>
      <c r="RP143" s="30"/>
      <c r="RQ143" s="30"/>
      <c r="RR143" s="30"/>
      <c r="RS143" s="30"/>
      <c r="RT143" s="30"/>
      <c r="RU143" s="30"/>
      <c r="RV143" s="30"/>
      <c r="RW143" s="30"/>
      <c r="RX143" s="30"/>
      <c r="RY143" s="30"/>
      <c r="RZ143" s="30"/>
      <c r="SA143" s="30"/>
      <c r="SB143" s="30"/>
      <c r="SC143" s="30"/>
      <c r="SD143" s="30"/>
      <c r="SE143" s="30"/>
      <c r="SF143" s="30"/>
      <c r="SG143" s="30"/>
      <c r="SH143" s="30"/>
      <c r="SI143" s="30"/>
      <c r="SJ143" s="30"/>
      <c r="SK143" s="30"/>
      <c r="SL143" s="30"/>
      <c r="SM143" s="30"/>
      <c r="SN143" s="30"/>
      <c r="SO143" s="30"/>
      <c r="SP143" s="30"/>
      <c r="SQ143" s="30"/>
      <c r="SR143" s="30"/>
      <c r="SS143" s="30"/>
      <c r="ST143" s="30"/>
      <c r="SU143" s="30"/>
      <c r="SV143" s="30"/>
      <c r="SW143" s="30"/>
      <c r="SX143" s="30"/>
      <c r="SY143" s="30"/>
      <c r="SZ143" s="30"/>
      <c r="TA143" s="30"/>
      <c r="TB143" s="30"/>
      <c r="TC143" s="30"/>
      <c r="TD143" s="30"/>
      <c r="TE143" s="30"/>
      <c r="TF143" s="30"/>
      <c r="TG143" s="30"/>
    </row>
    <row r="144" spans="1:527" s="22" customFormat="1" ht="24" customHeight="1" x14ac:dyDescent="0.25">
      <c r="A144" s="59" t="s">
        <v>176</v>
      </c>
      <c r="B144" s="93" t="str">
        <f>'дод 8'!A91</f>
        <v>2100</v>
      </c>
      <c r="C144" s="93" t="str">
        <f>'дод 8'!B91</f>
        <v>0722</v>
      </c>
      <c r="D144" s="60" t="str">
        <f>'дод 8'!C91</f>
        <v>Стоматологічна допомога населенню</v>
      </c>
      <c r="E144" s="99">
        <f t="shared" si="53"/>
        <v>7745106</v>
      </c>
      <c r="F144" s="99">
        <v>7745106</v>
      </c>
      <c r="G144" s="115"/>
      <c r="H144" s="115"/>
      <c r="I144" s="113"/>
      <c r="J144" s="99">
        <f t="shared" si="55"/>
        <v>0</v>
      </c>
      <c r="K144" s="99"/>
      <c r="L144" s="99"/>
      <c r="M144" s="99"/>
      <c r="N144" s="99"/>
      <c r="O144" s="99"/>
      <c r="P144" s="99">
        <f t="shared" si="54"/>
        <v>7745106</v>
      </c>
      <c r="Q144" s="23"/>
      <c r="R144" s="32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  <c r="IT144" s="23"/>
      <c r="IU144" s="23"/>
      <c r="IV144" s="23"/>
      <c r="IW144" s="23"/>
      <c r="IX144" s="23"/>
      <c r="IY144" s="23"/>
      <c r="IZ144" s="23"/>
      <c r="JA144" s="23"/>
      <c r="JB144" s="23"/>
      <c r="JC144" s="23"/>
      <c r="JD144" s="23"/>
      <c r="JE144" s="23"/>
      <c r="JF144" s="23"/>
      <c r="JG144" s="23"/>
      <c r="JH144" s="23"/>
      <c r="JI144" s="23"/>
      <c r="JJ144" s="23"/>
      <c r="JK144" s="23"/>
      <c r="JL144" s="23"/>
      <c r="JM144" s="23"/>
      <c r="JN144" s="23"/>
      <c r="JO144" s="23"/>
      <c r="JP144" s="23"/>
      <c r="JQ144" s="23"/>
      <c r="JR144" s="23"/>
      <c r="JS144" s="23"/>
      <c r="JT144" s="23"/>
      <c r="JU144" s="23"/>
      <c r="JV144" s="23"/>
      <c r="JW144" s="23"/>
      <c r="JX144" s="23"/>
      <c r="JY144" s="23"/>
      <c r="JZ144" s="23"/>
      <c r="KA144" s="23"/>
      <c r="KB144" s="23"/>
      <c r="KC144" s="23"/>
      <c r="KD144" s="23"/>
      <c r="KE144" s="23"/>
      <c r="KF144" s="23"/>
      <c r="KG144" s="23"/>
      <c r="KH144" s="23"/>
      <c r="KI144" s="23"/>
      <c r="KJ144" s="23"/>
      <c r="KK144" s="23"/>
      <c r="KL144" s="23"/>
      <c r="KM144" s="23"/>
      <c r="KN144" s="23"/>
      <c r="KO144" s="23"/>
      <c r="KP144" s="23"/>
      <c r="KQ144" s="23"/>
      <c r="KR144" s="23"/>
      <c r="KS144" s="23"/>
      <c r="KT144" s="23"/>
      <c r="KU144" s="23"/>
      <c r="KV144" s="23"/>
      <c r="KW144" s="23"/>
      <c r="KX144" s="23"/>
      <c r="KY144" s="23"/>
      <c r="KZ144" s="23"/>
      <c r="LA144" s="23"/>
      <c r="LB144" s="23"/>
      <c r="LC144" s="23"/>
      <c r="LD144" s="23"/>
      <c r="LE144" s="23"/>
      <c r="LF144" s="23"/>
      <c r="LG144" s="23"/>
      <c r="LH144" s="23"/>
      <c r="LI144" s="23"/>
      <c r="LJ144" s="23"/>
      <c r="LK144" s="23"/>
      <c r="LL144" s="23"/>
      <c r="LM144" s="23"/>
      <c r="LN144" s="23"/>
      <c r="LO144" s="23"/>
      <c r="LP144" s="23"/>
      <c r="LQ144" s="23"/>
      <c r="LR144" s="23"/>
      <c r="LS144" s="23"/>
      <c r="LT144" s="23"/>
      <c r="LU144" s="23"/>
      <c r="LV144" s="23"/>
      <c r="LW144" s="23"/>
      <c r="LX144" s="23"/>
      <c r="LY144" s="23"/>
      <c r="LZ144" s="23"/>
      <c r="MA144" s="23"/>
      <c r="MB144" s="23"/>
      <c r="MC144" s="23"/>
      <c r="MD144" s="23"/>
      <c r="ME144" s="23"/>
      <c r="MF144" s="23"/>
      <c r="MG144" s="23"/>
      <c r="MH144" s="23"/>
      <c r="MI144" s="23"/>
      <c r="MJ144" s="23"/>
      <c r="MK144" s="23"/>
      <c r="ML144" s="23"/>
      <c r="MM144" s="23"/>
      <c r="MN144" s="23"/>
      <c r="MO144" s="23"/>
      <c r="MP144" s="23"/>
      <c r="MQ144" s="23"/>
      <c r="MR144" s="23"/>
      <c r="MS144" s="23"/>
      <c r="MT144" s="23"/>
      <c r="MU144" s="23"/>
      <c r="MV144" s="23"/>
      <c r="MW144" s="23"/>
      <c r="MX144" s="23"/>
      <c r="MY144" s="23"/>
      <c r="MZ144" s="23"/>
      <c r="NA144" s="23"/>
      <c r="NB144" s="23"/>
      <c r="NC144" s="23"/>
      <c r="ND144" s="23"/>
      <c r="NE144" s="23"/>
      <c r="NF144" s="23"/>
      <c r="NG144" s="23"/>
      <c r="NH144" s="23"/>
      <c r="NI144" s="23"/>
      <c r="NJ144" s="23"/>
      <c r="NK144" s="23"/>
      <c r="NL144" s="23"/>
      <c r="NM144" s="23"/>
      <c r="NN144" s="23"/>
      <c r="NO144" s="23"/>
      <c r="NP144" s="23"/>
      <c r="NQ144" s="23"/>
      <c r="NR144" s="23"/>
      <c r="NS144" s="23"/>
      <c r="NT144" s="23"/>
      <c r="NU144" s="23"/>
      <c r="NV144" s="23"/>
      <c r="NW144" s="23"/>
      <c r="NX144" s="23"/>
      <c r="NY144" s="23"/>
      <c r="NZ144" s="23"/>
      <c r="OA144" s="23"/>
      <c r="OB144" s="23"/>
      <c r="OC144" s="23"/>
      <c r="OD144" s="23"/>
      <c r="OE144" s="23"/>
      <c r="OF144" s="23"/>
      <c r="OG144" s="23"/>
      <c r="OH144" s="23"/>
      <c r="OI144" s="23"/>
      <c r="OJ144" s="23"/>
      <c r="OK144" s="23"/>
      <c r="OL144" s="23"/>
      <c r="OM144" s="23"/>
      <c r="ON144" s="23"/>
      <c r="OO144" s="23"/>
      <c r="OP144" s="23"/>
      <c r="OQ144" s="23"/>
      <c r="OR144" s="23"/>
      <c r="OS144" s="23"/>
      <c r="OT144" s="23"/>
      <c r="OU144" s="23"/>
      <c r="OV144" s="23"/>
      <c r="OW144" s="23"/>
      <c r="OX144" s="23"/>
      <c r="OY144" s="23"/>
      <c r="OZ144" s="23"/>
      <c r="PA144" s="23"/>
      <c r="PB144" s="23"/>
      <c r="PC144" s="23"/>
      <c r="PD144" s="23"/>
      <c r="PE144" s="23"/>
      <c r="PF144" s="23"/>
      <c r="PG144" s="23"/>
      <c r="PH144" s="23"/>
      <c r="PI144" s="23"/>
      <c r="PJ144" s="23"/>
      <c r="PK144" s="23"/>
      <c r="PL144" s="23"/>
      <c r="PM144" s="23"/>
      <c r="PN144" s="23"/>
      <c r="PO144" s="23"/>
      <c r="PP144" s="23"/>
      <c r="PQ144" s="23"/>
      <c r="PR144" s="23"/>
      <c r="PS144" s="23"/>
      <c r="PT144" s="23"/>
      <c r="PU144" s="23"/>
      <c r="PV144" s="23"/>
      <c r="PW144" s="23"/>
      <c r="PX144" s="23"/>
      <c r="PY144" s="23"/>
      <c r="PZ144" s="23"/>
      <c r="QA144" s="23"/>
      <c r="QB144" s="23"/>
      <c r="QC144" s="23"/>
      <c r="QD144" s="23"/>
      <c r="QE144" s="23"/>
      <c r="QF144" s="23"/>
      <c r="QG144" s="23"/>
      <c r="QH144" s="23"/>
      <c r="QI144" s="23"/>
      <c r="QJ144" s="23"/>
      <c r="QK144" s="23"/>
      <c r="QL144" s="23"/>
      <c r="QM144" s="23"/>
      <c r="QN144" s="23"/>
      <c r="QO144" s="23"/>
      <c r="QP144" s="23"/>
      <c r="QQ144" s="23"/>
      <c r="QR144" s="23"/>
      <c r="QS144" s="23"/>
      <c r="QT144" s="23"/>
      <c r="QU144" s="23"/>
      <c r="QV144" s="23"/>
      <c r="QW144" s="23"/>
      <c r="QX144" s="23"/>
      <c r="QY144" s="23"/>
      <c r="QZ144" s="23"/>
      <c r="RA144" s="23"/>
      <c r="RB144" s="23"/>
      <c r="RC144" s="23"/>
      <c r="RD144" s="23"/>
      <c r="RE144" s="23"/>
      <c r="RF144" s="23"/>
      <c r="RG144" s="23"/>
      <c r="RH144" s="23"/>
      <c r="RI144" s="23"/>
      <c r="RJ144" s="23"/>
      <c r="RK144" s="23"/>
      <c r="RL144" s="23"/>
      <c r="RM144" s="23"/>
      <c r="RN144" s="23"/>
      <c r="RO144" s="23"/>
      <c r="RP144" s="23"/>
      <c r="RQ144" s="23"/>
      <c r="RR144" s="23"/>
      <c r="RS144" s="23"/>
      <c r="RT144" s="23"/>
      <c r="RU144" s="23"/>
      <c r="RV144" s="23"/>
      <c r="RW144" s="23"/>
      <c r="RX144" s="23"/>
      <c r="RY144" s="23"/>
      <c r="RZ144" s="23"/>
      <c r="SA144" s="23"/>
      <c r="SB144" s="23"/>
      <c r="SC144" s="23"/>
      <c r="SD144" s="23"/>
      <c r="SE144" s="23"/>
      <c r="SF144" s="23"/>
      <c r="SG144" s="23"/>
      <c r="SH144" s="23"/>
      <c r="SI144" s="23"/>
      <c r="SJ144" s="23"/>
      <c r="SK144" s="23"/>
      <c r="SL144" s="23"/>
      <c r="SM144" s="23"/>
      <c r="SN144" s="23"/>
      <c r="SO144" s="23"/>
      <c r="SP144" s="23"/>
      <c r="SQ144" s="23"/>
      <c r="SR144" s="23"/>
      <c r="SS144" s="23"/>
      <c r="ST144" s="23"/>
      <c r="SU144" s="23"/>
      <c r="SV144" s="23"/>
      <c r="SW144" s="23"/>
      <c r="SX144" s="23"/>
      <c r="SY144" s="23"/>
      <c r="SZ144" s="23"/>
      <c r="TA144" s="23"/>
      <c r="TB144" s="23"/>
      <c r="TC144" s="23"/>
      <c r="TD144" s="23"/>
      <c r="TE144" s="23"/>
      <c r="TF144" s="23"/>
      <c r="TG144" s="23"/>
    </row>
    <row r="145" spans="1:527" s="24" customFormat="1" ht="30" hidden="1" customHeight="1" x14ac:dyDescent="0.25">
      <c r="A145" s="84"/>
      <c r="B145" s="111"/>
      <c r="C145" s="111"/>
      <c r="D145" s="87" t="s">
        <v>390</v>
      </c>
      <c r="E145" s="101">
        <f t="shared" si="53"/>
        <v>0</v>
      </c>
      <c r="F145" s="101"/>
      <c r="G145" s="114"/>
      <c r="H145" s="114"/>
      <c r="I145" s="114"/>
      <c r="J145" s="101">
        <f t="shared" si="55"/>
        <v>0</v>
      </c>
      <c r="K145" s="101"/>
      <c r="L145" s="101"/>
      <c r="M145" s="101"/>
      <c r="N145" s="101"/>
      <c r="O145" s="101"/>
      <c r="P145" s="101">
        <f t="shared" si="54"/>
        <v>0</v>
      </c>
      <c r="Q145" s="30"/>
      <c r="R145" s="32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  <c r="IW145" s="30"/>
      <c r="IX145" s="30"/>
      <c r="IY145" s="30"/>
      <c r="IZ145" s="30"/>
      <c r="JA145" s="30"/>
      <c r="JB145" s="30"/>
      <c r="JC145" s="30"/>
      <c r="JD145" s="30"/>
      <c r="JE145" s="30"/>
      <c r="JF145" s="30"/>
      <c r="JG145" s="30"/>
      <c r="JH145" s="30"/>
      <c r="JI145" s="30"/>
      <c r="JJ145" s="30"/>
      <c r="JK145" s="30"/>
      <c r="JL145" s="30"/>
      <c r="JM145" s="30"/>
      <c r="JN145" s="30"/>
      <c r="JO145" s="30"/>
      <c r="JP145" s="30"/>
      <c r="JQ145" s="30"/>
      <c r="JR145" s="30"/>
      <c r="JS145" s="30"/>
      <c r="JT145" s="30"/>
      <c r="JU145" s="30"/>
      <c r="JV145" s="30"/>
      <c r="JW145" s="30"/>
      <c r="JX145" s="30"/>
      <c r="JY145" s="30"/>
      <c r="JZ145" s="30"/>
      <c r="KA145" s="30"/>
      <c r="KB145" s="30"/>
      <c r="KC145" s="30"/>
      <c r="KD145" s="30"/>
      <c r="KE145" s="30"/>
      <c r="KF145" s="30"/>
      <c r="KG145" s="30"/>
      <c r="KH145" s="30"/>
      <c r="KI145" s="30"/>
      <c r="KJ145" s="30"/>
      <c r="KK145" s="30"/>
      <c r="KL145" s="30"/>
      <c r="KM145" s="30"/>
      <c r="KN145" s="30"/>
      <c r="KO145" s="30"/>
      <c r="KP145" s="30"/>
      <c r="KQ145" s="30"/>
      <c r="KR145" s="30"/>
      <c r="KS145" s="30"/>
      <c r="KT145" s="30"/>
      <c r="KU145" s="30"/>
      <c r="KV145" s="30"/>
      <c r="KW145" s="30"/>
      <c r="KX145" s="30"/>
      <c r="KY145" s="30"/>
      <c r="KZ145" s="30"/>
      <c r="LA145" s="30"/>
      <c r="LB145" s="30"/>
      <c r="LC145" s="30"/>
      <c r="LD145" s="30"/>
      <c r="LE145" s="30"/>
      <c r="LF145" s="30"/>
      <c r="LG145" s="30"/>
      <c r="LH145" s="30"/>
      <c r="LI145" s="30"/>
      <c r="LJ145" s="30"/>
      <c r="LK145" s="30"/>
      <c r="LL145" s="30"/>
      <c r="LM145" s="30"/>
      <c r="LN145" s="30"/>
      <c r="LO145" s="30"/>
      <c r="LP145" s="30"/>
      <c r="LQ145" s="30"/>
      <c r="LR145" s="30"/>
      <c r="LS145" s="30"/>
      <c r="LT145" s="30"/>
      <c r="LU145" s="30"/>
      <c r="LV145" s="30"/>
      <c r="LW145" s="30"/>
      <c r="LX145" s="30"/>
      <c r="LY145" s="30"/>
      <c r="LZ145" s="30"/>
      <c r="MA145" s="30"/>
      <c r="MB145" s="30"/>
      <c r="MC145" s="30"/>
      <c r="MD145" s="30"/>
      <c r="ME145" s="30"/>
      <c r="MF145" s="30"/>
      <c r="MG145" s="30"/>
      <c r="MH145" s="30"/>
      <c r="MI145" s="30"/>
      <c r="MJ145" s="30"/>
      <c r="MK145" s="30"/>
      <c r="ML145" s="30"/>
      <c r="MM145" s="30"/>
      <c r="MN145" s="30"/>
      <c r="MO145" s="30"/>
      <c r="MP145" s="30"/>
      <c r="MQ145" s="30"/>
      <c r="MR145" s="30"/>
      <c r="MS145" s="30"/>
      <c r="MT145" s="30"/>
      <c r="MU145" s="30"/>
      <c r="MV145" s="30"/>
      <c r="MW145" s="30"/>
      <c r="MX145" s="30"/>
      <c r="MY145" s="30"/>
      <c r="MZ145" s="30"/>
      <c r="NA145" s="30"/>
      <c r="NB145" s="30"/>
      <c r="NC145" s="30"/>
      <c r="ND145" s="30"/>
      <c r="NE145" s="30"/>
      <c r="NF145" s="30"/>
      <c r="NG145" s="30"/>
      <c r="NH145" s="30"/>
      <c r="NI145" s="30"/>
      <c r="NJ145" s="30"/>
      <c r="NK145" s="30"/>
      <c r="NL145" s="30"/>
      <c r="NM145" s="30"/>
      <c r="NN145" s="30"/>
      <c r="NO145" s="30"/>
      <c r="NP145" s="30"/>
      <c r="NQ145" s="30"/>
      <c r="NR145" s="30"/>
      <c r="NS145" s="30"/>
      <c r="NT145" s="30"/>
      <c r="NU145" s="30"/>
      <c r="NV145" s="30"/>
      <c r="NW145" s="30"/>
      <c r="NX145" s="30"/>
      <c r="NY145" s="30"/>
      <c r="NZ145" s="30"/>
      <c r="OA145" s="30"/>
      <c r="OB145" s="30"/>
      <c r="OC145" s="30"/>
      <c r="OD145" s="30"/>
      <c r="OE145" s="30"/>
      <c r="OF145" s="30"/>
      <c r="OG145" s="30"/>
      <c r="OH145" s="30"/>
      <c r="OI145" s="30"/>
      <c r="OJ145" s="30"/>
      <c r="OK145" s="30"/>
      <c r="OL145" s="30"/>
      <c r="OM145" s="30"/>
      <c r="ON145" s="30"/>
      <c r="OO145" s="30"/>
      <c r="OP145" s="30"/>
      <c r="OQ145" s="30"/>
      <c r="OR145" s="30"/>
      <c r="OS145" s="30"/>
      <c r="OT145" s="30"/>
      <c r="OU145" s="30"/>
      <c r="OV145" s="30"/>
      <c r="OW145" s="30"/>
      <c r="OX145" s="30"/>
      <c r="OY145" s="30"/>
      <c r="OZ145" s="30"/>
      <c r="PA145" s="30"/>
      <c r="PB145" s="30"/>
      <c r="PC145" s="30"/>
      <c r="PD145" s="30"/>
      <c r="PE145" s="30"/>
      <c r="PF145" s="30"/>
      <c r="PG145" s="30"/>
      <c r="PH145" s="30"/>
      <c r="PI145" s="30"/>
      <c r="PJ145" s="30"/>
      <c r="PK145" s="30"/>
      <c r="PL145" s="30"/>
      <c r="PM145" s="30"/>
      <c r="PN145" s="30"/>
      <c r="PO145" s="30"/>
      <c r="PP145" s="30"/>
      <c r="PQ145" s="30"/>
      <c r="PR145" s="30"/>
      <c r="PS145" s="30"/>
      <c r="PT145" s="30"/>
      <c r="PU145" s="30"/>
      <c r="PV145" s="30"/>
      <c r="PW145" s="30"/>
      <c r="PX145" s="30"/>
      <c r="PY145" s="30"/>
      <c r="PZ145" s="30"/>
      <c r="QA145" s="30"/>
      <c r="QB145" s="30"/>
      <c r="QC145" s="30"/>
      <c r="QD145" s="30"/>
      <c r="QE145" s="30"/>
      <c r="QF145" s="30"/>
      <c r="QG145" s="30"/>
      <c r="QH145" s="30"/>
      <c r="QI145" s="30"/>
      <c r="QJ145" s="30"/>
      <c r="QK145" s="30"/>
      <c r="QL145" s="30"/>
      <c r="QM145" s="30"/>
      <c r="QN145" s="30"/>
      <c r="QO145" s="30"/>
      <c r="QP145" s="30"/>
      <c r="QQ145" s="30"/>
      <c r="QR145" s="30"/>
      <c r="QS145" s="30"/>
      <c r="QT145" s="30"/>
      <c r="QU145" s="30"/>
      <c r="QV145" s="30"/>
      <c r="QW145" s="30"/>
      <c r="QX145" s="30"/>
      <c r="QY145" s="30"/>
      <c r="QZ145" s="30"/>
      <c r="RA145" s="30"/>
      <c r="RB145" s="30"/>
      <c r="RC145" s="30"/>
      <c r="RD145" s="30"/>
      <c r="RE145" s="30"/>
      <c r="RF145" s="30"/>
      <c r="RG145" s="30"/>
      <c r="RH145" s="30"/>
      <c r="RI145" s="30"/>
      <c r="RJ145" s="30"/>
      <c r="RK145" s="30"/>
      <c r="RL145" s="30"/>
      <c r="RM145" s="30"/>
      <c r="RN145" s="30"/>
      <c r="RO145" s="30"/>
      <c r="RP145" s="30"/>
      <c r="RQ145" s="30"/>
      <c r="RR145" s="30"/>
      <c r="RS145" s="30"/>
      <c r="RT145" s="30"/>
      <c r="RU145" s="30"/>
      <c r="RV145" s="30"/>
      <c r="RW145" s="30"/>
      <c r="RX145" s="30"/>
      <c r="RY145" s="30"/>
      <c r="RZ145" s="30"/>
      <c r="SA145" s="30"/>
      <c r="SB145" s="30"/>
      <c r="SC145" s="30"/>
      <c r="SD145" s="30"/>
      <c r="SE145" s="30"/>
      <c r="SF145" s="30"/>
      <c r="SG145" s="30"/>
      <c r="SH145" s="30"/>
      <c r="SI145" s="30"/>
      <c r="SJ145" s="30"/>
      <c r="SK145" s="30"/>
      <c r="SL145" s="30"/>
      <c r="SM145" s="30"/>
      <c r="SN145" s="30"/>
      <c r="SO145" s="30"/>
      <c r="SP145" s="30"/>
      <c r="SQ145" s="30"/>
      <c r="SR145" s="30"/>
      <c r="SS145" s="30"/>
      <c r="ST145" s="30"/>
      <c r="SU145" s="30"/>
      <c r="SV145" s="30"/>
      <c r="SW145" s="30"/>
      <c r="SX145" s="30"/>
      <c r="SY145" s="30"/>
      <c r="SZ145" s="30"/>
      <c r="TA145" s="30"/>
      <c r="TB145" s="30"/>
      <c r="TC145" s="30"/>
      <c r="TD145" s="30"/>
      <c r="TE145" s="30"/>
      <c r="TF145" s="30"/>
      <c r="TG145" s="30"/>
    </row>
    <row r="146" spans="1:527" s="22" customFormat="1" ht="48" customHeight="1" x14ac:dyDescent="0.25">
      <c r="A146" s="59" t="s">
        <v>175</v>
      </c>
      <c r="B146" s="93" t="str">
        <f>'дод 8'!A93</f>
        <v>2111</v>
      </c>
      <c r="C146" s="93" t="str">
        <f>'дод 8'!B93</f>
        <v>0726</v>
      </c>
      <c r="D146" s="60" t="str">
        <f>'дод 8'!C93</f>
        <v>Первинна медична допомога населенню, що надається центрами первинної медичної (медико-санітарної) допомоги</v>
      </c>
      <c r="E146" s="99">
        <f t="shared" si="53"/>
        <v>3962831</v>
      </c>
      <c r="F146" s="99">
        <v>3962831</v>
      </c>
      <c r="G146" s="113"/>
      <c r="H146" s="115"/>
      <c r="I146" s="113"/>
      <c r="J146" s="99">
        <f t="shared" si="55"/>
        <v>0</v>
      </c>
      <c r="K146" s="99"/>
      <c r="L146" s="99"/>
      <c r="M146" s="99"/>
      <c r="N146" s="99"/>
      <c r="O146" s="99"/>
      <c r="P146" s="99">
        <f t="shared" si="54"/>
        <v>3962831</v>
      </c>
      <c r="Q146" s="23"/>
      <c r="R146" s="32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  <c r="PA146" s="23"/>
      <c r="PB146" s="23"/>
      <c r="PC146" s="23"/>
      <c r="PD146" s="23"/>
      <c r="PE146" s="23"/>
      <c r="PF146" s="23"/>
      <c r="PG146" s="23"/>
      <c r="PH146" s="23"/>
      <c r="PI146" s="23"/>
      <c r="PJ146" s="23"/>
      <c r="PK146" s="23"/>
      <c r="PL146" s="23"/>
      <c r="PM146" s="23"/>
      <c r="PN146" s="23"/>
      <c r="PO146" s="23"/>
      <c r="PP146" s="23"/>
      <c r="PQ146" s="23"/>
      <c r="PR146" s="23"/>
      <c r="PS146" s="23"/>
      <c r="PT146" s="23"/>
      <c r="PU146" s="23"/>
      <c r="PV146" s="23"/>
      <c r="PW146" s="23"/>
      <c r="PX146" s="23"/>
      <c r="PY146" s="23"/>
      <c r="PZ146" s="23"/>
      <c r="QA146" s="23"/>
      <c r="QB146" s="23"/>
      <c r="QC146" s="23"/>
      <c r="QD146" s="23"/>
      <c r="QE146" s="23"/>
      <c r="QF146" s="23"/>
      <c r="QG146" s="23"/>
      <c r="QH146" s="23"/>
      <c r="QI146" s="23"/>
      <c r="QJ146" s="23"/>
      <c r="QK146" s="23"/>
      <c r="QL146" s="23"/>
      <c r="QM146" s="23"/>
      <c r="QN146" s="23"/>
      <c r="QO146" s="23"/>
      <c r="QP146" s="23"/>
      <c r="QQ146" s="23"/>
      <c r="QR146" s="23"/>
      <c r="QS146" s="23"/>
      <c r="QT146" s="23"/>
      <c r="QU146" s="23"/>
      <c r="QV146" s="23"/>
      <c r="QW146" s="23"/>
      <c r="QX146" s="23"/>
      <c r="QY146" s="23"/>
      <c r="QZ146" s="23"/>
      <c r="RA146" s="23"/>
      <c r="RB146" s="23"/>
      <c r="RC146" s="23"/>
      <c r="RD146" s="23"/>
      <c r="RE146" s="23"/>
      <c r="RF146" s="23"/>
      <c r="RG146" s="23"/>
      <c r="RH146" s="23"/>
      <c r="RI146" s="23"/>
      <c r="RJ146" s="23"/>
      <c r="RK146" s="23"/>
      <c r="RL146" s="23"/>
      <c r="RM146" s="23"/>
      <c r="RN146" s="23"/>
      <c r="RO146" s="23"/>
      <c r="RP146" s="23"/>
      <c r="RQ146" s="23"/>
      <c r="RR146" s="23"/>
      <c r="RS146" s="23"/>
      <c r="RT146" s="23"/>
      <c r="RU146" s="23"/>
      <c r="RV146" s="23"/>
      <c r="RW146" s="23"/>
      <c r="RX146" s="23"/>
      <c r="RY146" s="23"/>
      <c r="RZ146" s="23"/>
      <c r="SA146" s="23"/>
      <c r="SB146" s="23"/>
      <c r="SC146" s="23"/>
      <c r="SD146" s="23"/>
      <c r="SE146" s="23"/>
      <c r="SF146" s="23"/>
      <c r="SG146" s="23"/>
      <c r="SH146" s="23"/>
      <c r="SI146" s="23"/>
      <c r="SJ146" s="23"/>
      <c r="SK146" s="23"/>
      <c r="SL146" s="23"/>
      <c r="SM146" s="23"/>
      <c r="SN146" s="23"/>
      <c r="SO146" s="23"/>
      <c r="SP146" s="23"/>
      <c r="SQ146" s="23"/>
      <c r="SR146" s="23"/>
      <c r="SS146" s="23"/>
      <c r="ST146" s="23"/>
      <c r="SU146" s="23"/>
      <c r="SV146" s="23"/>
      <c r="SW146" s="23"/>
      <c r="SX146" s="23"/>
      <c r="SY146" s="23"/>
      <c r="SZ146" s="23"/>
      <c r="TA146" s="23"/>
      <c r="TB146" s="23"/>
      <c r="TC146" s="23"/>
      <c r="TD146" s="23"/>
      <c r="TE146" s="23"/>
      <c r="TF146" s="23"/>
      <c r="TG146" s="23"/>
    </row>
    <row r="147" spans="1:527" s="24" customFormat="1" ht="63" hidden="1" customHeight="1" x14ac:dyDescent="0.25">
      <c r="A147" s="84"/>
      <c r="B147" s="111"/>
      <c r="C147" s="111"/>
      <c r="D147" s="85" t="s">
        <v>392</v>
      </c>
      <c r="E147" s="101">
        <f t="shared" si="53"/>
        <v>0</v>
      </c>
      <c r="F147" s="101"/>
      <c r="G147" s="114"/>
      <c r="H147" s="114"/>
      <c r="I147" s="114"/>
      <c r="J147" s="101">
        <f t="shared" si="55"/>
        <v>0</v>
      </c>
      <c r="K147" s="101"/>
      <c r="L147" s="101"/>
      <c r="M147" s="101"/>
      <c r="N147" s="101"/>
      <c r="O147" s="101"/>
      <c r="P147" s="101">
        <f t="shared" si="54"/>
        <v>0</v>
      </c>
      <c r="Q147" s="30"/>
      <c r="R147" s="32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  <c r="IS147" s="30"/>
      <c r="IT147" s="30"/>
      <c r="IU147" s="30"/>
      <c r="IV147" s="30"/>
      <c r="IW147" s="30"/>
      <c r="IX147" s="30"/>
      <c r="IY147" s="30"/>
      <c r="IZ147" s="30"/>
      <c r="JA147" s="30"/>
      <c r="JB147" s="30"/>
      <c r="JC147" s="30"/>
      <c r="JD147" s="30"/>
      <c r="JE147" s="30"/>
      <c r="JF147" s="30"/>
      <c r="JG147" s="30"/>
      <c r="JH147" s="30"/>
      <c r="JI147" s="30"/>
      <c r="JJ147" s="30"/>
      <c r="JK147" s="30"/>
      <c r="JL147" s="30"/>
      <c r="JM147" s="30"/>
      <c r="JN147" s="30"/>
      <c r="JO147" s="30"/>
      <c r="JP147" s="30"/>
      <c r="JQ147" s="30"/>
      <c r="JR147" s="30"/>
      <c r="JS147" s="30"/>
      <c r="JT147" s="30"/>
      <c r="JU147" s="30"/>
      <c r="JV147" s="30"/>
      <c r="JW147" s="30"/>
      <c r="JX147" s="30"/>
      <c r="JY147" s="30"/>
      <c r="JZ147" s="30"/>
      <c r="KA147" s="30"/>
      <c r="KB147" s="30"/>
      <c r="KC147" s="30"/>
      <c r="KD147" s="30"/>
      <c r="KE147" s="30"/>
      <c r="KF147" s="30"/>
      <c r="KG147" s="30"/>
      <c r="KH147" s="30"/>
      <c r="KI147" s="30"/>
      <c r="KJ147" s="30"/>
      <c r="KK147" s="30"/>
      <c r="KL147" s="30"/>
      <c r="KM147" s="30"/>
      <c r="KN147" s="30"/>
      <c r="KO147" s="30"/>
      <c r="KP147" s="30"/>
      <c r="KQ147" s="30"/>
      <c r="KR147" s="30"/>
      <c r="KS147" s="30"/>
      <c r="KT147" s="30"/>
      <c r="KU147" s="30"/>
      <c r="KV147" s="30"/>
      <c r="KW147" s="30"/>
      <c r="KX147" s="30"/>
      <c r="KY147" s="30"/>
      <c r="KZ147" s="30"/>
      <c r="LA147" s="30"/>
      <c r="LB147" s="30"/>
      <c r="LC147" s="30"/>
      <c r="LD147" s="30"/>
      <c r="LE147" s="30"/>
      <c r="LF147" s="30"/>
      <c r="LG147" s="30"/>
      <c r="LH147" s="30"/>
      <c r="LI147" s="30"/>
      <c r="LJ147" s="30"/>
      <c r="LK147" s="30"/>
      <c r="LL147" s="30"/>
      <c r="LM147" s="30"/>
      <c r="LN147" s="30"/>
      <c r="LO147" s="30"/>
      <c r="LP147" s="30"/>
      <c r="LQ147" s="30"/>
      <c r="LR147" s="30"/>
      <c r="LS147" s="30"/>
      <c r="LT147" s="30"/>
      <c r="LU147" s="30"/>
      <c r="LV147" s="30"/>
      <c r="LW147" s="30"/>
      <c r="LX147" s="30"/>
      <c r="LY147" s="30"/>
      <c r="LZ147" s="30"/>
      <c r="MA147" s="30"/>
      <c r="MB147" s="30"/>
      <c r="MC147" s="30"/>
      <c r="MD147" s="30"/>
      <c r="ME147" s="30"/>
      <c r="MF147" s="30"/>
      <c r="MG147" s="30"/>
      <c r="MH147" s="30"/>
      <c r="MI147" s="30"/>
      <c r="MJ147" s="30"/>
      <c r="MK147" s="30"/>
      <c r="ML147" s="30"/>
      <c r="MM147" s="30"/>
      <c r="MN147" s="30"/>
      <c r="MO147" s="30"/>
      <c r="MP147" s="30"/>
      <c r="MQ147" s="30"/>
      <c r="MR147" s="30"/>
      <c r="MS147" s="30"/>
      <c r="MT147" s="30"/>
      <c r="MU147" s="30"/>
      <c r="MV147" s="30"/>
      <c r="MW147" s="30"/>
      <c r="MX147" s="30"/>
      <c r="MY147" s="30"/>
      <c r="MZ147" s="30"/>
      <c r="NA147" s="30"/>
      <c r="NB147" s="30"/>
      <c r="NC147" s="30"/>
      <c r="ND147" s="30"/>
      <c r="NE147" s="30"/>
      <c r="NF147" s="30"/>
      <c r="NG147" s="30"/>
      <c r="NH147" s="30"/>
      <c r="NI147" s="30"/>
      <c r="NJ147" s="30"/>
      <c r="NK147" s="30"/>
      <c r="NL147" s="30"/>
      <c r="NM147" s="30"/>
      <c r="NN147" s="30"/>
      <c r="NO147" s="30"/>
      <c r="NP147" s="30"/>
      <c r="NQ147" s="30"/>
      <c r="NR147" s="30"/>
      <c r="NS147" s="30"/>
      <c r="NT147" s="30"/>
      <c r="NU147" s="30"/>
      <c r="NV147" s="30"/>
      <c r="NW147" s="30"/>
      <c r="NX147" s="30"/>
      <c r="NY147" s="30"/>
      <c r="NZ147" s="30"/>
      <c r="OA147" s="30"/>
      <c r="OB147" s="30"/>
      <c r="OC147" s="30"/>
      <c r="OD147" s="30"/>
      <c r="OE147" s="30"/>
      <c r="OF147" s="30"/>
      <c r="OG147" s="30"/>
      <c r="OH147" s="30"/>
      <c r="OI147" s="30"/>
      <c r="OJ147" s="30"/>
      <c r="OK147" s="30"/>
      <c r="OL147" s="30"/>
      <c r="OM147" s="30"/>
      <c r="ON147" s="30"/>
      <c r="OO147" s="30"/>
      <c r="OP147" s="30"/>
      <c r="OQ147" s="30"/>
      <c r="OR147" s="30"/>
      <c r="OS147" s="30"/>
      <c r="OT147" s="30"/>
      <c r="OU147" s="30"/>
      <c r="OV147" s="30"/>
      <c r="OW147" s="30"/>
      <c r="OX147" s="30"/>
      <c r="OY147" s="30"/>
      <c r="OZ147" s="30"/>
      <c r="PA147" s="30"/>
      <c r="PB147" s="30"/>
      <c r="PC147" s="30"/>
      <c r="PD147" s="30"/>
      <c r="PE147" s="30"/>
      <c r="PF147" s="30"/>
      <c r="PG147" s="30"/>
      <c r="PH147" s="30"/>
      <c r="PI147" s="30"/>
      <c r="PJ147" s="30"/>
      <c r="PK147" s="30"/>
      <c r="PL147" s="30"/>
      <c r="PM147" s="30"/>
      <c r="PN147" s="30"/>
      <c r="PO147" s="30"/>
      <c r="PP147" s="30"/>
      <c r="PQ147" s="30"/>
      <c r="PR147" s="30"/>
      <c r="PS147" s="30"/>
      <c r="PT147" s="30"/>
      <c r="PU147" s="30"/>
      <c r="PV147" s="30"/>
      <c r="PW147" s="30"/>
      <c r="PX147" s="30"/>
      <c r="PY147" s="30"/>
      <c r="PZ147" s="30"/>
      <c r="QA147" s="30"/>
      <c r="QB147" s="30"/>
      <c r="QC147" s="30"/>
      <c r="QD147" s="30"/>
      <c r="QE147" s="30"/>
      <c r="QF147" s="30"/>
      <c r="QG147" s="30"/>
      <c r="QH147" s="30"/>
      <c r="QI147" s="30"/>
      <c r="QJ147" s="30"/>
      <c r="QK147" s="30"/>
      <c r="QL147" s="30"/>
      <c r="QM147" s="30"/>
      <c r="QN147" s="30"/>
      <c r="QO147" s="30"/>
      <c r="QP147" s="30"/>
      <c r="QQ147" s="30"/>
      <c r="QR147" s="30"/>
      <c r="QS147" s="30"/>
      <c r="QT147" s="30"/>
      <c r="QU147" s="30"/>
      <c r="QV147" s="30"/>
      <c r="QW147" s="30"/>
      <c r="QX147" s="30"/>
      <c r="QY147" s="30"/>
      <c r="QZ147" s="30"/>
      <c r="RA147" s="30"/>
      <c r="RB147" s="30"/>
      <c r="RC147" s="30"/>
      <c r="RD147" s="30"/>
      <c r="RE147" s="30"/>
      <c r="RF147" s="30"/>
      <c r="RG147" s="30"/>
      <c r="RH147" s="30"/>
      <c r="RI147" s="30"/>
      <c r="RJ147" s="30"/>
      <c r="RK147" s="30"/>
      <c r="RL147" s="30"/>
      <c r="RM147" s="30"/>
      <c r="RN147" s="30"/>
      <c r="RO147" s="30"/>
      <c r="RP147" s="30"/>
      <c r="RQ147" s="30"/>
      <c r="RR147" s="30"/>
      <c r="RS147" s="30"/>
      <c r="RT147" s="30"/>
      <c r="RU147" s="30"/>
      <c r="RV147" s="30"/>
      <c r="RW147" s="30"/>
      <c r="RX147" s="30"/>
      <c r="RY147" s="30"/>
      <c r="RZ147" s="30"/>
      <c r="SA147" s="30"/>
      <c r="SB147" s="30"/>
      <c r="SC147" s="30"/>
      <c r="SD147" s="30"/>
      <c r="SE147" s="30"/>
      <c r="SF147" s="30"/>
      <c r="SG147" s="30"/>
      <c r="SH147" s="30"/>
      <c r="SI147" s="30"/>
      <c r="SJ147" s="30"/>
      <c r="SK147" s="30"/>
      <c r="SL147" s="30"/>
      <c r="SM147" s="30"/>
      <c r="SN147" s="30"/>
      <c r="SO147" s="30"/>
      <c r="SP147" s="30"/>
      <c r="SQ147" s="30"/>
      <c r="SR147" s="30"/>
      <c r="SS147" s="30"/>
      <c r="ST147" s="30"/>
      <c r="SU147" s="30"/>
      <c r="SV147" s="30"/>
      <c r="SW147" s="30"/>
      <c r="SX147" s="30"/>
      <c r="SY147" s="30"/>
      <c r="SZ147" s="30"/>
      <c r="TA147" s="30"/>
      <c r="TB147" s="30"/>
      <c r="TC147" s="30"/>
      <c r="TD147" s="30"/>
      <c r="TE147" s="30"/>
      <c r="TF147" s="30"/>
      <c r="TG147" s="30"/>
    </row>
    <row r="148" spans="1:527" s="22" customFormat="1" ht="31.5" x14ac:dyDescent="0.25">
      <c r="A148" s="59" t="s">
        <v>174</v>
      </c>
      <c r="B148" s="93">
        <f>'дод 8'!A95</f>
        <v>2144</v>
      </c>
      <c r="C148" s="93" t="str">
        <f>'дод 8'!B95</f>
        <v>0763</v>
      </c>
      <c r="D148" s="123" t="str">
        <f>'дод 8'!C95</f>
        <v>Централізовані заходи з лікування хворих на цукровий та нецукровий діабет, у т.ч. за рахунок:</v>
      </c>
      <c r="E148" s="99">
        <f t="shared" si="53"/>
        <v>11403700</v>
      </c>
      <c r="F148" s="99">
        <v>11403700</v>
      </c>
      <c r="G148" s="113"/>
      <c r="H148" s="113"/>
      <c r="I148" s="113"/>
      <c r="J148" s="99">
        <f t="shared" si="55"/>
        <v>0</v>
      </c>
      <c r="K148" s="99"/>
      <c r="L148" s="99"/>
      <c r="M148" s="99"/>
      <c r="N148" s="99"/>
      <c r="O148" s="99"/>
      <c r="P148" s="99">
        <f t="shared" si="54"/>
        <v>11403700</v>
      </c>
      <c r="Q148" s="23"/>
      <c r="R148" s="32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  <c r="IU148" s="23"/>
      <c r="IV148" s="23"/>
      <c r="IW148" s="23"/>
      <c r="IX148" s="23"/>
      <c r="IY148" s="23"/>
      <c r="IZ148" s="23"/>
      <c r="JA148" s="23"/>
      <c r="JB148" s="23"/>
      <c r="JC148" s="23"/>
      <c r="JD148" s="23"/>
      <c r="JE148" s="23"/>
      <c r="JF148" s="23"/>
      <c r="JG148" s="23"/>
      <c r="JH148" s="23"/>
      <c r="JI148" s="23"/>
      <c r="JJ148" s="23"/>
      <c r="JK148" s="23"/>
      <c r="JL148" s="23"/>
      <c r="JM148" s="23"/>
      <c r="JN148" s="23"/>
      <c r="JO148" s="23"/>
      <c r="JP148" s="23"/>
      <c r="JQ148" s="23"/>
      <c r="JR148" s="23"/>
      <c r="JS148" s="23"/>
      <c r="JT148" s="23"/>
      <c r="JU148" s="23"/>
      <c r="JV148" s="23"/>
      <c r="JW148" s="23"/>
      <c r="JX148" s="23"/>
      <c r="JY148" s="23"/>
      <c r="JZ148" s="23"/>
      <c r="KA148" s="23"/>
      <c r="KB148" s="23"/>
      <c r="KC148" s="23"/>
      <c r="KD148" s="23"/>
      <c r="KE148" s="23"/>
      <c r="KF148" s="23"/>
      <c r="KG148" s="23"/>
      <c r="KH148" s="23"/>
      <c r="KI148" s="23"/>
      <c r="KJ148" s="23"/>
      <c r="KK148" s="23"/>
      <c r="KL148" s="23"/>
      <c r="KM148" s="23"/>
      <c r="KN148" s="23"/>
      <c r="KO148" s="23"/>
      <c r="KP148" s="23"/>
      <c r="KQ148" s="23"/>
      <c r="KR148" s="23"/>
      <c r="KS148" s="23"/>
      <c r="KT148" s="23"/>
      <c r="KU148" s="23"/>
      <c r="KV148" s="23"/>
      <c r="KW148" s="23"/>
      <c r="KX148" s="23"/>
      <c r="KY148" s="23"/>
      <c r="KZ148" s="23"/>
      <c r="LA148" s="23"/>
      <c r="LB148" s="23"/>
      <c r="LC148" s="23"/>
      <c r="LD148" s="23"/>
      <c r="LE148" s="23"/>
      <c r="LF148" s="23"/>
      <c r="LG148" s="23"/>
      <c r="LH148" s="23"/>
      <c r="LI148" s="23"/>
      <c r="LJ148" s="23"/>
      <c r="LK148" s="23"/>
      <c r="LL148" s="23"/>
      <c r="LM148" s="23"/>
      <c r="LN148" s="23"/>
      <c r="LO148" s="23"/>
      <c r="LP148" s="23"/>
      <c r="LQ148" s="23"/>
      <c r="LR148" s="23"/>
      <c r="LS148" s="23"/>
      <c r="LT148" s="23"/>
      <c r="LU148" s="23"/>
      <c r="LV148" s="23"/>
      <c r="LW148" s="23"/>
      <c r="LX148" s="23"/>
      <c r="LY148" s="23"/>
      <c r="LZ148" s="23"/>
      <c r="MA148" s="23"/>
      <c r="MB148" s="23"/>
      <c r="MC148" s="23"/>
      <c r="MD148" s="23"/>
      <c r="ME148" s="23"/>
      <c r="MF148" s="23"/>
      <c r="MG148" s="23"/>
      <c r="MH148" s="23"/>
      <c r="MI148" s="23"/>
      <c r="MJ148" s="23"/>
      <c r="MK148" s="23"/>
      <c r="ML148" s="23"/>
      <c r="MM148" s="23"/>
      <c r="MN148" s="23"/>
      <c r="MO148" s="23"/>
      <c r="MP148" s="23"/>
      <c r="MQ148" s="23"/>
      <c r="MR148" s="23"/>
      <c r="MS148" s="23"/>
      <c r="MT148" s="23"/>
      <c r="MU148" s="23"/>
      <c r="MV148" s="23"/>
      <c r="MW148" s="23"/>
      <c r="MX148" s="23"/>
      <c r="MY148" s="23"/>
      <c r="MZ148" s="23"/>
      <c r="NA148" s="23"/>
      <c r="NB148" s="23"/>
      <c r="NC148" s="23"/>
      <c r="ND148" s="23"/>
      <c r="NE148" s="23"/>
      <c r="NF148" s="23"/>
      <c r="NG148" s="23"/>
      <c r="NH148" s="23"/>
      <c r="NI148" s="23"/>
      <c r="NJ148" s="23"/>
      <c r="NK148" s="23"/>
      <c r="NL148" s="23"/>
      <c r="NM148" s="23"/>
      <c r="NN148" s="23"/>
      <c r="NO148" s="23"/>
      <c r="NP148" s="23"/>
      <c r="NQ148" s="23"/>
      <c r="NR148" s="23"/>
      <c r="NS148" s="23"/>
      <c r="NT148" s="23"/>
      <c r="NU148" s="23"/>
      <c r="NV148" s="23"/>
      <c r="NW148" s="23"/>
      <c r="NX148" s="23"/>
      <c r="NY148" s="23"/>
      <c r="NZ148" s="23"/>
      <c r="OA148" s="23"/>
      <c r="OB148" s="23"/>
      <c r="OC148" s="23"/>
      <c r="OD148" s="23"/>
      <c r="OE148" s="23"/>
      <c r="OF148" s="23"/>
      <c r="OG148" s="23"/>
      <c r="OH148" s="23"/>
      <c r="OI148" s="23"/>
      <c r="OJ148" s="23"/>
      <c r="OK148" s="23"/>
      <c r="OL148" s="23"/>
      <c r="OM148" s="23"/>
      <c r="ON148" s="23"/>
      <c r="OO148" s="23"/>
      <c r="OP148" s="23"/>
      <c r="OQ148" s="23"/>
      <c r="OR148" s="23"/>
      <c r="OS148" s="23"/>
      <c r="OT148" s="23"/>
      <c r="OU148" s="23"/>
      <c r="OV148" s="23"/>
      <c r="OW148" s="23"/>
      <c r="OX148" s="23"/>
      <c r="OY148" s="23"/>
      <c r="OZ148" s="23"/>
      <c r="PA148" s="23"/>
      <c r="PB148" s="23"/>
      <c r="PC148" s="23"/>
      <c r="PD148" s="23"/>
      <c r="PE148" s="23"/>
      <c r="PF148" s="23"/>
      <c r="PG148" s="23"/>
      <c r="PH148" s="23"/>
      <c r="PI148" s="23"/>
      <c r="PJ148" s="23"/>
      <c r="PK148" s="23"/>
      <c r="PL148" s="23"/>
      <c r="PM148" s="23"/>
      <c r="PN148" s="23"/>
      <c r="PO148" s="23"/>
      <c r="PP148" s="23"/>
      <c r="PQ148" s="23"/>
      <c r="PR148" s="23"/>
      <c r="PS148" s="23"/>
      <c r="PT148" s="23"/>
      <c r="PU148" s="23"/>
      <c r="PV148" s="23"/>
      <c r="PW148" s="23"/>
      <c r="PX148" s="23"/>
      <c r="PY148" s="23"/>
      <c r="PZ148" s="23"/>
      <c r="QA148" s="23"/>
      <c r="QB148" s="23"/>
      <c r="QC148" s="23"/>
      <c r="QD148" s="23"/>
      <c r="QE148" s="23"/>
      <c r="QF148" s="23"/>
      <c r="QG148" s="23"/>
      <c r="QH148" s="23"/>
      <c r="QI148" s="23"/>
      <c r="QJ148" s="23"/>
      <c r="QK148" s="23"/>
      <c r="QL148" s="23"/>
      <c r="QM148" s="23"/>
      <c r="QN148" s="23"/>
      <c r="QO148" s="23"/>
      <c r="QP148" s="23"/>
      <c r="QQ148" s="23"/>
      <c r="QR148" s="23"/>
      <c r="QS148" s="23"/>
      <c r="QT148" s="23"/>
      <c r="QU148" s="23"/>
      <c r="QV148" s="23"/>
      <c r="QW148" s="23"/>
      <c r="QX148" s="23"/>
      <c r="QY148" s="23"/>
      <c r="QZ148" s="23"/>
      <c r="RA148" s="23"/>
      <c r="RB148" s="23"/>
      <c r="RC148" s="23"/>
      <c r="RD148" s="23"/>
      <c r="RE148" s="23"/>
      <c r="RF148" s="23"/>
      <c r="RG148" s="23"/>
      <c r="RH148" s="23"/>
      <c r="RI148" s="23"/>
      <c r="RJ148" s="23"/>
      <c r="RK148" s="23"/>
      <c r="RL148" s="23"/>
      <c r="RM148" s="23"/>
      <c r="RN148" s="23"/>
      <c r="RO148" s="23"/>
      <c r="RP148" s="23"/>
      <c r="RQ148" s="23"/>
      <c r="RR148" s="23"/>
      <c r="RS148" s="23"/>
      <c r="RT148" s="23"/>
      <c r="RU148" s="23"/>
      <c r="RV148" s="23"/>
      <c r="RW148" s="23"/>
      <c r="RX148" s="23"/>
      <c r="RY148" s="23"/>
      <c r="RZ148" s="23"/>
      <c r="SA148" s="23"/>
      <c r="SB148" s="23"/>
      <c r="SC148" s="23"/>
      <c r="SD148" s="23"/>
      <c r="SE148" s="23"/>
      <c r="SF148" s="23"/>
      <c r="SG148" s="23"/>
      <c r="SH148" s="23"/>
      <c r="SI148" s="23"/>
      <c r="SJ148" s="23"/>
      <c r="SK148" s="23"/>
      <c r="SL148" s="23"/>
      <c r="SM148" s="23"/>
      <c r="SN148" s="23"/>
      <c r="SO148" s="23"/>
      <c r="SP148" s="23"/>
      <c r="SQ148" s="23"/>
      <c r="SR148" s="23"/>
      <c r="SS148" s="23"/>
      <c r="ST148" s="23"/>
      <c r="SU148" s="23"/>
      <c r="SV148" s="23"/>
      <c r="SW148" s="23"/>
      <c r="SX148" s="23"/>
      <c r="SY148" s="23"/>
      <c r="SZ148" s="23"/>
      <c r="TA148" s="23"/>
      <c r="TB148" s="23"/>
      <c r="TC148" s="23"/>
      <c r="TD148" s="23"/>
      <c r="TE148" s="23"/>
      <c r="TF148" s="23"/>
      <c r="TG148" s="23"/>
    </row>
    <row r="149" spans="1:527" s="24" customFormat="1" ht="47.25" hidden="1" customHeight="1" x14ac:dyDescent="0.25">
      <c r="A149" s="84"/>
      <c r="B149" s="111"/>
      <c r="C149" s="111"/>
      <c r="D149" s="124" t="s">
        <v>391</v>
      </c>
      <c r="E149" s="101">
        <f t="shared" si="53"/>
        <v>0</v>
      </c>
      <c r="F149" s="101"/>
      <c r="G149" s="101"/>
      <c r="H149" s="101"/>
      <c r="I149" s="101"/>
      <c r="J149" s="101">
        <f t="shared" si="55"/>
        <v>0</v>
      </c>
      <c r="K149" s="101"/>
      <c r="L149" s="101"/>
      <c r="M149" s="101"/>
      <c r="N149" s="101"/>
      <c r="O149" s="101"/>
      <c r="P149" s="101">
        <f t="shared" si="54"/>
        <v>0</v>
      </c>
      <c r="Q149" s="30"/>
      <c r="R149" s="32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  <c r="IV149" s="30"/>
      <c r="IW149" s="30"/>
      <c r="IX149" s="30"/>
      <c r="IY149" s="30"/>
      <c r="IZ149" s="30"/>
      <c r="JA149" s="30"/>
      <c r="JB149" s="30"/>
      <c r="JC149" s="30"/>
      <c r="JD149" s="30"/>
      <c r="JE149" s="30"/>
      <c r="JF149" s="30"/>
      <c r="JG149" s="30"/>
      <c r="JH149" s="30"/>
      <c r="JI149" s="30"/>
      <c r="JJ149" s="30"/>
      <c r="JK149" s="30"/>
      <c r="JL149" s="30"/>
      <c r="JM149" s="30"/>
      <c r="JN149" s="30"/>
      <c r="JO149" s="30"/>
      <c r="JP149" s="30"/>
      <c r="JQ149" s="30"/>
      <c r="JR149" s="30"/>
      <c r="JS149" s="30"/>
      <c r="JT149" s="30"/>
      <c r="JU149" s="30"/>
      <c r="JV149" s="30"/>
      <c r="JW149" s="30"/>
      <c r="JX149" s="30"/>
      <c r="JY149" s="30"/>
      <c r="JZ149" s="30"/>
      <c r="KA149" s="30"/>
      <c r="KB149" s="30"/>
      <c r="KC149" s="30"/>
      <c r="KD149" s="30"/>
      <c r="KE149" s="30"/>
      <c r="KF149" s="30"/>
      <c r="KG149" s="30"/>
      <c r="KH149" s="30"/>
      <c r="KI149" s="30"/>
      <c r="KJ149" s="30"/>
      <c r="KK149" s="30"/>
      <c r="KL149" s="30"/>
      <c r="KM149" s="30"/>
      <c r="KN149" s="30"/>
      <c r="KO149" s="30"/>
      <c r="KP149" s="30"/>
      <c r="KQ149" s="30"/>
      <c r="KR149" s="30"/>
      <c r="KS149" s="30"/>
      <c r="KT149" s="30"/>
      <c r="KU149" s="30"/>
      <c r="KV149" s="30"/>
      <c r="KW149" s="30"/>
      <c r="KX149" s="30"/>
      <c r="KY149" s="30"/>
      <c r="KZ149" s="30"/>
      <c r="LA149" s="30"/>
      <c r="LB149" s="30"/>
      <c r="LC149" s="30"/>
      <c r="LD149" s="30"/>
      <c r="LE149" s="30"/>
      <c r="LF149" s="30"/>
      <c r="LG149" s="30"/>
      <c r="LH149" s="30"/>
      <c r="LI149" s="30"/>
      <c r="LJ149" s="30"/>
      <c r="LK149" s="30"/>
      <c r="LL149" s="30"/>
      <c r="LM149" s="30"/>
      <c r="LN149" s="30"/>
      <c r="LO149" s="30"/>
      <c r="LP149" s="30"/>
      <c r="LQ149" s="30"/>
      <c r="LR149" s="30"/>
      <c r="LS149" s="30"/>
      <c r="LT149" s="30"/>
      <c r="LU149" s="30"/>
      <c r="LV149" s="30"/>
      <c r="LW149" s="30"/>
      <c r="LX149" s="30"/>
      <c r="LY149" s="30"/>
      <c r="LZ149" s="30"/>
      <c r="MA149" s="30"/>
      <c r="MB149" s="30"/>
      <c r="MC149" s="30"/>
      <c r="MD149" s="30"/>
      <c r="ME149" s="30"/>
      <c r="MF149" s="30"/>
      <c r="MG149" s="30"/>
      <c r="MH149" s="30"/>
      <c r="MI149" s="30"/>
      <c r="MJ149" s="30"/>
      <c r="MK149" s="30"/>
      <c r="ML149" s="30"/>
      <c r="MM149" s="30"/>
      <c r="MN149" s="30"/>
      <c r="MO149" s="30"/>
      <c r="MP149" s="30"/>
      <c r="MQ149" s="30"/>
      <c r="MR149" s="30"/>
      <c r="MS149" s="30"/>
      <c r="MT149" s="30"/>
      <c r="MU149" s="30"/>
      <c r="MV149" s="30"/>
      <c r="MW149" s="30"/>
      <c r="MX149" s="30"/>
      <c r="MY149" s="30"/>
      <c r="MZ149" s="30"/>
      <c r="NA149" s="30"/>
      <c r="NB149" s="30"/>
      <c r="NC149" s="30"/>
      <c r="ND149" s="30"/>
      <c r="NE149" s="30"/>
      <c r="NF149" s="30"/>
      <c r="NG149" s="30"/>
      <c r="NH149" s="30"/>
      <c r="NI149" s="30"/>
      <c r="NJ149" s="30"/>
      <c r="NK149" s="30"/>
      <c r="NL149" s="30"/>
      <c r="NM149" s="30"/>
      <c r="NN149" s="30"/>
      <c r="NO149" s="30"/>
      <c r="NP149" s="30"/>
      <c r="NQ149" s="30"/>
      <c r="NR149" s="30"/>
      <c r="NS149" s="30"/>
      <c r="NT149" s="30"/>
      <c r="NU149" s="30"/>
      <c r="NV149" s="30"/>
      <c r="NW149" s="30"/>
      <c r="NX149" s="30"/>
      <c r="NY149" s="30"/>
      <c r="NZ149" s="30"/>
      <c r="OA149" s="30"/>
      <c r="OB149" s="30"/>
      <c r="OC149" s="30"/>
      <c r="OD149" s="30"/>
      <c r="OE149" s="30"/>
      <c r="OF149" s="30"/>
      <c r="OG149" s="30"/>
      <c r="OH149" s="30"/>
      <c r="OI149" s="30"/>
      <c r="OJ149" s="30"/>
      <c r="OK149" s="30"/>
      <c r="OL149" s="30"/>
      <c r="OM149" s="30"/>
      <c r="ON149" s="30"/>
      <c r="OO149" s="30"/>
      <c r="OP149" s="30"/>
      <c r="OQ149" s="30"/>
      <c r="OR149" s="30"/>
      <c r="OS149" s="30"/>
      <c r="OT149" s="30"/>
      <c r="OU149" s="30"/>
      <c r="OV149" s="30"/>
      <c r="OW149" s="30"/>
      <c r="OX149" s="30"/>
      <c r="OY149" s="30"/>
      <c r="OZ149" s="30"/>
      <c r="PA149" s="30"/>
      <c r="PB149" s="30"/>
      <c r="PC149" s="30"/>
      <c r="PD149" s="30"/>
      <c r="PE149" s="30"/>
      <c r="PF149" s="30"/>
      <c r="PG149" s="30"/>
      <c r="PH149" s="30"/>
      <c r="PI149" s="30"/>
      <c r="PJ149" s="30"/>
      <c r="PK149" s="30"/>
      <c r="PL149" s="30"/>
      <c r="PM149" s="30"/>
      <c r="PN149" s="30"/>
      <c r="PO149" s="30"/>
      <c r="PP149" s="30"/>
      <c r="PQ149" s="30"/>
      <c r="PR149" s="30"/>
      <c r="PS149" s="30"/>
      <c r="PT149" s="30"/>
      <c r="PU149" s="30"/>
      <c r="PV149" s="30"/>
      <c r="PW149" s="30"/>
      <c r="PX149" s="30"/>
      <c r="PY149" s="30"/>
      <c r="PZ149" s="30"/>
      <c r="QA149" s="30"/>
      <c r="QB149" s="30"/>
      <c r="QC149" s="30"/>
      <c r="QD149" s="30"/>
      <c r="QE149" s="30"/>
      <c r="QF149" s="30"/>
      <c r="QG149" s="30"/>
      <c r="QH149" s="30"/>
      <c r="QI149" s="30"/>
      <c r="QJ149" s="30"/>
      <c r="QK149" s="30"/>
      <c r="QL149" s="30"/>
      <c r="QM149" s="30"/>
      <c r="QN149" s="30"/>
      <c r="QO149" s="30"/>
      <c r="QP149" s="30"/>
      <c r="QQ149" s="30"/>
      <c r="QR149" s="30"/>
      <c r="QS149" s="30"/>
      <c r="QT149" s="30"/>
      <c r="QU149" s="30"/>
      <c r="QV149" s="30"/>
      <c r="QW149" s="30"/>
      <c r="QX149" s="30"/>
      <c r="QY149" s="30"/>
      <c r="QZ149" s="30"/>
      <c r="RA149" s="30"/>
      <c r="RB149" s="30"/>
      <c r="RC149" s="30"/>
      <c r="RD149" s="30"/>
      <c r="RE149" s="30"/>
      <c r="RF149" s="30"/>
      <c r="RG149" s="30"/>
      <c r="RH149" s="30"/>
      <c r="RI149" s="30"/>
      <c r="RJ149" s="30"/>
      <c r="RK149" s="30"/>
      <c r="RL149" s="30"/>
      <c r="RM149" s="30"/>
      <c r="RN149" s="30"/>
      <c r="RO149" s="30"/>
      <c r="RP149" s="30"/>
      <c r="RQ149" s="30"/>
      <c r="RR149" s="30"/>
      <c r="RS149" s="30"/>
      <c r="RT149" s="30"/>
      <c r="RU149" s="30"/>
      <c r="RV149" s="30"/>
      <c r="RW149" s="30"/>
      <c r="RX149" s="30"/>
      <c r="RY149" s="30"/>
      <c r="RZ149" s="30"/>
      <c r="SA149" s="30"/>
      <c r="SB149" s="30"/>
      <c r="SC149" s="30"/>
      <c r="SD149" s="30"/>
      <c r="SE149" s="30"/>
      <c r="SF149" s="30"/>
      <c r="SG149" s="30"/>
      <c r="SH149" s="30"/>
      <c r="SI149" s="30"/>
      <c r="SJ149" s="30"/>
      <c r="SK149" s="30"/>
      <c r="SL149" s="30"/>
      <c r="SM149" s="30"/>
      <c r="SN149" s="30"/>
      <c r="SO149" s="30"/>
      <c r="SP149" s="30"/>
      <c r="SQ149" s="30"/>
      <c r="SR149" s="30"/>
      <c r="SS149" s="30"/>
      <c r="ST149" s="30"/>
      <c r="SU149" s="30"/>
      <c r="SV149" s="30"/>
      <c r="SW149" s="30"/>
      <c r="SX149" s="30"/>
      <c r="SY149" s="30"/>
      <c r="SZ149" s="30"/>
      <c r="TA149" s="30"/>
      <c r="TB149" s="30"/>
      <c r="TC149" s="30"/>
      <c r="TD149" s="30"/>
      <c r="TE149" s="30"/>
      <c r="TF149" s="30"/>
      <c r="TG149" s="30"/>
    </row>
    <row r="150" spans="1:527" s="24" customFormat="1" ht="63" x14ac:dyDescent="0.25">
      <c r="A150" s="84"/>
      <c r="B150" s="111"/>
      <c r="C150" s="111"/>
      <c r="D150" s="124" t="s">
        <v>392</v>
      </c>
      <c r="E150" s="101">
        <f t="shared" si="53"/>
        <v>11403700</v>
      </c>
      <c r="F150" s="101">
        <v>11403700</v>
      </c>
      <c r="G150" s="114"/>
      <c r="H150" s="114"/>
      <c r="I150" s="114"/>
      <c r="J150" s="101">
        <f t="shared" si="55"/>
        <v>0</v>
      </c>
      <c r="K150" s="101"/>
      <c r="L150" s="101"/>
      <c r="M150" s="101"/>
      <c r="N150" s="101"/>
      <c r="O150" s="101"/>
      <c r="P150" s="101">
        <f t="shared" si="54"/>
        <v>11403700</v>
      </c>
      <c r="Q150" s="30"/>
      <c r="R150" s="32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  <c r="IV150" s="30"/>
      <c r="IW150" s="30"/>
      <c r="IX150" s="30"/>
      <c r="IY150" s="30"/>
      <c r="IZ150" s="30"/>
      <c r="JA150" s="30"/>
      <c r="JB150" s="30"/>
      <c r="JC150" s="30"/>
      <c r="JD150" s="30"/>
      <c r="JE150" s="30"/>
      <c r="JF150" s="30"/>
      <c r="JG150" s="30"/>
      <c r="JH150" s="30"/>
      <c r="JI150" s="30"/>
      <c r="JJ150" s="30"/>
      <c r="JK150" s="30"/>
      <c r="JL150" s="30"/>
      <c r="JM150" s="30"/>
      <c r="JN150" s="30"/>
      <c r="JO150" s="30"/>
      <c r="JP150" s="30"/>
      <c r="JQ150" s="30"/>
      <c r="JR150" s="30"/>
      <c r="JS150" s="30"/>
      <c r="JT150" s="30"/>
      <c r="JU150" s="30"/>
      <c r="JV150" s="30"/>
      <c r="JW150" s="30"/>
      <c r="JX150" s="30"/>
      <c r="JY150" s="30"/>
      <c r="JZ150" s="30"/>
      <c r="KA150" s="30"/>
      <c r="KB150" s="30"/>
      <c r="KC150" s="30"/>
      <c r="KD150" s="30"/>
      <c r="KE150" s="30"/>
      <c r="KF150" s="30"/>
      <c r="KG150" s="30"/>
      <c r="KH150" s="30"/>
      <c r="KI150" s="30"/>
      <c r="KJ150" s="30"/>
      <c r="KK150" s="30"/>
      <c r="KL150" s="30"/>
      <c r="KM150" s="30"/>
      <c r="KN150" s="30"/>
      <c r="KO150" s="30"/>
      <c r="KP150" s="30"/>
      <c r="KQ150" s="30"/>
      <c r="KR150" s="30"/>
      <c r="KS150" s="30"/>
      <c r="KT150" s="30"/>
      <c r="KU150" s="30"/>
      <c r="KV150" s="30"/>
      <c r="KW150" s="30"/>
      <c r="KX150" s="30"/>
      <c r="KY150" s="30"/>
      <c r="KZ150" s="30"/>
      <c r="LA150" s="30"/>
      <c r="LB150" s="30"/>
      <c r="LC150" s="30"/>
      <c r="LD150" s="30"/>
      <c r="LE150" s="30"/>
      <c r="LF150" s="30"/>
      <c r="LG150" s="30"/>
      <c r="LH150" s="30"/>
      <c r="LI150" s="30"/>
      <c r="LJ150" s="30"/>
      <c r="LK150" s="30"/>
      <c r="LL150" s="30"/>
      <c r="LM150" s="30"/>
      <c r="LN150" s="30"/>
      <c r="LO150" s="30"/>
      <c r="LP150" s="30"/>
      <c r="LQ150" s="30"/>
      <c r="LR150" s="30"/>
      <c r="LS150" s="30"/>
      <c r="LT150" s="30"/>
      <c r="LU150" s="30"/>
      <c r="LV150" s="30"/>
      <c r="LW150" s="30"/>
      <c r="LX150" s="30"/>
      <c r="LY150" s="30"/>
      <c r="LZ150" s="30"/>
      <c r="MA150" s="30"/>
      <c r="MB150" s="30"/>
      <c r="MC150" s="30"/>
      <c r="MD150" s="30"/>
      <c r="ME150" s="30"/>
      <c r="MF150" s="30"/>
      <c r="MG150" s="30"/>
      <c r="MH150" s="30"/>
      <c r="MI150" s="30"/>
      <c r="MJ150" s="30"/>
      <c r="MK150" s="30"/>
      <c r="ML150" s="30"/>
      <c r="MM150" s="30"/>
      <c r="MN150" s="30"/>
      <c r="MO150" s="30"/>
      <c r="MP150" s="30"/>
      <c r="MQ150" s="30"/>
      <c r="MR150" s="30"/>
      <c r="MS150" s="30"/>
      <c r="MT150" s="30"/>
      <c r="MU150" s="30"/>
      <c r="MV150" s="30"/>
      <c r="MW150" s="30"/>
      <c r="MX150" s="30"/>
      <c r="MY150" s="30"/>
      <c r="MZ150" s="30"/>
      <c r="NA150" s="30"/>
      <c r="NB150" s="30"/>
      <c r="NC150" s="30"/>
      <c r="ND150" s="30"/>
      <c r="NE150" s="30"/>
      <c r="NF150" s="30"/>
      <c r="NG150" s="30"/>
      <c r="NH150" s="30"/>
      <c r="NI150" s="30"/>
      <c r="NJ150" s="30"/>
      <c r="NK150" s="30"/>
      <c r="NL150" s="30"/>
      <c r="NM150" s="30"/>
      <c r="NN150" s="30"/>
      <c r="NO150" s="30"/>
      <c r="NP150" s="30"/>
      <c r="NQ150" s="30"/>
      <c r="NR150" s="30"/>
      <c r="NS150" s="30"/>
      <c r="NT150" s="30"/>
      <c r="NU150" s="30"/>
      <c r="NV150" s="30"/>
      <c r="NW150" s="30"/>
      <c r="NX150" s="30"/>
      <c r="NY150" s="30"/>
      <c r="NZ150" s="30"/>
      <c r="OA150" s="30"/>
      <c r="OB150" s="30"/>
      <c r="OC150" s="30"/>
      <c r="OD150" s="30"/>
      <c r="OE150" s="30"/>
      <c r="OF150" s="30"/>
      <c r="OG150" s="30"/>
      <c r="OH150" s="30"/>
      <c r="OI150" s="30"/>
      <c r="OJ150" s="30"/>
      <c r="OK150" s="30"/>
      <c r="OL150" s="30"/>
      <c r="OM150" s="30"/>
      <c r="ON150" s="30"/>
      <c r="OO150" s="30"/>
      <c r="OP150" s="30"/>
      <c r="OQ150" s="30"/>
      <c r="OR150" s="30"/>
      <c r="OS150" s="30"/>
      <c r="OT150" s="30"/>
      <c r="OU150" s="30"/>
      <c r="OV150" s="30"/>
      <c r="OW150" s="30"/>
      <c r="OX150" s="30"/>
      <c r="OY150" s="30"/>
      <c r="OZ150" s="30"/>
      <c r="PA150" s="30"/>
      <c r="PB150" s="30"/>
      <c r="PC150" s="30"/>
      <c r="PD150" s="30"/>
      <c r="PE150" s="30"/>
      <c r="PF150" s="30"/>
      <c r="PG150" s="30"/>
      <c r="PH150" s="30"/>
      <c r="PI150" s="30"/>
      <c r="PJ150" s="30"/>
      <c r="PK150" s="30"/>
      <c r="PL150" s="30"/>
      <c r="PM150" s="30"/>
      <c r="PN150" s="30"/>
      <c r="PO150" s="30"/>
      <c r="PP150" s="30"/>
      <c r="PQ150" s="30"/>
      <c r="PR150" s="30"/>
      <c r="PS150" s="30"/>
      <c r="PT150" s="30"/>
      <c r="PU150" s="30"/>
      <c r="PV150" s="30"/>
      <c r="PW150" s="30"/>
      <c r="PX150" s="30"/>
      <c r="PY150" s="30"/>
      <c r="PZ150" s="30"/>
      <c r="QA150" s="30"/>
      <c r="QB150" s="30"/>
      <c r="QC150" s="30"/>
      <c r="QD150" s="30"/>
      <c r="QE150" s="30"/>
      <c r="QF150" s="30"/>
      <c r="QG150" s="30"/>
      <c r="QH150" s="30"/>
      <c r="QI150" s="30"/>
      <c r="QJ150" s="30"/>
      <c r="QK150" s="30"/>
      <c r="QL150" s="30"/>
      <c r="QM150" s="30"/>
      <c r="QN150" s="30"/>
      <c r="QO150" s="30"/>
      <c r="QP150" s="30"/>
      <c r="QQ150" s="30"/>
      <c r="QR150" s="30"/>
      <c r="QS150" s="30"/>
      <c r="QT150" s="30"/>
      <c r="QU150" s="30"/>
      <c r="QV150" s="30"/>
      <c r="QW150" s="30"/>
      <c r="QX150" s="30"/>
      <c r="QY150" s="30"/>
      <c r="QZ150" s="30"/>
      <c r="RA150" s="30"/>
      <c r="RB150" s="30"/>
      <c r="RC150" s="30"/>
      <c r="RD150" s="30"/>
      <c r="RE150" s="30"/>
      <c r="RF150" s="30"/>
      <c r="RG150" s="30"/>
      <c r="RH150" s="30"/>
      <c r="RI150" s="30"/>
      <c r="RJ150" s="30"/>
      <c r="RK150" s="30"/>
      <c r="RL150" s="30"/>
      <c r="RM150" s="30"/>
      <c r="RN150" s="30"/>
      <c r="RO150" s="30"/>
      <c r="RP150" s="30"/>
      <c r="RQ150" s="30"/>
      <c r="RR150" s="30"/>
      <c r="RS150" s="30"/>
      <c r="RT150" s="30"/>
      <c r="RU150" s="30"/>
      <c r="RV150" s="30"/>
      <c r="RW150" s="30"/>
      <c r="RX150" s="30"/>
      <c r="RY150" s="30"/>
      <c r="RZ150" s="30"/>
      <c r="SA150" s="30"/>
      <c r="SB150" s="30"/>
      <c r="SC150" s="30"/>
      <c r="SD150" s="30"/>
      <c r="SE150" s="30"/>
      <c r="SF150" s="30"/>
      <c r="SG150" s="30"/>
      <c r="SH150" s="30"/>
      <c r="SI150" s="30"/>
      <c r="SJ150" s="30"/>
      <c r="SK150" s="30"/>
      <c r="SL150" s="30"/>
      <c r="SM150" s="30"/>
      <c r="SN150" s="30"/>
      <c r="SO150" s="30"/>
      <c r="SP150" s="30"/>
      <c r="SQ150" s="30"/>
      <c r="SR150" s="30"/>
      <c r="SS150" s="30"/>
      <c r="ST150" s="30"/>
      <c r="SU150" s="30"/>
      <c r="SV150" s="30"/>
      <c r="SW150" s="30"/>
      <c r="SX150" s="30"/>
      <c r="SY150" s="30"/>
      <c r="SZ150" s="30"/>
      <c r="TA150" s="30"/>
      <c r="TB150" s="30"/>
      <c r="TC150" s="30"/>
      <c r="TD150" s="30"/>
      <c r="TE150" s="30"/>
      <c r="TF150" s="30"/>
      <c r="TG150" s="30"/>
    </row>
    <row r="151" spans="1:527" s="22" customFormat="1" ht="30" customHeight="1" x14ac:dyDescent="0.25">
      <c r="A151" s="59" t="s">
        <v>325</v>
      </c>
      <c r="B151" s="42" t="str">
        <f>'дод 8'!A98</f>
        <v>2151</v>
      </c>
      <c r="C151" s="42" t="str">
        <f>'дод 8'!B98</f>
        <v>0763</v>
      </c>
      <c r="D151" s="60" t="str">
        <f>'дод 8'!C98</f>
        <v>Забезпечення діяльності інших закладів у сфері охорони здоров’я</v>
      </c>
      <c r="E151" s="99">
        <f t="shared" si="53"/>
        <v>3069484</v>
      </c>
      <c r="F151" s="99">
        <v>3069484</v>
      </c>
      <c r="G151" s="115">
        <v>2387600</v>
      </c>
      <c r="H151" s="115">
        <v>68884</v>
      </c>
      <c r="I151" s="113"/>
      <c r="J151" s="99">
        <f t="shared" si="55"/>
        <v>0</v>
      </c>
      <c r="K151" s="99"/>
      <c r="L151" s="99"/>
      <c r="M151" s="99"/>
      <c r="N151" s="99"/>
      <c r="O151" s="99"/>
      <c r="P151" s="99">
        <f t="shared" si="54"/>
        <v>3069484</v>
      </c>
      <c r="Q151" s="23"/>
      <c r="R151" s="32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  <c r="IU151" s="23"/>
      <c r="IV151" s="23"/>
      <c r="IW151" s="23"/>
      <c r="IX151" s="23"/>
      <c r="IY151" s="23"/>
      <c r="IZ151" s="23"/>
      <c r="JA151" s="23"/>
      <c r="JB151" s="23"/>
      <c r="JC151" s="23"/>
      <c r="JD151" s="23"/>
      <c r="JE151" s="23"/>
      <c r="JF151" s="23"/>
      <c r="JG151" s="23"/>
      <c r="JH151" s="23"/>
      <c r="JI151" s="23"/>
      <c r="JJ151" s="23"/>
      <c r="JK151" s="23"/>
      <c r="JL151" s="23"/>
      <c r="JM151" s="23"/>
      <c r="JN151" s="23"/>
      <c r="JO151" s="23"/>
      <c r="JP151" s="23"/>
      <c r="JQ151" s="23"/>
      <c r="JR151" s="23"/>
      <c r="JS151" s="23"/>
      <c r="JT151" s="23"/>
      <c r="JU151" s="23"/>
      <c r="JV151" s="23"/>
      <c r="JW151" s="23"/>
      <c r="JX151" s="23"/>
      <c r="JY151" s="23"/>
      <c r="JZ151" s="23"/>
      <c r="KA151" s="23"/>
      <c r="KB151" s="23"/>
      <c r="KC151" s="23"/>
      <c r="KD151" s="23"/>
      <c r="KE151" s="23"/>
      <c r="KF151" s="23"/>
      <c r="KG151" s="23"/>
      <c r="KH151" s="23"/>
      <c r="KI151" s="23"/>
      <c r="KJ151" s="23"/>
      <c r="KK151" s="23"/>
      <c r="KL151" s="23"/>
      <c r="KM151" s="23"/>
      <c r="KN151" s="23"/>
      <c r="KO151" s="23"/>
      <c r="KP151" s="23"/>
      <c r="KQ151" s="23"/>
      <c r="KR151" s="23"/>
      <c r="KS151" s="23"/>
      <c r="KT151" s="23"/>
      <c r="KU151" s="23"/>
      <c r="KV151" s="23"/>
      <c r="KW151" s="23"/>
      <c r="KX151" s="23"/>
      <c r="KY151" s="23"/>
      <c r="KZ151" s="23"/>
      <c r="LA151" s="23"/>
      <c r="LB151" s="23"/>
      <c r="LC151" s="23"/>
      <c r="LD151" s="23"/>
      <c r="LE151" s="23"/>
      <c r="LF151" s="23"/>
      <c r="LG151" s="23"/>
      <c r="LH151" s="23"/>
      <c r="LI151" s="23"/>
      <c r="LJ151" s="23"/>
      <c r="LK151" s="23"/>
      <c r="LL151" s="23"/>
      <c r="LM151" s="23"/>
      <c r="LN151" s="23"/>
      <c r="LO151" s="23"/>
      <c r="LP151" s="23"/>
      <c r="LQ151" s="23"/>
      <c r="LR151" s="23"/>
      <c r="LS151" s="23"/>
      <c r="LT151" s="23"/>
      <c r="LU151" s="23"/>
      <c r="LV151" s="23"/>
      <c r="LW151" s="23"/>
      <c r="LX151" s="23"/>
      <c r="LY151" s="23"/>
      <c r="LZ151" s="23"/>
      <c r="MA151" s="23"/>
      <c r="MB151" s="23"/>
      <c r="MC151" s="23"/>
      <c r="MD151" s="23"/>
      <c r="ME151" s="23"/>
      <c r="MF151" s="23"/>
      <c r="MG151" s="23"/>
      <c r="MH151" s="23"/>
      <c r="MI151" s="23"/>
      <c r="MJ151" s="23"/>
      <c r="MK151" s="23"/>
      <c r="ML151" s="23"/>
      <c r="MM151" s="23"/>
      <c r="MN151" s="23"/>
      <c r="MO151" s="23"/>
      <c r="MP151" s="23"/>
      <c r="MQ151" s="23"/>
      <c r="MR151" s="23"/>
      <c r="MS151" s="23"/>
      <c r="MT151" s="23"/>
      <c r="MU151" s="23"/>
      <c r="MV151" s="23"/>
      <c r="MW151" s="23"/>
      <c r="MX151" s="23"/>
      <c r="MY151" s="23"/>
      <c r="MZ151" s="23"/>
      <c r="NA151" s="23"/>
      <c r="NB151" s="23"/>
      <c r="NC151" s="23"/>
      <c r="ND151" s="23"/>
      <c r="NE151" s="23"/>
      <c r="NF151" s="23"/>
      <c r="NG151" s="23"/>
      <c r="NH151" s="23"/>
      <c r="NI151" s="23"/>
      <c r="NJ151" s="23"/>
      <c r="NK151" s="23"/>
      <c r="NL151" s="23"/>
      <c r="NM151" s="23"/>
      <c r="NN151" s="23"/>
      <c r="NO151" s="23"/>
      <c r="NP151" s="23"/>
      <c r="NQ151" s="23"/>
      <c r="NR151" s="23"/>
      <c r="NS151" s="23"/>
      <c r="NT151" s="23"/>
      <c r="NU151" s="23"/>
      <c r="NV151" s="23"/>
      <c r="NW151" s="23"/>
      <c r="NX151" s="23"/>
      <c r="NY151" s="23"/>
      <c r="NZ151" s="23"/>
      <c r="OA151" s="23"/>
      <c r="OB151" s="23"/>
      <c r="OC151" s="23"/>
      <c r="OD151" s="23"/>
      <c r="OE151" s="23"/>
      <c r="OF151" s="23"/>
      <c r="OG151" s="23"/>
      <c r="OH151" s="23"/>
      <c r="OI151" s="23"/>
      <c r="OJ151" s="23"/>
      <c r="OK151" s="23"/>
      <c r="OL151" s="23"/>
      <c r="OM151" s="23"/>
      <c r="ON151" s="23"/>
      <c r="OO151" s="23"/>
      <c r="OP151" s="23"/>
      <c r="OQ151" s="23"/>
      <c r="OR151" s="23"/>
      <c r="OS151" s="23"/>
      <c r="OT151" s="23"/>
      <c r="OU151" s="23"/>
      <c r="OV151" s="23"/>
      <c r="OW151" s="23"/>
      <c r="OX151" s="23"/>
      <c r="OY151" s="23"/>
      <c r="OZ151" s="23"/>
      <c r="PA151" s="23"/>
      <c r="PB151" s="23"/>
      <c r="PC151" s="23"/>
      <c r="PD151" s="23"/>
      <c r="PE151" s="23"/>
      <c r="PF151" s="23"/>
      <c r="PG151" s="23"/>
      <c r="PH151" s="23"/>
      <c r="PI151" s="23"/>
      <c r="PJ151" s="23"/>
      <c r="PK151" s="23"/>
      <c r="PL151" s="23"/>
      <c r="PM151" s="23"/>
      <c r="PN151" s="23"/>
      <c r="PO151" s="23"/>
      <c r="PP151" s="23"/>
      <c r="PQ151" s="23"/>
      <c r="PR151" s="23"/>
      <c r="PS151" s="23"/>
      <c r="PT151" s="23"/>
      <c r="PU151" s="23"/>
      <c r="PV151" s="23"/>
      <c r="PW151" s="23"/>
      <c r="PX151" s="23"/>
      <c r="PY151" s="23"/>
      <c r="PZ151" s="23"/>
      <c r="QA151" s="23"/>
      <c r="QB151" s="23"/>
      <c r="QC151" s="23"/>
      <c r="QD151" s="23"/>
      <c r="QE151" s="23"/>
      <c r="QF151" s="23"/>
      <c r="QG151" s="23"/>
      <c r="QH151" s="23"/>
      <c r="QI151" s="23"/>
      <c r="QJ151" s="23"/>
      <c r="QK151" s="23"/>
      <c r="QL151" s="23"/>
      <c r="QM151" s="23"/>
      <c r="QN151" s="23"/>
      <c r="QO151" s="23"/>
      <c r="QP151" s="23"/>
      <c r="QQ151" s="23"/>
      <c r="QR151" s="23"/>
      <c r="QS151" s="23"/>
      <c r="QT151" s="23"/>
      <c r="QU151" s="23"/>
      <c r="QV151" s="23"/>
      <c r="QW151" s="23"/>
      <c r="QX151" s="23"/>
      <c r="QY151" s="23"/>
      <c r="QZ151" s="23"/>
      <c r="RA151" s="23"/>
      <c r="RB151" s="23"/>
      <c r="RC151" s="23"/>
      <c r="RD151" s="23"/>
      <c r="RE151" s="23"/>
      <c r="RF151" s="23"/>
      <c r="RG151" s="23"/>
      <c r="RH151" s="23"/>
      <c r="RI151" s="23"/>
      <c r="RJ151" s="23"/>
      <c r="RK151" s="23"/>
      <c r="RL151" s="23"/>
      <c r="RM151" s="23"/>
      <c r="RN151" s="23"/>
      <c r="RO151" s="23"/>
      <c r="RP151" s="23"/>
      <c r="RQ151" s="23"/>
      <c r="RR151" s="23"/>
      <c r="RS151" s="23"/>
      <c r="RT151" s="23"/>
      <c r="RU151" s="23"/>
      <c r="RV151" s="23"/>
      <c r="RW151" s="23"/>
      <c r="RX151" s="23"/>
      <c r="RY151" s="23"/>
      <c r="RZ151" s="23"/>
      <c r="SA151" s="23"/>
      <c r="SB151" s="23"/>
      <c r="SC151" s="23"/>
      <c r="SD151" s="23"/>
      <c r="SE151" s="23"/>
      <c r="SF151" s="23"/>
      <c r="SG151" s="23"/>
      <c r="SH151" s="23"/>
      <c r="SI151" s="23"/>
      <c r="SJ151" s="23"/>
      <c r="SK151" s="23"/>
      <c r="SL151" s="23"/>
      <c r="SM151" s="23"/>
      <c r="SN151" s="23"/>
      <c r="SO151" s="23"/>
      <c r="SP151" s="23"/>
      <c r="SQ151" s="23"/>
      <c r="SR151" s="23"/>
      <c r="SS151" s="23"/>
      <c r="ST151" s="23"/>
      <c r="SU151" s="23"/>
      <c r="SV151" s="23"/>
      <c r="SW151" s="23"/>
      <c r="SX151" s="23"/>
      <c r="SY151" s="23"/>
      <c r="SZ151" s="23"/>
      <c r="TA151" s="23"/>
      <c r="TB151" s="23"/>
      <c r="TC151" s="23"/>
      <c r="TD151" s="23"/>
      <c r="TE151" s="23"/>
      <c r="TF151" s="23"/>
      <c r="TG151" s="23"/>
    </row>
    <row r="152" spans="1:527" s="22" customFormat="1" ht="24.75" customHeight="1" x14ac:dyDescent="0.25">
      <c r="A152" s="59" t="s">
        <v>326</v>
      </c>
      <c r="B152" s="42" t="str">
        <f>'дод 8'!A99</f>
        <v>2152</v>
      </c>
      <c r="C152" s="42" t="str">
        <f>'дод 8'!B99</f>
        <v>0763</v>
      </c>
      <c r="D152" s="36" t="str">
        <f>'дод 8'!C99</f>
        <v>Інші програми та заходи у сфері охорони здоров’я</v>
      </c>
      <c r="E152" s="99">
        <f>F152+I152</f>
        <v>20438800</v>
      </c>
      <c r="F152" s="99">
        <v>20438800</v>
      </c>
      <c r="G152" s="99"/>
      <c r="H152" s="99"/>
      <c r="I152" s="99"/>
      <c r="J152" s="99">
        <f t="shared" si="55"/>
        <v>39891354</v>
      </c>
      <c r="K152" s="99">
        <f>23031354+13000000+3860000</f>
        <v>39891354</v>
      </c>
      <c r="L152" s="99"/>
      <c r="M152" s="99"/>
      <c r="N152" s="99"/>
      <c r="O152" s="99">
        <f>23031354+13000000+3860000</f>
        <v>39891354</v>
      </c>
      <c r="P152" s="99">
        <f t="shared" si="54"/>
        <v>60330154</v>
      </c>
      <c r="Q152" s="23"/>
      <c r="R152" s="32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  <c r="IW152" s="23"/>
      <c r="IX152" s="23"/>
      <c r="IY152" s="23"/>
      <c r="IZ152" s="23"/>
      <c r="JA152" s="23"/>
      <c r="JB152" s="23"/>
      <c r="JC152" s="23"/>
      <c r="JD152" s="23"/>
      <c r="JE152" s="23"/>
      <c r="JF152" s="23"/>
      <c r="JG152" s="23"/>
      <c r="JH152" s="23"/>
      <c r="JI152" s="23"/>
      <c r="JJ152" s="23"/>
      <c r="JK152" s="23"/>
      <c r="JL152" s="23"/>
      <c r="JM152" s="23"/>
      <c r="JN152" s="23"/>
      <c r="JO152" s="23"/>
      <c r="JP152" s="23"/>
      <c r="JQ152" s="23"/>
      <c r="JR152" s="23"/>
      <c r="JS152" s="23"/>
      <c r="JT152" s="23"/>
      <c r="JU152" s="23"/>
      <c r="JV152" s="23"/>
      <c r="JW152" s="23"/>
      <c r="JX152" s="23"/>
      <c r="JY152" s="23"/>
      <c r="JZ152" s="23"/>
      <c r="KA152" s="23"/>
      <c r="KB152" s="23"/>
      <c r="KC152" s="23"/>
      <c r="KD152" s="23"/>
      <c r="KE152" s="23"/>
      <c r="KF152" s="23"/>
      <c r="KG152" s="23"/>
      <c r="KH152" s="23"/>
      <c r="KI152" s="23"/>
      <c r="KJ152" s="23"/>
      <c r="KK152" s="23"/>
      <c r="KL152" s="23"/>
      <c r="KM152" s="23"/>
      <c r="KN152" s="23"/>
      <c r="KO152" s="23"/>
      <c r="KP152" s="23"/>
      <c r="KQ152" s="23"/>
      <c r="KR152" s="23"/>
      <c r="KS152" s="23"/>
      <c r="KT152" s="23"/>
      <c r="KU152" s="23"/>
      <c r="KV152" s="23"/>
      <c r="KW152" s="23"/>
      <c r="KX152" s="23"/>
      <c r="KY152" s="23"/>
      <c r="KZ152" s="23"/>
      <c r="LA152" s="23"/>
      <c r="LB152" s="23"/>
      <c r="LC152" s="23"/>
      <c r="LD152" s="23"/>
      <c r="LE152" s="23"/>
      <c r="LF152" s="23"/>
      <c r="LG152" s="23"/>
      <c r="LH152" s="23"/>
      <c r="LI152" s="23"/>
      <c r="LJ152" s="23"/>
      <c r="LK152" s="23"/>
      <c r="LL152" s="23"/>
      <c r="LM152" s="23"/>
      <c r="LN152" s="23"/>
      <c r="LO152" s="23"/>
      <c r="LP152" s="23"/>
      <c r="LQ152" s="23"/>
      <c r="LR152" s="23"/>
      <c r="LS152" s="23"/>
      <c r="LT152" s="23"/>
      <c r="LU152" s="23"/>
      <c r="LV152" s="23"/>
      <c r="LW152" s="23"/>
      <c r="LX152" s="23"/>
      <c r="LY152" s="23"/>
      <c r="LZ152" s="23"/>
      <c r="MA152" s="23"/>
      <c r="MB152" s="23"/>
      <c r="MC152" s="23"/>
      <c r="MD152" s="23"/>
      <c r="ME152" s="23"/>
      <c r="MF152" s="23"/>
      <c r="MG152" s="23"/>
      <c r="MH152" s="23"/>
      <c r="MI152" s="23"/>
      <c r="MJ152" s="23"/>
      <c r="MK152" s="23"/>
      <c r="ML152" s="23"/>
      <c r="MM152" s="23"/>
      <c r="MN152" s="23"/>
      <c r="MO152" s="23"/>
      <c r="MP152" s="23"/>
      <c r="MQ152" s="23"/>
      <c r="MR152" s="23"/>
      <c r="MS152" s="23"/>
      <c r="MT152" s="23"/>
      <c r="MU152" s="23"/>
      <c r="MV152" s="23"/>
      <c r="MW152" s="23"/>
      <c r="MX152" s="23"/>
      <c r="MY152" s="23"/>
      <c r="MZ152" s="23"/>
      <c r="NA152" s="23"/>
      <c r="NB152" s="23"/>
      <c r="NC152" s="23"/>
      <c r="ND152" s="23"/>
      <c r="NE152" s="23"/>
      <c r="NF152" s="23"/>
      <c r="NG152" s="23"/>
      <c r="NH152" s="23"/>
      <c r="NI152" s="23"/>
      <c r="NJ152" s="23"/>
      <c r="NK152" s="23"/>
      <c r="NL152" s="23"/>
      <c r="NM152" s="23"/>
      <c r="NN152" s="23"/>
      <c r="NO152" s="23"/>
      <c r="NP152" s="23"/>
      <c r="NQ152" s="23"/>
      <c r="NR152" s="23"/>
      <c r="NS152" s="23"/>
      <c r="NT152" s="23"/>
      <c r="NU152" s="23"/>
      <c r="NV152" s="23"/>
      <c r="NW152" s="23"/>
      <c r="NX152" s="23"/>
      <c r="NY152" s="23"/>
      <c r="NZ152" s="23"/>
      <c r="OA152" s="23"/>
      <c r="OB152" s="23"/>
      <c r="OC152" s="23"/>
      <c r="OD152" s="23"/>
      <c r="OE152" s="23"/>
      <c r="OF152" s="23"/>
      <c r="OG152" s="23"/>
      <c r="OH152" s="23"/>
      <c r="OI152" s="23"/>
      <c r="OJ152" s="23"/>
      <c r="OK152" s="23"/>
      <c r="OL152" s="23"/>
      <c r="OM152" s="23"/>
      <c r="ON152" s="23"/>
      <c r="OO152" s="23"/>
      <c r="OP152" s="23"/>
      <c r="OQ152" s="23"/>
      <c r="OR152" s="23"/>
      <c r="OS152" s="23"/>
      <c r="OT152" s="23"/>
      <c r="OU152" s="23"/>
      <c r="OV152" s="23"/>
      <c r="OW152" s="23"/>
      <c r="OX152" s="23"/>
      <c r="OY152" s="23"/>
      <c r="OZ152" s="23"/>
      <c r="PA152" s="23"/>
      <c r="PB152" s="23"/>
      <c r="PC152" s="23"/>
      <c r="PD152" s="23"/>
      <c r="PE152" s="23"/>
      <c r="PF152" s="23"/>
      <c r="PG152" s="23"/>
      <c r="PH152" s="23"/>
      <c r="PI152" s="23"/>
      <c r="PJ152" s="23"/>
      <c r="PK152" s="23"/>
      <c r="PL152" s="23"/>
      <c r="PM152" s="23"/>
      <c r="PN152" s="23"/>
      <c r="PO152" s="23"/>
      <c r="PP152" s="23"/>
      <c r="PQ152" s="23"/>
      <c r="PR152" s="23"/>
      <c r="PS152" s="23"/>
      <c r="PT152" s="23"/>
      <c r="PU152" s="23"/>
      <c r="PV152" s="23"/>
      <c r="PW152" s="23"/>
      <c r="PX152" s="23"/>
      <c r="PY152" s="23"/>
      <c r="PZ152" s="23"/>
      <c r="QA152" s="23"/>
      <c r="QB152" s="23"/>
      <c r="QC152" s="23"/>
      <c r="QD152" s="23"/>
      <c r="QE152" s="23"/>
      <c r="QF152" s="23"/>
      <c r="QG152" s="23"/>
      <c r="QH152" s="23"/>
      <c r="QI152" s="23"/>
      <c r="QJ152" s="23"/>
      <c r="QK152" s="23"/>
      <c r="QL152" s="23"/>
      <c r="QM152" s="23"/>
      <c r="QN152" s="23"/>
      <c r="QO152" s="23"/>
      <c r="QP152" s="23"/>
      <c r="QQ152" s="23"/>
      <c r="QR152" s="23"/>
      <c r="QS152" s="23"/>
      <c r="QT152" s="23"/>
      <c r="QU152" s="23"/>
      <c r="QV152" s="23"/>
      <c r="QW152" s="23"/>
      <c r="QX152" s="23"/>
      <c r="QY152" s="23"/>
      <c r="QZ152" s="23"/>
      <c r="RA152" s="23"/>
      <c r="RB152" s="23"/>
      <c r="RC152" s="23"/>
      <c r="RD152" s="23"/>
      <c r="RE152" s="23"/>
      <c r="RF152" s="23"/>
      <c r="RG152" s="23"/>
      <c r="RH152" s="23"/>
      <c r="RI152" s="23"/>
      <c r="RJ152" s="23"/>
      <c r="RK152" s="23"/>
      <c r="RL152" s="23"/>
      <c r="RM152" s="23"/>
      <c r="RN152" s="23"/>
      <c r="RO152" s="23"/>
      <c r="RP152" s="23"/>
      <c r="RQ152" s="23"/>
      <c r="RR152" s="23"/>
      <c r="RS152" s="23"/>
      <c r="RT152" s="23"/>
      <c r="RU152" s="23"/>
      <c r="RV152" s="23"/>
      <c r="RW152" s="23"/>
      <c r="RX152" s="23"/>
      <c r="RY152" s="23"/>
      <c r="RZ152" s="23"/>
      <c r="SA152" s="23"/>
      <c r="SB152" s="23"/>
      <c r="SC152" s="23"/>
      <c r="SD152" s="23"/>
      <c r="SE152" s="23"/>
      <c r="SF152" s="23"/>
      <c r="SG152" s="23"/>
      <c r="SH152" s="23"/>
      <c r="SI152" s="23"/>
      <c r="SJ152" s="23"/>
      <c r="SK152" s="23"/>
      <c r="SL152" s="23"/>
      <c r="SM152" s="23"/>
      <c r="SN152" s="23"/>
      <c r="SO152" s="23"/>
      <c r="SP152" s="23"/>
      <c r="SQ152" s="23"/>
      <c r="SR152" s="23"/>
      <c r="SS152" s="23"/>
      <c r="ST152" s="23"/>
      <c r="SU152" s="23"/>
      <c r="SV152" s="23"/>
      <c r="SW152" s="23"/>
      <c r="SX152" s="23"/>
      <c r="SY152" s="23"/>
      <c r="SZ152" s="23"/>
      <c r="TA152" s="23"/>
      <c r="TB152" s="23"/>
      <c r="TC152" s="23"/>
      <c r="TD152" s="23"/>
      <c r="TE152" s="23"/>
      <c r="TF152" s="23"/>
      <c r="TG152" s="23"/>
    </row>
    <row r="153" spans="1:527" s="22" customFormat="1" ht="24.75" customHeight="1" x14ac:dyDescent="0.25">
      <c r="A153" s="59" t="s">
        <v>416</v>
      </c>
      <c r="B153" s="42">
        <v>7322</v>
      </c>
      <c r="C153" s="103" t="s">
        <v>111</v>
      </c>
      <c r="D153" s="6" t="s">
        <v>549</v>
      </c>
      <c r="E153" s="99">
        <f>F153+I153</f>
        <v>0</v>
      </c>
      <c r="F153" s="99"/>
      <c r="G153" s="99"/>
      <c r="H153" s="99"/>
      <c r="I153" s="99"/>
      <c r="J153" s="99">
        <f t="shared" si="55"/>
        <v>35235972</v>
      </c>
      <c r="K153" s="99">
        <f>31128372-45000+3893200+259400</f>
        <v>35235972</v>
      </c>
      <c r="L153" s="99"/>
      <c r="M153" s="99"/>
      <c r="N153" s="99"/>
      <c r="O153" s="99">
        <f>31128372-45000+3893200+259400</f>
        <v>35235972</v>
      </c>
      <c r="P153" s="99">
        <f t="shared" si="54"/>
        <v>35235972</v>
      </c>
      <c r="Q153" s="23"/>
      <c r="R153" s="32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  <c r="IW153" s="23"/>
      <c r="IX153" s="23"/>
      <c r="IY153" s="23"/>
      <c r="IZ153" s="23"/>
      <c r="JA153" s="23"/>
      <c r="JB153" s="23"/>
      <c r="JC153" s="23"/>
      <c r="JD153" s="23"/>
      <c r="JE153" s="23"/>
      <c r="JF153" s="23"/>
      <c r="JG153" s="23"/>
      <c r="JH153" s="23"/>
      <c r="JI153" s="23"/>
      <c r="JJ153" s="23"/>
      <c r="JK153" s="23"/>
      <c r="JL153" s="23"/>
      <c r="JM153" s="23"/>
      <c r="JN153" s="23"/>
      <c r="JO153" s="23"/>
      <c r="JP153" s="23"/>
      <c r="JQ153" s="23"/>
      <c r="JR153" s="23"/>
      <c r="JS153" s="23"/>
      <c r="JT153" s="23"/>
      <c r="JU153" s="23"/>
      <c r="JV153" s="23"/>
      <c r="JW153" s="23"/>
      <c r="JX153" s="23"/>
      <c r="JY153" s="23"/>
      <c r="JZ153" s="23"/>
      <c r="KA153" s="23"/>
      <c r="KB153" s="23"/>
      <c r="KC153" s="23"/>
      <c r="KD153" s="23"/>
      <c r="KE153" s="23"/>
      <c r="KF153" s="23"/>
      <c r="KG153" s="23"/>
      <c r="KH153" s="23"/>
      <c r="KI153" s="23"/>
      <c r="KJ153" s="23"/>
      <c r="KK153" s="23"/>
      <c r="KL153" s="23"/>
      <c r="KM153" s="23"/>
      <c r="KN153" s="23"/>
      <c r="KO153" s="23"/>
      <c r="KP153" s="23"/>
      <c r="KQ153" s="23"/>
      <c r="KR153" s="23"/>
      <c r="KS153" s="23"/>
      <c r="KT153" s="23"/>
      <c r="KU153" s="23"/>
      <c r="KV153" s="23"/>
      <c r="KW153" s="23"/>
      <c r="KX153" s="23"/>
      <c r="KY153" s="23"/>
      <c r="KZ153" s="23"/>
      <c r="LA153" s="23"/>
      <c r="LB153" s="23"/>
      <c r="LC153" s="23"/>
      <c r="LD153" s="23"/>
      <c r="LE153" s="23"/>
      <c r="LF153" s="23"/>
      <c r="LG153" s="23"/>
      <c r="LH153" s="23"/>
      <c r="LI153" s="23"/>
      <c r="LJ153" s="23"/>
      <c r="LK153" s="23"/>
      <c r="LL153" s="23"/>
      <c r="LM153" s="23"/>
      <c r="LN153" s="23"/>
      <c r="LO153" s="23"/>
      <c r="LP153" s="23"/>
      <c r="LQ153" s="23"/>
      <c r="LR153" s="23"/>
      <c r="LS153" s="23"/>
      <c r="LT153" s="23"/>
      <c r="LU153" s="23"/>
      <c r="LV153" s="23"/>
      <c r="LW153" s="23"/>
      <c r="LX153" s="23"/>
      <c r="LY153" s="23"/>
      <c r="LZ153" s="23"/>
      <c r="MA153" s="23"/>
      <c r="MB153" s="23"/>
      <c r="MC153" s="23"/>
      <c r="MD153" s="23"/>
      <c r="ME153" s="23"/>
      <c r="MF153" s="23"/>
      <c r="MG153" s="23"/>
      <c r="MH153" s="23"/>
      <c r="MI153" s="23"/>
      <c r="MJ153" s="23"/>
      <c r="MK153" s="23"/>
      <c r="ML153" s="23"/>
      <c r="MM153" s="23"/>
      <c r="MN153" s="23"/>
      <c r="MO153" s="23"/>
      <c r="MP153" s="23"/>
      <c r="MQ153" s="23"/>
      <c r="MR153" s="23"/>
      <c r="MS153" s="23"/>
      <c r="MT153" s="23"/>
      <c r="MU153" s="23"/>
      <c r="MV153" s="23"/>
      <c r="MW153" s="23"/>
      <c r="MX153" s="23"/>
      <c r="MY153" s="23"/>
      <c r="MZ153" s="23"/>
      <c r="NA153" s="23"/>
      <c r="NB153" s="23"/>
      <c r="NC153" s="23"/>
      <c r="ND153" s="23"/>
      <c r="NE153" s="23"/>
      <c r="NF153" s="23"/>
      <c r="NG153" s="23"/>
      <c r="NH153" s="23"/>
      <c r="NI153" s="23"/>
      <c r="NJ153" s="23"/>
      <c r="NK153" s="23"/>
      <c r="NL153" s="23"/>
      <c r="NM153" s="23"/>
      <c r="NN153" s="23"/>
      <c r="NO153" s="23"/>
      <c r="NP153" s="23"/>
      <c r="NQ153" s="23"/>
      <c r="NR153" s="23"/>
      <c r="NS153" s="23"/>
      <c r="NT153" s="23"/>
      <c r="NU153" s="23"/>
      <c r="NV153" s="23"/>
      <c r="NW153" s="23"/>
      <c r="NX153" s="23"/>
      <c r="NY153" s="23"/>
      <c r="NZ153" s="23"/>
      <c r="OA153" s="23"/>
      <c r="OB153" s="23"/>
      <c r="OC153" s="23"/>
      <c r="OD153" s="23"/>
      <c r="OE153" s="23"/>
      <c r="OF153" s="23"/>
      <c r="OG153" s="23"/>
      <c r="OH153" s="23"/>
      <c r="OI153" s="23"/>
      <c r="OJ153" s="23"/>
      <c r="OK153" s="23"/>
      <c r="OL153" s="23"/>
      <c r="OM153" s="23"/>
      <c r="ON153" s="23"/>
      <c r="OO153" s="23"/>
      <c r="OP153" s="23"/>
      <c r="OQ153" s="23"/>
      <c r="OR153" s="23"/>
      <c r="OS153" s="23"/>
      <c r="OT153" s="23"/>
      <c r="OU153" s="23"/>
      <c r="OV153" s="23"/>
      <c r="OW153" s="23"/>
      <c r="OX153" s="23"/>
      <c r="OY153" s="23"/>
      <c r="OZ153" s="23"/>
      <c r="PA153" s="23"/>
      <c r="PB153" s="23"/>
      <c r="PC153" s="23"/>
      <c r="PD153" s="23"/>
      <c r="PE153" s="23"/>
      <c r="PF153" s="23"/>
      <c r="PG153" s="23"/>
      <c r="PH153" s="23"/>
      <c r="PI153" s="23"/>
      <c r="PJ153" s="23"/>
      <c r="PK153" s="23"/>
      <c r="PL153" s="23"/>
      <c r="PM153" s="23"/>
      <c r="PN153" s="23"/>
      <c r="PO153" s="23"/>
      <c r="PP153" s="23"/>
      <c r="PQ153" s="23"/>
      <c r="PR153" s="23"/>
      <c r="PS153" s="23"/>
      <c r="PT153" s="23"/>
      <c r="PU153" s="23"/>
      <c r="PV153" s="23"/>
      <c r="PW153" s="23"/>
      <c r="PX153" s="23"/>
      <c r="PY153" s="23"/>
      <c r="PZ153" s="23"/>
      <c r="QA153" s="23"/>
      <c r="QB153" s="23"/>
      <c r="QC153" s="23"/>
      <c r="QD153" s="23"/>
      <c r="QE153" s="23"/>
      <c r="QF153" s="23"/>
      <c r="QG153" s="23"/>
      <c r="QH153" s="23"/>
      <c r="QI153" s="23"/>
      <c r="QJ153" s="23"/>
      <c r="QK153" s="23"/>
      <c r="QL153" s="23"/>
      <c r="QM153" s="23"/>
      <c r="QN153" s="23"/>
      <c r="QO153" s="23"/>
      <c r="QP153" s="23"/>
      <c r="QQ153" s="23"/>
      <c r="QR153" s="23"/>
      <c r="QS153" s="23"/>
      <c r="QT153" s="23"/>
      <c r="QU153" s="23"/>
      <c r="QV153" s="23"/>
      <c r="QW153" s="23"/>
      <c r="QX153" s="23"/>
      <c r="QY153" s="23"/>
      <c r="QZ153" s="23"/>
      <c r="RA153" s="23"/>
      <c r="RB153" s="23"/>
      <c r="RC153" s="23"/>
      <c r="RD153" s="23"/>
      <c r="RE153" s="23"/>
      <c r="RF153" s="23"/>
      <c r="RG153" s="23"/>
      <c r="RH153" s="23"/>
      <c r="RI153" s="23"/>
      <c r="RJ153" s="23"/>
      <c r="RK153" s="23"/>
      <c r="RL153" s="23"/>
      <c r="RM153" s="23"/>
      <c r="RN153" s="23"/>
      <c r="RO153" s="23"/>
      <c r="RP153" s="23"/>
      <c r="RQ153" s="23"/>
      <c r="RR153" s="23"/>
      <c r="RS153" s="23"/>
      <c r="RT153" s="23"/>
      <c r="RU153" s="23"/>
      <c r="RV153" s="23"/>
      <c r="RW153" s="23"/>
      <c r="RX153" s="23"/>
      <c r="RY153" s="23"/>
      <c r="RZ153" s="23"/>
      <c r="SA153" s="23"/>
      <c r="SB153" s="23"/>
      <c r="SC153" s="23"/>
      <c r="SD153" s="23"/>
      <c r="SE153" s="23"/>
      <c r="SF153" s="23"/>
      <c r="SG153" s="23"/>
      <c r="SH153" s="23"/>
      <c r="SI153" s="23"/>
      <c r="SJ153" s="23"/>
      <c r="SK153" s="23"/>
      <c r="SL153" s="23"/>
      <c r="SM153" s="23"/>
      <c r="SN153" s="23"/>
      <c r="SO153" s="23"/>
      <c r="SP153" s="23"/>
      <c r="SQ153" s="23"/>
      <c r="SR153" s="23"/>
      <c r="SS153" s="23"/>
      <c r="ST153" s="23"/>
      <c r="SU153" s="23"/>
      <c r="SV153" s="23"/>
      <c r="SW153" s="23"/>
      <c r="SX153" s="23"/>
      <c r="SY153" s="23"/>
      <c r="SZ153" s="23"/>
      <c r="TA153" s="23"/>
      <c r="TB153" s="23"/>
      <c r="TC153" s="23"/>
      <c r="TD153" s="23"/>
      <c r="TE153" s="23"/>
      <c r="TF153" s="23"/>
      <c r="TG153" s="23"/>
    </row>
    <row r="154" spans="1:527" s="22" customFormat="1" ht="47.25" x14ac:dyDescent="0.25">
      <c r="A154" s="59" t="s">
        <v>373</v>
      </c>
      <c r="B154" s="42">
        <f>'дод 8'!A187</f>
        <v>7361</v>
      </c>
      <c r="C154" s="42" t="str">
        <f>'дод 8'!B187</f>
        <v>0490</v>
      </c>
      <c r="D154" s="36" t="str">
        <f>'дод 8'!C187</f>
        <v>Співфінансування інвестиційних проектів, що реалізуються за рахунок коштів державного фонду регіонального розвитку</v>
      </c>
      <c r="E154" s="99">
        <f t="shared" si="53"/>
        <v>0</v>
      </c>
      <c r="F154" s="99"/>
      <c r="G154" s="99"/>
      <c r="H154" s="99"/>
      <c r="I154" s="99"/>
      <c r="J154" s="99">
        <f t="shared" si="55"/>
        <v>5678000</v>
      </c>
      <c r="K154" s="99">
        <f>4289000+1389000</f>
        <v>5678000</v>
      </c>
      <c r="L154" s="99"/>
      <c r="M154" s="99"/>
      <c r="N154" s="99"/>
      <c r="O154" s="99">
        <f>4289000+1389000</f>
        <v>5678000</v>
      </c>
      <c r="P154" s="99">
        <f t="shared" si="54"/>
        <v>5678000</v>
      </c>
      <c r="Q154" s="23"/>
      <c r="R154" s="32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  <c r="SQ154" s="23"/>
      <c r="SR154" s="23"/>
      <c r="SS154" s="23"/>
      <c r="ST154" s="23"/>
      <c r="SU154" s="23"/>
      <c r="SV154" s="23"/>
      <c r="SW154" s="23"/>
      <c r="SX154" s="23"/>
      <c r="SY154" s="23"/>
      <c r="SZ154" s="23"/>
      <c r="TA154" s="23"/>
      <c r="TB154" s="23"/>
      <c r="TC154" s="23"/>
      <c r="TD154" s="23"/>
      <c r="TE154" s="23"/>
      <c r="TF154" s="23"/>
      <c r="TG154" s="23"/>
    </row>
    <row r="155" spans="1:527" s="22" customFormat="1" ht="47.25" x14ac:dyDescent="0.25">
      <c r="A155" s="59" t="s">
        <v>423</v>
      </c>
      <c r="B155" s="42">
        <v>7363</v>
      </c>
      <c r="C155" s="103" t="s">
        <v>82</v>
      </c>
      <c r="D155" s="60" t="s">
        <v>398</v>
      </c>
      <c r="E155" s="99">
        <f t="shared" si="53"/>
        <v>0</v>
      </c>
      <c r="F155" s="99"/>
      <c r="G155" s="99"/>
      <c r="H155" s="99"/>
      <c r="I155" s="99"/>
      <c r="J155" s="99">
        <f t="shared" si="55"/>
        <v>156000</v>
      </c>
      <c r="K155" s="99">
        <v>156000</v>
      </c>
      <c r="L155" s="99"/>
      <c r="M155" s="99"/>
      <c r="N155" s="99"/>
      <c r="O155" s="99">
        <v>156000</v>
      </c>
      <c r="P155" s="99">
        <f t="shared" si="54"/>
        <v>156000</v>
      </c>
      <c r="Q155" s="23"/>
      <c r="R155" s="32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  <c r="SQ155" s="23"/>
      <c r="SR155" s="23"/>
      <c r="SS155" s="23"/>
      <c r="ST155" s="23"/>
      <c r="SU155" s="23"/>
      <c r="SV155" s="23"/>
      <c r="SW155" s="23"/>
      <c r="SX155" s="23"/>
      <c r="SY155" s="23"/>
      <c r="SZ155" s="23"/>
      <c r="TA155" s="23"/>
      <c r="TB155" s="23"/>
      <c r="TC155" s="23"/>
      <c r="TD155" s="23"/>
      <c r="TE155" s="23"/>
      <c r="TF155" s="23"/>
      <c r="TG155" s="23"/>
    </row>
    <row r="156" spans="1:527" s="22" customFormat="1" ht="47.25" x14ac:dyDescent="0.25">
      <c r="A156" s="59"/>
      <c r="B156" s="42"/>
      <c r="C156" s="42"/>
      <c r="D156" s="87" t="s">
        <v>388</v>
      </c>
      <c r="E156" s="101">
        <f t="shared" si="53"/>
        <v>0</v>
      </c>
      <c r="F156" s="101"/>
      <c r="G156" s="101"/>
      <c r="H156" s="101"/>
      <c r="I156" s="101"/>
      <c r="J156" s="101">
        <f t="shared" si="55"/>
        <v>156000</v>
      </c>
      <c r="K156" s="101">
        <v>156000</v>
      </c>
      <c r="L156" s="101"/>
      <c r="M156" s="101"/>
      <c r="N156" s="101"/>
      <c r="O156" s="101">
        <v>156000</v>
      </c>
      <c r="P156" s="101">
        <f t="shared" si="54"/>
        <v>156000</v>
      </c>
      <c r="Q156" s="23"/>
      <c r="R156" s="32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  <c r="SQ156" s="23"/>
      <c r="SR156" s="23"/>
      <c r="SS156" s="23"/>
      <c r="ST156" s="23"/>
      <c r="SU156" s="23"/>
      <c r="SV156" s="23"/>
      <c r="SW156" s="23"/>
      <c r="SX156" s="23"/>
      <c r="SY156" s="23"/>
      <c r="SZ156" s="23"/>
      <c r="TA156" s="23"/>
      <c r="TB156" s="23"/>
      <c r="TC156" s="23"/>
      <c r="TD156" s="23"/>
      <c r="TE156" s="23"/>
      <c r="TF156" s="23"/>
      <c r="TG156" s="23"/>
    </row>
    <row r="157" spans="1:527" s="22" customFormat="1" ht="18.75" customHeight="1" x14ac:dyDescent="0.25">
      <c r="A157" s="59" t="s">
        <v>173</v>
      </c>
      <c r="B157" s="93" t="str">
        <f>'дод 8'!A215</f>
        <v>7640</v>
      </c>
      <c r="C157" s="93" t="str">
        <f>'дод 8'!B215</f>
        <v>0470</v>
      </c>
      <c r="D157" s="60" t="s">
        <v>418</v>
      </c>
      <c r="E157" s="99">
        <f t="shared" si="53"/>
        <v>121500</v>
      </c>
      <c r="F157" s="99">
        <v>121500</v>
      </c>
      <c r="G157" s="99"/>
      <c r="H157" s="99"/>
      <c r="I157" s="99"/>
      <c r="J157" s="99">
        <f t="shared" si="55"/>
        <v>10527570.120000001</v>
      </c>
      <c r="K157" s="99">
        <v>10527570.120000001</v>
      </c>
      <c r="L157" s="99"/>
      <c r="M157" s="99"/>
      <c r="N157" s="99"/>
      <c r="O157" s="99">
        <v>10527570.120000001</v>
      </c>
      <c r="P157" s="99">
        <f t="shared" si="54"/>
        <v>10649070.120000001</v>
      </c>
      <c r="Q157" s="23"/>
      <c r="R157" s="32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  <c r="IU157" s="23"/>
      <c r="IV157" s="23"/>
      <c r="IW157" s="23"/>
      <c r="IX157" s="23"/>
      <c r="IY157" s="23"/>
      <c r="IZ157" s="23"/>
      <c r="JA157" s="23"/>
      <c r="JB157" s="23"/>
      <c r="JC157" s="23"/>
      <c r="JD157" s="23"/>
      <c r="JE157" s="23"/>
      <c r="JF157" s="23"/>
      <c r="JG157" s="23"/>
      <c r="JH157" s="23"/>
      <c r="JI157" s="23"/>
      <c r="JJ157" s="23"/>
      <c r="JK157" s="23"/>
      <c r="JL157" s="23"/>
      <c r="JM157" s="23"/>
      <c r="JN157" s="23"/>
      <c r="JO157" s="23"/>
      <c r="JP157" s="23"/>
      <c r="JQ157" s="23"/>
      <c r="JR157" s="23"/>
      <c r="JS157" s="23"/>
      <c r="JT157" s="23"/>
      <c r="JU157" s="23"/>
      <c r="JV157" s="23"/>
      <c r="JW157" s="23"/>
      <c r="JX157" s="23"/>
      <c r="JY157" s="23"/>
      <c r="JZ157" s="23"/>
      <c r="KA157" s="23"/>
      <c r="KB157" s="23"/>
      <c r="KC157" s="23"/>
      <c r="KD157" s="23"/>
      <c r="KE157" s="23"/>
      <c r="KF157" s="23"/>
      <c r="KG157" s="23"/>
      <c r="KH157" s="23"/>
      <c r="KI157" s="23"/>
      <c r="KJ157" s="23"/>
      <c r="KK157" s="23"/>
      <c r="KL157" s="23"/>
      <c r="KM157" s="23"/>
      <c r="KN157" s="23"/>
      <c r="KO157" s="23"/>
      <c r="KP157" s="23"/>
      <c r="KQ157" s="23"/>
      <c r="KR157" s="23"/>
      <c r="KS157" s="23"/>
      <c r="KT157" s="23"/>
      <c r="KU157" s="23"/>
      <c r="KV157" s="23"/>
      <c r="KW157" s="23"/>
      <c r="KX157" s="23"/>
      <c r="KY157" s="23"/>
      <c r="KZ157" s="23"/>
      <c r="LA157" s="23"/>
      <c r="LB157" s="23"/>
      <c r="LC157" s="23"/>
      <c r="LD157" s="23"/>
      <c r="LE157" s="23"/>
      <c r="LF157" s="23"/>
      <c r="LG157" s="23"/>
      <c r="LH157" s="23"/>
      <c r="LI157" s="23"/>
      <c r="LJ157" s="23"/>
      <c r="LK157" s="23"/>
      <c r="LL157" s="23"/>
      <c r="LM157" s="23"/>
      <c r="LN157" s="23"/>
      <c r="LO157" s="23"/>
      <c r="LP157" s="23"/>
      <c r="LQ157" s="23"/>
      <c r="LR157" s="23"/>
      <c r="LS157" s="23"/>
      <c r="LT157" s="23"/>
      <c r="LU157" s="23"/>
      <c r="LV157" s="23"/>
      <c r="LW157" s="23"/>
      <c r="LX157" s="23"/>
      <c r="LY157" s="23"/>
      <c r="LZ157" s="23"/>
      <c r="MA157" s="23"/>
      <c r="MB157" s="23"/>
      <c r="MC157" s="23"/>
      <c r="MD157" s="23"/>
      <c r="ME157" s="23"/>
      <c r="MF157" s="23"/>
      <c r="MG157" s="23"/>
      <c r="MH157" s="23"/>
      <c r="MI157" s="23"/>
      <c r="MJ157" s="23"/>
      <c r="MK157" s="23"/>
      <c r="ML157" s="23"/>
      <c r="MM157" s="23"/>
      <c r="MN157" s="23"/>
      <c r="MO157" s="23"/>
      <c r="MP157" s="23"/>
      <c r="MQ157" s="23"/>
      <c r="MR157" s="23"/>
      <c r="MS157" s="23"/>
      <c r="MT157" s="23"/>
      <c r="MU157" s="23"/>
      <c r="MV157" s="23"/>
      <c r="MW157" s="23"/>
      <c r="MX157" s="23"/>
      <c r="MY157" s="23"/>
      <c r="MZ157" s="23"/>
      <c r="NA157" s="23"/>
      <c r="NB157" s="23"/>
      <c r="NC157" s="23"/>
      <c r="ND157" s="23"/>
      <c r="NE157" s="23"/>
      <c r="NF157" s="23"/>
      <c r="NG157" s="23"/>
      <c r="NH157" s="23"/>
      <c r="NI157" s="23"/>
      <c r="NJ157" s="23"/>
      <c r="NK157" s="23"/>
      <c r="NL157" s="23"/>
      <c r="NM157" s="23"/>
      <c r="NN157" s="23"/>
      <c r="NO157" s="23"/>
      <c r="NP157" s="23"/>
      <c r="NQ157" s="23"/>
      <c r="NR157" s="23"/>
      <c r="NS157" s="23"/>
      <c r="NT157" s="23"/>
      <c r="NU157" s="23"/>
      <c r="NV157" s="23"/>
      <c r="NW157" s="23"/>
      <c r="NX157" s="23"/>
      <c r="NY157" s="23"/>
      <c r="NZ157" s="23"/>
      <c r="OA157" s="23"/>
      <c r="OB157" s="23"/>
      <c r="OC157" s="23"/>
      <c r="OD157" s="23"/>
      <c r="OE157" s="23"/>
      <c r="OF157" s="23"/>
      <c r="OG157" s="23"/>
      <c r="OH157" s="23"/>
      <c r="OI157" s="23"/>
      <c r="OJ157" s="23"/>
      <c r="OK157" s="23"/>
      <c r="OL157" s="23"/>
      <c r="OM157" s="23"/>
      <c r="ON157" s="23"/>
      <c r="OO157" s="23"/>
      <c r="OP157" s="23"/>
      <c r="OQ157" s="23"/>
      <c r="OR157" s="23"/>
      <c r="OS157" s="23"/>
      <c r="OT157" s="23"/>
      <c r="OU157" s="23"/>
      <c r="OV157" s="23"/>
      <c r="OW157" s="23"/>
      <c r="OX157" s="23"/>
      <c r="OY157" s="23"/>
      <c r="OZ157" s="23"/>
      <c r="PA157" s="23"/>
      <c r="PB157" s="23"/>
      <c r="PC157" s="23"/>
      <c r="PD157" s="23"/>
      <c r="PE157" s="23"/>
      <c r="PF157" s="23"/>
      <c r="PG157" s="23"/>
      <c r="PH157" s="23"/>
      <c r="PI157" s="23"/>
      <c r="PJ157" s="23"/>
      <c r="PK157" s="23"/>
      <c r="PL157" s="23"/>
      <c r="PM157" s="23"/>
      <c r="PN157" s="23"/>
      <c r="PO157" s="23"/>
      <c r="PP157" s="23"/>
      <c r="PQ157" s="23"/>
      <c r="PR157" s="23"/>
      <c r="PS157" s="23"/>
      <c r="PT157" s="23"/>
      <c r="PU157" s="23"/>
      <c r="PV157" s="23"/>
      <c r="PW157" s="23"/>
      <c r="PX157" s="23"/>
      <c r="PY157" s="23"/>
      <c r="PZ157" s="23"/>
      <c r="QA157" s="23"/>
      <c r="QB157" s="23"/>
      <c r="QC157" s="23"/>
      <c r="QD157" s="23"/>
      <c r="QE157" s="23"/>
      <c r="QF157" s="23"/>
      <c r="QG157" s="23"/>
      <c r="QH157" s="23"/>
      <c r="QI157" s="23"/>
      <c r="QJ157" s="23"/>
      <c r="QK157" s="23"/>
      <c r="QL157" s="23"/>
      <c r="QM157" s="23"/>
      <c r="QN157" s="23"/>
      <c r="QO157" s="23"/>
      <c r="QP157" s="23"/>
      <c r="QQ157" s="23"/>
      <c r="QR157" s="23"/>
      <c r="QS157" s="23"/>
      <c r="QT157" s="23"/>
      <c r="QU157" s="23"/>
      <c r="QV157" s="23"/>
      <c r="QW157" s="23"/>
      <c r="QX157" s="23"/>
      <c r="QY157" s="23"/>
      <c r="QZ157" s="23"/>
      <c r="RA157" s="23"/>
      <c r="RB157" s="23"/>
      <c r="RC157" s="23"/>
      <c r="RD157" s="23"/>
      <c r="RE157" s="23"/>
      <c r="RF157" s="23"/>
      <c r="RG157" s="23"/>
      <c r="RH157" s="23"/>
      <c r="RI157" s="23"/>
      <c r="RJ157" s="23"/>
      <c r="RK157" s="23"/>
      <c r="RL157" s="23"/>
      <c r="RM157" s="23"/>
      <c r="RN157" s="23"/>
      <c r="RO157" s="23"/>
      <c r="RP157" s="23"/>
      <c r="RQ157" s="23"/>
      <c r="RR157" s="23"/>
      <c r="RS157" s="23"/>
      <c r="RT157" s="23"/>
      <c r="RU157" s="23"/>
      <c r="RV157" s="23"/>
      <c r="RW157" s="23"/>
      <c r="RX157" s="23"/>
      <c r="RY157" s="23"/>
      <c r="RZ157" s="23"/>
      <c r="SA157" s="23"/>
      <c r="SB157" s="23"/>
      <c r="SC157" s="23"/>
      <c r="SD157" s="23"/>
      <c r="SE157" s="23"/>
      <c r="SF157" s="23"/>
      <c r="SG157" s="23"/>
      <c r="SH157" s="23"/>
      <c r="SI157" s="23"/>
      <c r="SJ157" s="23"/>
      <c r="SK157" s="23"/>
      <c r="SL157" s="23"/>
      <c r="SM157" s="23"/>
      <c r="SN157" s="23"/>
      <c r="SO157" s="23"/>
      <c r="SP157" s="23"/>
      <c r="SQ157" s="23"/>
      <c r="SR157" s="23"/>
      <c r="SS157" s="23"/>
      <c r="ST157" s="23"/>
      <c r="SU157" s="23"/>
      <c r="SV157" s="23"/>
      <c r="SW157" s="23"/>
      <c r="SX157" s="23"/>
      <c r="SY157" s="23"/>
      <c r="SZ157" s="23"/>
      <c r="TA157" s="23"/>
      <c r="TB157" s="23"/>
      <c r="TC157" s="23"/>
      <c r="TD157" s="23"/>
      <c r="TE157" s="23"/>
      <c r="TF157" s="23"/>
      <c r="TG157" s="23"/>
    </row>
    <row r="158" spans="1:527" s="24" customFormat="1" ht="15" customHeight="1" x14ac:dyDescent="0.25">
      <c r="A158" s="84"/>
      <c r="B158" s="111"/>
      <c r="C158" s="111"/>
      <c r="D158" s="85" t="s">
        <v>419</v>
      </c>
      <c r="E158" s="101">
        <f t="shared" si="53"/>
        <v>0</v>
      </c>
      <c r="F158" s="101"/>
      <c r="G158" s="101"/>
      <c r="H158" s="101"/>
      <c r="I158" s="101"/>
      <c r="J158" s="101">
        <f t="shared" si="55"/>
        <v>4662070.12</v>
      </c>
      <c r="K158" s="101">
        <v>4662070.12</v>
      </c>
      <c r="L158" s="101"/>
      <c r="M158" s="101"/>
      <c r="N158" s="101"/>
      <c r="O158" s="101">
        <v>4662070.12</v>
      </c>
      <c r="P158" s="101">
        <f t="shared" si="54"/>
        <v>4662070.12</v>
      </c>
      <c r="Q158" s="30"/>
      <c r="R158" s="32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  <c r="FM158" s="30"/>
      <c r="FN158" s="30"/>
      <c r="FO158" s="30"/>
      <c r="FP158" s="30"/>
      <c r="FQ158" s="30"/>
      <c r="FR158" s="30"/>
      <c r="FS158" s="30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  <c r="GD158" s="30"/>
      <c r="GE158" s="30"/>
      <c r="GF158" s="30"/>
      <c r="GG158" s="30"/>
      <c r="GH158" s="30"/>
      <c r="GI158" s="30"/>
      <c r="GJ158" s="30"/>
      <c r="GK158" s="30"/>
      <c r="GL158" s="30"/>
      <c r="GM158" s="30"/>
      <c r="GN158" s="30"/>
      <c r="GO158" s="30"/>
      <c r="GP158" s="30"/>
      <c r="GQ158" s="30"/>
      <c r="GR158" s="30"/>
      <c r="GS158" s="30"/>
      <c r="GT158" s="30"/>
      <c r="GU158" s="30"/>
      <c r="GV158" s="30"/>
      <c r="GW158" s="30"/>
      <c r="GX158" s="30"/>
      <c r="GY158" s="30"/>
      <c r="GZ158" s="30"/>
      <c r="HA158" s="30"/>
      <c r="HB158" s="30"/>
      <c r="HC158" s="30"/>
      <c r="HD158" s="30"/>
      <c r="HE158" s="30"/>
      <c r="HF158" s="30"/>
      <c r="HG158" s="30"/>
      <c r="HH158" s="30"/>
      <c r="HI158" s="30"/>
      <c r="HJ158" s="30"/>
      <c r="HK158" s="30"/>
      <c r="HL158" s="30"/>
      <c r="HM158" s="30"/>
      <c r="HN158" s="30"/>
      <c r="HO158" s="30"/>
      <c r="HP158" s="30"/>
      <c r="HQ158" s="30"/>
      <c r="HR158" s="30"/>
      <c r="HS158" s="30"/>
      <c r="HT158" s="30"/>
      <c r="HU158" s="30"/>
      <c r="HV158" s="30"/>
      <c r="HW158" s="30"/>
      <c r="HX158" s="30"/>
      <c r="HY158" s="30"/>
      <c r="HZ158" s="30"/>
      <c r="IA158" s="30"/>
      <c r="IB158" s="30"/>
      <c r="IC158" s="30"/>
      <c r="ID158" s="30"/>
      <c r="IE158" s="30"/>
      <c r="IF158" s="30"/>
      <c r="IG158" s="30"/>
      <c r="IH158" s="30"/>
      <c r="II158" s="30"/>
      <c r="IJ158" s="30"/>
      <c r="IK158" s="30"/>
      <c r="IL158" s="30"/>
      <c r="IM158" s="30"/>
      <c r="IN158" s="30"/>
      <c r="IO158" s="30"/>
      <c r="IP158" s="30"/>
      <c r="IQ158" s="30"/>
      <c r="IR158" s="30"/>
      <c r="IS158" s="30"/>
      <c r="IT158" s="30"/>
      <c r="IU158" s="30"/>
      <c r="IV158" s="30"/>
      <c r="IW158" s="30"/>
      <c r="IX158" s="30"/>
      <c r="IY158" s="30"/>
      <c r="IZ158" s="30"/>
      <c r="JA158" s="30"/>
      <c r="JB158" s="30"/>
      <c r="JC158" s="30"/>
      <c r="JD158" s="30"/>
      <c r="JE158" s="30"/>
      <c r="JF158" s="30"/>
      <c r="JG158" s="30"/>
      <c r="JH158" s="30"/>
      <c r="JI158" s="30"/>
      <c r="JJ158" s="30"/>
      <c r="JK158" s="30"/>
      <c r="JL158" s="30"/>
      <c r="JM158" s="30"/>
      <c r="JN158" s="30"/>
      <c r="JO158" s="30"/>
      <c r="JP158" s="30"/>
      <c r="JQ158" s="30"/>
      <c r="JR158" s="30"/>
      <c r="JS158" s="30"/>
      <c r="JT158" s="30"/>
      <c r="JU158" s="30"/>
      <c r="JV158" s="30"/>
      <c r="JW158" s="30"/>
      <c r="JX158" s="30"/>
      <c r="JY158" s="30"/>
      <c r="JZ158" s="30"/>
      <c r="KA158" s="30"/>
      <c r="KB158" s="30"/>
      <c r="KC158" s="30"/>
      <c r="KD158" s="30"/>
      <c r="KE158" s="30"/>
      <c r="KF158" s="30"/>
      <c r="KG158" s="30"/>
      <c r="KH158" s="30"/>
      <c r="KI158" s="30"/>
      <c r="KJ158" s="30"/>
      <c r="KK158" s="30"/>
      <c r="KL158" s="30"/>
      <c r="KM158" s="30"/>
      <c r="KN158" s="30"/>
      <c r="KO158" s="30"/>
      <c r="KP158" s="30"/>
      <c r="KQ158" s="30"/>
      <c r="KR158" s="30"/>
      <c r="KS158" s="30"/>
      <c r="KT158" s="30"/>
      <c r="KU158" s="30"/>
      <c r="KV158" s="30"/>
      <c r="KW158" s="30"/>
      <c r="KX158" s="30"/>
      <c r="KY158" s="30"/>
      <c r="KZ158" s="30"/>
      <c r="LA158" s="30"/>
      <c r="LB158" s="30"/>
      <c r="LC158" s="30"/>
      <c r="LD158" s="30"/>
      <c r="LE158" s="30"/>
      <c r="LF158" s="30"/>
      <c r="LG158" s="30"/>
      <c r="LH158" s="30"/>
      <c r="LI158" s="30"/>
      <c r="LJ158" s="30"/>
      <c r="LK158" s="30"/>
      <c r="LL158" s="30"/>
      <c r="LM158" s="30"/>
      <c r="LN158" s="30"/>
      <c r="LO158" s="30"/>
      <c r="LP158" s="30"/>
      <c r="LQ158" s="30"/>
      <c r="LR158" s="30"/>
      <c r="LS158" s="30"/>
      <c r="LT158" s="30"/>
      <c r="LU158" s="30"/>
      <c r="LV158" s="30"/>
      <c r="LW158" s="30"/>
      <c r="LX158" s="30"/>
      <c r="LY158" s="30"/>
      <c r="LZ158" s="30"/>
      <c r="MA158" s="30"/>
      <c r="MB158" s="30"/>
      <c r="MC158" s="30"/>
      <c r="MD158" s="30"/>
      <c r="ME158" s="30"/>
      <c r="MF158" s="30"/>
      <c r="MG158" s="30"/>
      <c r="MH158" s="30"/>
      <c r="MI158" s="30"/>
      <c r="MJ158" s="30"/>
      <c r="MK158" s="30"/>
      <c r="ML158" s="30"/>
      <c r="MM158" s="30"/>
      <c r="MN158" s="30"/>
      <c r="MO158" s="30"/>
      <c r="MP158" s="30"/>
      <c r="MQ158" s="30"/>
      <c r="MR158" s="30"/>
      <c r="MS158" s="30"/>
      <c r="MT158" s="30"/>
      <c r="MU158" s="30"/>
      <c r="MV158" s="30"/>
      <c r="MW158" s="30"/>
      <c r="MX158" s="30"/>
      <c r="MY158" s="30"/>
      <c r="MZ158" s="30"/>
      <c r="NA158" s="30"/>
      <c r="NB158" s="30"/>
      <c r="NC158" s="30"/>
      <c r="ND158" s="30"/>
      <c r="NE158" s="30"/>
      <c r="NF158" s="30"/>
      <c r="NG158" s="30"/>
      <c r="NH158" s="30"/>
      <c r="NI158" s="30"/>
      <c r="NJ158" s="30"/>
      <c r="NK158" s="30"/>
      <c r="NL158" s="30"/>
      <c r="NM158" s="30"/>
      <c r="NN158" s="30"/>
      <c r="NO158" s="30"/>
      <c r="NP158" s="30"/>
      <c r="NQ158" s="30"/>
      <c r="NR158" s="30"/>
      <c r="NS158" s="30"/>
      <c r="NT158" s="30"/>
      <c r="NU158" s="30"/>
      <c r="NV158" s="30"/>
      <c r="NW158" s="30"/>
      <c r="NX158" s="30"/>
      <c r="NY158" s="30"/>
      <c r="NZ158" s="30"/>
      <c r="OA158" s="30"/>
      <c r="OB158" s="30"/>
      <c r="OC158" s="30"/>
      <c r="OD158" s="30"/>
      <c r="OE158" s="30"/>
      <c r="OF158" s="30"/>
      <c r="OG158" s="30"/>
      <c r="OH158" s="30"/>
      <c r="OI158" s="30"/>
      <c r="OJ158" s="30"/>
      <c r="OK158" s="30"/>
      <c r="OL158" s="30"/>
      <c r="OM158" s="30"/>
      <c r="ON158" s="30"/>
      <c r="OO158" s="30"/>
      <c r="OP158" s="30"/>
      <c r="OQ158" s="30"/>
      <c r="OR158" s="30"/>
      <c r="OS158" s="30"/>
      <c r="OT158" s="30"/>
      <c r="OU158" s="30"/>
      <c r="OV158" s="30"/>
      <c r="OW158" s="30"/>
      <c r="OX158" s="30"/>
      <c r="OY158" s="30"/>
      <c r="OZ158" s="30"/>
      <c r="PA158" s="30"/>
      <c r="PB158" s="30"/>
      <c r="PC158" s="30"/>
      <c r="PD158" s="30"/>
      <c r="PE158" s="30"/>
      <c r="PF158" s="30"/>
      <c r="PG158" s="30"/>
      <c r="PH158" s="30"/>
      <c r="PI158" s="30"/>
      <c r="PJ158" s="30"/>
      <c r="PK158" s="30"/>
      <c r="PL158" s="30"/>
      <c r="PM158" s="30"/>
      <c r="PN158" s="30"/>
      <c r="PO158" s="30"/>
      <c r="PP158" s="30"/>
      <c r="PQ158" s="30"/>
      <c r="PR158" s="30"/>
      <c r="PS158" s="30"/>
      <c r="PT158" s="30"/>
      <c r="PU158" s="30"/>
      <c r="PV158" s="30"/>
      <c r="PW158" s="30"/>
      <c r="PX158" s="30"/>
      <c r="PY158" s="30"/>
      <c r="PZ158" s="30"/>
      <c r="QA158" s="30"/>
      <c r="QB158" s="30"/>
      <c r="QC158" s="30"/>
      <c r="QD158" s="30"/>
      <c r="QE158" s="30"/>
      <c r="QF158" s="30"/>
      <c r="QG158" s="30"/>
      <c r="QH158" s="30"/>
      <c r="QI158" s="30"/>
      <c r="QJ158" s="30"/>
      <c r="QK158" s="30"/>
      <c r="QL158" s="30"/>
      <c r="QM158" s="30"/>
      <c r="QN158" s="30"/>
      <c r="QO158" s="30"/>
      <c r="QP158" s="30"/>
      <c r="QQ158" s="30"/>
      <c r="QR158" s="30"/>
      <c r="QS158" s="30"/>
      <c r="QT158" s="30"/>
      <c r="QU158" s="30"/>
      <c r="QV158" s="30"/>
      <c r="QW158" s="30"/>
      <c r="QX158" s="30"/>
      <c r="QY158" s="30"/>
      <c r="QZ158" s="30"/>
      <c r="RA158" s="30"/>
      <c r="RB158" s="30"/>
      <c r="RC158" s="30"/>
      <c r="RD158" s="30"/>
      <c r="RE158" s="30"/>
      <c r="RF158" s="30"/>
      <c r="RG158" s="30"/>
      <c r="RH158" s="30"/>
      <c r="RI158" s="30"/>
      <c r="RJ158" s="30"/>
      <c r="RK158" s="30"/>
      <c r="RL158" s="30"/>
      <c r="RM158" s="30"/>
      <c r="RN158" s="30"/>
      <c r="RO158" s="30"/>
      <c r="RP158" s="30"/>
      <c r="RQ158" s="30"/>
      <c r="RR158" s="30"/>
      <c r="RS158" s="30"/>
      <c r="RT158" s="30"/>
      <c r="RU158" s="30"/>
      <c r="RV158" s="30"/>
      <c r="RW158" s="30"/>
      <c r="RX158" s="30"/>
      <c r="RY158" s="30"/>
      <c r="RZ158" s="30"/>
      <c r="SA158" s="30"/>
      <c r="SB158" s="30"/>
      <c r="SC158" s="30"/>
      <c r="SD158" s="30"/>
      <c r="SE158" s="30"/>
      <c r="SF158" s="30"/>
      <c r="SG158" s="30"/>
      <c r="SH158" s="30"/>
      <c r="SI158" s="30"/>
      <c r="SJ158" s="30"/>
      <c r="SK158" s="30"/>
      <c r="SL158" s="30"/>
      <c r="SM158" s="30"/>
      <c r="SN158" s="30"/>
      <c r="SO158" s="30"/>
      <c r="SP158" s="30"/>
      <c r="SQ158" s="30"/>
      <c r="SR158" s="30"/>
      <c r="SS158" s="30"/>
      <c r="ST158" s="30"/>
      <c r="SU158" s="30"/>
      <c r="SV158" s="30"/>
      <c r="SW158" s="30"/>
      <c r="SX158" s="30"/>
      <c r="SY158" s="30"/>
      <c r="SZ158" s="30"/>
      <c r="TA158" s="30"/>
      <c r="TB158" s="30"/>
      <c r="TC158" s="30"/>
      <c r="TD158" s="30"/>
      <c r="TE158" s="30"/>
      <c r="TF158" s="30"/>
      <c r="TG158" s="30"/>
    </row>
    <row r="159" spans="1:527" s="22" customFormat="1" ht="45" hidden="1" customHeight="1" x14ac:dyDescent="0.25">
      <c r="A159" s="59" t="s">
        <v>361</v>
      </c>
      <c r="B159" s="93">
        <v>7700</v>
      </c>
      <c r="C159" s="59" t="s">
        <v>93</v>
      </c>
      <c r="D159" s="60" t="s">
        <v>362</v>
      </c>
      <c r="E159" s="99">
        <f t="shared" si="53"/>
        <v>0</v>
      </c>
      <c r="F159" s="99"/>
      <c r="G159" s="99"/>
      <c r="H159" s="99"/>
      <c r="I159" s="99"/>
      <c r="J159" s="99">
        <f t="shared" si="55"/>
        <v>0</v>
      </c>
      <c r="K159" s="99"/>
      <c r="L159" s="99"/>
      <c r="M159" s="99"/>
      <c r="N159" s="99"/>
      <c r="O159" s="99">
        <v>0</v>
      </c>
      <c r="P159" s="99">
        <f t="shared" si="54"/>
        <v>0</v>
      </c>
      <c r="Q159" s="23"/>
      <c r="R159" s="32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  <c r="SQ159" s="23"/>
      <c r="SR159" s="23"/>
      <c r="SS159" s="23"/>
      <c r="ST159" s="23"/>
      <c r="SU159" s="23"/>
      <c r="SV159" s="23"/>
      <c r="SW159" s="23"/>
      <c r="SX159" s="23"/>
      <c r="SY159" s="23"/>
      <c r="SZ159" s="23"/>
      <c r="TA159" s="23"/>
      <c r="TB159" s="23"/>
      <c r="TC159" s="23"/>
      <c r="TD159" s="23"/>
      <c r="TE159" s="23"/>
      <c r="TF159" s="23"/>
      <c r="TG159" s="23"/>
    </row>
    <row r="160" spans="1:527" s="22" customFormat="1" ht="15.75" x14ac:dyDescent="0.25">
      <c r="A160" s="59" t="s">
        <v>432</v>
      </c>
      <c r="B160" s="93">
        <v>9770</v>
      </c>
      <c r="C160" s="59" t="s">
        <v>45</v>
      </c>
      <c r="D160" s="60" t="s">
        <v>433</v>
      </c>
      <c r="E160" s="99">
        <f t="shared" si="53"/>
        <v>0</v>
      </c>
      <c r="F160" s="99"/>
      <c r="G160" s="99"/>
      <c r="H160" s="99"/>
      <c r="I160" s="99"/>
      <c r="J160" s="99">
        <f t="shared" si="55"/>
        <v>10000111.600000001</v>
      </c>
      <c r="K160" s="99">
        <v>10000111.600000001</v>
      </c>
      <c r="L160" s="99"/>
      <c r="M160" s="99"/>
      <c r="N160" s="99"/>
      <c r="O160" s="99">
        <v>10000111.600000001</v>
      </c>
      <c r="P160" s="99">
        <f t="shared" si="54"/>
        <v>10000111.600000001</v>
      </c>
      <c r="Q160" s="23"/>
      <c r="R160" s="32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  <c r="TF160" s="23"/>
      <c r="TG160" s="23"/>
    </row>
    <row r="161" spans="1:527" s="27" customFormat="1" ht="36" customHeight="1" x14ac:dyDescent="0.25">
      <c r="A161" s="110" t="s">
        <v>178</v>
      </c>
      <c r="B161" s="112"/>
      <c r="C161" s="112"/>
      <c r="D161" s="107" t="s">
        <v>38</v>
      </c>
      <c r="E161" s="95">
        <f>E162</f>
        <v>196893094.35000002</v>
      </c>
      <c r="F161" s="95">
        <f t="shared" ref="F161:J161" si="56">F162</f>
        <v>196893094.35000002</v>
      </c>
      <c r="G161" s="95">
        <f t="shared" si="56"/>
        <v>60863900</v>
      </c>
      <c r="H161" s="95">
        <f t="shared" si="56"/>
        <v>1758789</v>
      </c>
      <c r="I161" s="95">
        <f t="shared" si="56"/>
        <v>0</v>
      </c>
      <c r="J161" s="95">
        <f t="shared" si="56"/>
        <v>2938824.05</v>
      </c>
      <c r="K161" s="95">
        <f t="shared" ref="K161" si="57">K162</f>
        <v>2842624.05</v>
      </c>
      <c r="L161" s="95">
        <f t="shared" ref="L161" si="58">L162</f>
        <v>96200</v>
      </c>
      <c r="M161" s="95">
        <f t="shared" ref="M161" si="59">M162</f>
        <v>75000</v>
      </c>
      <c r="N161" s="95">
        <f t="shared" ref="N161" si="60">N162</f>
        <v>0</v>
      </c>
      <c r="O161" s="95">
        <f t="shared" ref="O161:P161" si="61">O162</f>
        <v>2842624.05</v>
      </c>
      <c r="P161" s="95">
        <f t="shared" si="61"/>
        <v>199831918.40000004</v>
      </c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/>
      <c r="EF161" s="32"/>
      <c r="EG161" s="32"/>
      <c r="EH161" s="32"/>
      <c r="EI161" s="32"/>
      <c r="EJ161" s="32"/>
      <c r="EK161" s="32"/>
      <c r="EL161" s="32"/>
      <c r="EM161" s="32"/>
      <c r="EN161" s="32"/>
      <c r="EO161" s="32"/>
      <c r="EP161" s="32"/>
      <c r="EQ161" s="32"/>
      <c r="ER161" s="32"/>
      <c r="ES161" s="32"/>
      <c r="ET161" s="32"/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2"/>
      <c r="FK161" s="32"/>
      <c r="FL161" s="32"/>
      <c r="FM161" s="32"/>
      <c r="FN161" s="32"/>
      <c r="FO161" s="32"/>
      <c r="FP161" s="32"/>
      <c r="FQ161" s="32"/>
      <c r="FR161" s="32"/>
      <c r="FS161" s="32"/>
      <c r="FT161" s="32"/>
      <c r="FU161" s="32"/>
      <c r="FV161" s="32"/>
      <c r="FW161" s="32"/>
      <c r="FX161" s="32"/>
      <c r="FY161" s="32"/>
      <c r="FZ161" s="32"/>
      <c r="GA161" s="32"/>
      <c r="GB161" s="32"/>
      <c r="GC161" s="32"/>
      <c r="GD161" s="32"/>
      <c r="GE161" s="32"/>
      <c r="GF161" s="32"/>
      <c r="GG161" s="32"/>
      <c r="GH161" s="32"/>
      <c r="GI161" s="32"/>
      <c r="GJ161" s="32"/>
      <c r="GK161" s="32"/>
      <c r="GL161" s="32"/>
      <c r="GM161" s="32"/>
      <c r="GN161" s="32"/>
      <c r="GO161" s="32"/>
      <c r="GP161" s="32"/>
      <c r="GQ161" s="32"/>
      <c r="GR161" s="32"/>
      <c r="GS161" s="32"/>
      <c r="GT161" s="32"/>
      <c r="GU161" s="32"/>
      <c r="GV161" s="32"/>
      <c r="GW161" s="32"/>
      <c r="GX161" s="32"/>
      <c r="GY161" s="32"/>
      <c r="GZ161" s="32"/>
      <c r="HA161" s="32"/>
      <c r="HB161" s="32"/>
      <c r="HC161" s="32"/>
      <c r="HD161" s="32"/>
      <c r="HE161" s="32"/>
      <c r="HF161" s="32"/>
      <c r="HG161" s="32"/>
      <c r="HH161" s="32"/>
      <c r="HI161" s="32"/>
      <c r="HJ161" s="32"/>
      <c r="HK161" s="32"/>
      <c r="HL161" s="32"/>
      <c r="HM161" s="32"/>
      <c r="HN161" s="32"/>
      <c r="HO161" s="32"/>
      <c r="HP161" s="32"/>
      <c r="HQ161" s="32"/>
      <c r="HR161" s="32"/>
      <c r="HS161" s="32"/>
      <c r="HT161" s="32"/>
      <c r="HU161" s="32"/>
      <c r="HV161" s="32"/>
      <c r="HW161" s="32"/>
      <c r="HX161" s="32"/>
      <c r="HY161" s="32"/>
      <c r="HZ161" s="32"/>
      <c r="IA161" s="32"/>
      <c r="IB161" s="32"/>
      <c r="IC161" s="32"/>
      <c r="ID161" s="32"/>
      <c r="IE161" s="32"/>
      <c r="IF161" s="32"/>
      <c r="IG161" s="32"/>
      <c r="IH161" s="32"/>
      <c r="II161" s="32"/>
      <c r="IJ161" s="32"/>
      <c r="IK161" s="32"/>
      <c r="IL161" s="32"/>
      <c r="IM161" s="32"/>
      <c r="IN161" s="32"/>
      <c r="IO161" s="32"/>
      <c r="IP161" s="32"/>
      <c r="IQ161" s="32"/>
      <c r="IR161" s="32"/>
      <c r="IS161" s="32"/>
      <c r="IT161" s="32"/>
      <c r="IU161" s="32"/>
      <c r="IV161" s="32"/>
      <c r="IW161" s="32"/>
      <c r="IX161" s="32"/>
      <c r="IY161" s="32"/>
      <c r="IZ161" s="32"/>
      <c r="JA161" s="32"/>
      <c r="JB161" s="32"/>
      <c r="JC161" s="32"/>
      <c r="JD161" s="32"/>
      <c r="JE161" s="32"/>
      <c r="JF161" s="32"/>
      <c r="JG161" s="32"/>
      <c r="JH161" s="32"/>
      <c r="JI161" s="32"/>
      <c r="JJ161" s="32"/>
      <c r="JK161" s="32"/>
      <c r="JL161" s="32"/>
      <c r="JM161" s="32"/>
      <c r="JN161" s="32"/>
      <c r="JO161" s="32"/>
      <c r="JP161" s="32"/>
      <c r="JQ161" s="32"/>
      <c r="JR161" s="32"/>
      <c r="JS161" s="32"/>
      <c r="JT161" s="32"/>
      <c r="JU161" s="32"/>
      <c r="JV161" s="32"/>
      <c r="JW161" s="32"/>
      <c r="JX161" s="32"/>
      <c r="JY161" s="32"/>
      <c r="JZ161" s="32"/>
      <c r="KA161" s="32"/>
      <c r="KB161" s="32"/>
      <c r="KC161" s="32"/>
      <c r="KD161" s="32"/>
      <c r="KE161" s="32"/>
      <c r="KF161" s="32"/>
      <c r="KG161" s="32"/>
      <c r="KH161" s="32"/>
      <c r="KI161" s="32"/>
      <c r="KJ161" s="32"/>
      <c r="KK161" s="32"/>
      <c r="KL161" s="32"/>
      <c r="KM161" s="32"/>
      <c r="KN161" s="32"/>
      <c r="KO161" s="32"/>
      <c r="KP161" s="32"/>
      <c r="KQ161" s="32"/>
      <c r="KR161" s="32"/>
      <c r="KS161" s="32"/>
      <c r="KT161" s="32"/>
      <c r="KU161" s="32"/>
      <c r="KV161" s="32"/>
      <c r="KW161" s="32"/>
      <c r="KX161" s="32"/>
      <c r="KY161" s="32"/>
      <c r="KZ161" s="32"/>
      <c r="LA161" s="32"/>
      <c r="LB161" s="32"/>
      <c r="LC161" s="32"/>
      <c r="LD161" s="32"/>
      <c r="LE161" s="32"/>
      <c r="LF161" s="32"/>
      <c r="LG161" s="32"/>
      <c r="LH161" s="32"/>
      <c r="LI161" s="32"/>
      <c r="LJ161" s="32"/>
      <c r="LK161" s="32"/>
      <c r="LL161" s="32"/>
      <c r="LM161" s="32"/>
      <c r="LN161" s="32"/>
      <c r="LO161" s="32"/>
      <c r="LP161" s="32"/>
      <c r="LQ161" s="32"/>
      <c r="LR161" s="32"/>
      <c r="LS161" s="32"/>
      <c r="LT161" s="32"/>
      <c r="LU161" s="32"/>
      <c r="LV161" s="32"/>
      <c r="LW161" s="32"/>
      <c r="LX161" s="32"/>
      <c r="LY161" s="32"/>
      <c r="LZ161" s="32"/>
      <c r="MA161" s="32"/>
      <c r="MB161" s="32"/>
      <c r="MC161" s="32"/>
      <c r="MD161" s="32"/>
      <c r="ME161" s="32"/>
      <c r="MF161" s="32"/>
      <c r="MG161" s="32"/>
      <c r="MH161" s="32"/>
      <c r="MI161" s="32"/>
      <c r="MJ161" s="32"/>
      <c r="MK161" s="32"/>
      <c r="ML161" s="32"/>
      <c r="MM161" s="32"/>
      <c r="MN161" s="32"/>
      <c r="MO161" s="32"/>
      <c r="MP161" s="32"/>
      <c r="MQ161" s="32"/>
      <c r="MR161" s="32"/>
      <c r="MS161" s="32"/>
      <c r="MT161" s="32"/>
      <c r="MU161" s="32"/>
      <c r="MV161" s="32"/>
      <c r="MW161" s="32"/>
      <c r="MX161" s="32"/>
      <c r="MY161" s="32"/>
      <c r="MZ161" s="32"/>
      <c r="NA161" s="32"/>
      <c r="NB161" s="32"/>
      <c r="NC161" s="32"/>
      <c r="ND161" s="32"/>
      <c r="NE161" s="32"/>
      <c r="NF161" s="32"/>
      <c r="NG161" s="32"/>
      <c r="NH161" s="32"/>
      <c r="NI161" s="32"/>
      <c r="NJ161" s="32"/>
      <c r="NK161" s="32"/>
      <c r="NL161" s="32"/>
      <c r="NM161" s="32"/>
      <c r="NN161" s="32"/>
      <c r="NO161" s="32"/>
      <c r="NP161" s="32"/>
      <c r="NQ161" s="32"/>
      <c r="NR161" s="32"/>
      <c r="NS161" s="32"/>
      <c r="NT161" s="32"/>
      <c r="NU161" s="32"/>
      <c r="NV161" s="32"/>
      <c r="NW161" s="32"/>
      <c r="NX161" s="32"/>
      <c r="NY161" s="32"/>
      <c r="NZ161" s="32"/>
      <c r="OA161" s="32"/>
      <c r="OB161" s="32"/>
      <c r="OC161" s="32"/>
      <c r="OD161" s="32"/>
      <c r="OE161" s="32"/>
      <c r="OF161" s="32"/>
      <c r="OG161" s="32"/>
      <c r="OH161" s="32"/>
      <c r="OI161" s="32"/>
      <c r="OJ161" s="32"/>
      <c r="OK161" s="32"/>
      <c r="OL161" s="32"/>
      <c r="OM161" s="32"/>
      <c r="ON161" s="32"/>
      <c r="OO161" s="32"/>
      <c r="OP161" s="32"/>
      <c r="OQ161" s="32"/>
      <c r="OR161" s="32"/>
      <c r="OS161" s="32"/>
      <c r="OT161" s="32"/>
      <c r="OU161" s="32"/>
      <c r="OV161" s="32"/>
      <c r="OW161" s="32"/>
      <c r="OX161" s="32"/>
      <c r="OY161" s="32"/>
      <c r="OZ161" s="32"/>
      <c r="PA161" s="32"/>
      <c r="PB161" s="32"/>
      <c r="PC161" s="32"/>
      <c r="PD161" s="32"/>
      <c r="PE161" s="32"/>
      <c r="PF161" s="32"/>
      <c r="PG161" s="32"/>
      <c r="PH161" s="32"/>
      <c r="PI161" s="32"/>
      <c r="PJ161" s="32"/>
      <c r="PK161" s="32"/>
      <c r="PL161" s="32"/>
      <c r="PM161" s="32"/>
      <c r="PN161" s="32"/>
      <c r="PO161" s="32"/>
      <c r="PP161" s="32"/>
      <c r="PQ161" s="32"/>
      <c r="PR161" s="32"/>
      <c r="PS161" s="32"/>
      <c r="PT161" s="32"/>
      <c r="PU161" s="32"/>
      <c r="PV161" s="32"/>
      <c r="PW161" s="32"/>
      <c r="PX161" s="32"/>
      <c r="PY161" s="32"/>
      <c r="PZ161" s="32"/>
      <c r="QA161" s="32"/>
      <c r="QB161" s="32"/>
      <c r="QC161" s="32"/>
      <c r="QD161" s="32"/>
      <c r="QE161" s="32"/>
      <c r="QF161" s="32"/>
      <c r="QG161" s="32"/>
      <c r="QH161" s="32"/>
      <c r="QI161" s="32"/>
      <c r="QJ161" s="32"/>
      <c r="QK161" s="32"/>
      <c r="QL161" s="32"/>
      <c r="QM161" s="32"/>
      <c r="QN161" s="32"/>
      <c r="QO161" s="32"/>
      <c r="QP161" s="32"/>
      <c r="QQ161" s="32"/>
      <c r="QR161" s="32"/>
      <c r="QS161" s="32"/>
      <c r="QT161" s="32"/>
      <c r="QU161" s="32"/>
      <c r="QV161" s="32"/>
      <c r="QW161" s="32"/>
      <c r="QX161" s="32"/>
      <c r="QY161" s="32"/>
      <c r="QZ161" s="32"/>
      <c r="RA161" s="32"/>
      <c r="RB161" s="32"/>
      <c r="RC161" s="32"/>
      <c r="RD161" s="32"/>
      <c r="RE161" s="32"/>
      <c r="RF161" s="32"/>
      <c r="RG161" s="32"/>
      <c r="RH161" s="32"/>
      <c r="RI161" s="32"/>
      <c r="RJ161" s="32"/>
      <c r="RK161" s="32"/>
      <c r="RL161" s="32"/>
      <c r="RM161" s="32"/>
      <c r="RN161" s="32"/>
      <c r="RO161" s="32"/>
      <c r="RP161" s="32"/>
      <c r="RQ161" s="32"/>
      <c r="RR161" s="32"/>
      <c r="RS161" s="32"/>
      <c r="RT161" s="32"/>
      <c r="RU161" s="32"/>
      <c r="RV161" s="32"/>
      <c r="RW161" s="32"/>
      <c r="RX161" s="32"/>
      <c r="RY161" s="32"/>
      <c r="RZ161" s="32"/>
      <c r="SA161" s="32"/>
      <c r="SB161" s="32"/>
      <c r="SC161" s="32"/>
      <c r="SD161" s="32"/>
      <c r="SE161" s="32"/>
      <c r="SF161" s="32"/>
      <c r="SG161" s="32"/>
      <c r="SH161" s="32"/>
      <c r="SI161" s="32"/>
      <c r="SJ161" s="32"/>
      <c r="SK161" s="32"/>
      <c r="SL161" s="32"/>
      <c r="SM161" s="32"/>
      <c r="SN161" s="32"/>
      <c r="SO161" s="32"/>
      <c r="SP161" s="32"/>
      <c r="SQ161" s="32"/>
      <c r="SR161" s="32"/>
      <c r="SS161" s="32"/>
      <c r="ST161" s="32"/>
      <c r="SU161" s="32"/>
      <c r="SV161" s="32"/>
      <c r="SW161" s="32"/>
      <c r="SX161" s="32"/>
      <c r="SY161" s="32"/>
      <c r="SZ161" s="32"/>
      <c r="TA161" s="32"/>
      <c r="TB161" s="32"/>
      <c r="TC161" s="32"/>
      <c r="TD161" s="32"/>
      <c r="TE161" s="32"/>
      <c r="TF161" s="32"/>
      <c r="TG161" s="32"/>
    </row>
    <row r="162" spans="1:527" s="34" customFormat="1" ht="32.25" customHeight="1" x14ac:dyDescent="0.25">
      <c r="A162" s="96" t="s">
        <v>179</v>
      </c>
      <c r="B162" s="109"/>
      <c r="C162" s="109"/>
      <c r="D162" s="77" t="s">
        <v>394</v>
      </c>
      <c r="E162" s="98">
        <f>E168+E169+E170+E171+E172+E174+E175+E176+E178+E180+E181+E182+E184+E186+E187+E188+E189+E190+E191+E193+E195+E197+E198+E200+E201</f>
        <v>196893094.35000002</v>
      </c>
      <c r="F162" s="98">
        <f t="shared" ref="F162:P162" si="62">F168+F169+F170+F171+F172+F174+F175+F176+F178+F180+F181+F182+F184+F186+F187+F188+F189+F190+F191+F193+F195+F197+F198+F200+F201</f>
        <v>196893094.35000002</v>
      </c>
      <c r="G162" s="98">
        <f t="shared" si="62"/>
        <v>60863900</v>
      </c>
      <c r="H162" s="98">
        <f t="shared" si="62"/>
        <v>1758789</v>
      </c>
      <c r="I162" s="98">
        <f t="shared" si="62"/>
        <v>0</v>
      </c>
      <c r="J162" s="98">
        <f t="shared" si="62"/>
        <v>2938824.05</v>
      </c>
      <c r="K162" s="98">
        <f t="shared" si="62"/>
        <v>2842624.05</v>
      </c>
      <c r="L162" s="98">
        <f t="shared" si="62"/>
        <v>96200</v>
      </c>
      <c r="M162" s="98">
        <f t="shared" si="62"/>
        <v>75000</v>
      </c>
      <c r="N162" s="98">
        <f t="shared" si="62"/>
        <v>0</v>
      </c>
      <c r="O162" s="98">
        <f t="shared" si="62"/>
        <v>2842624.05</v>
      </c>
      <c r="P162" s="98">
        <f t="shared" si="62"/>
        <v>199831918.40000004</v>
      </c>
      <c r="Q162" s="33"/>
      <c r="R162" s="32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3"/>
      <c r="DW162" s="33"/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  <c r="EO162" s="33"/>
      <c r="EP162" s="33"/>
      <c r="EQ162" s="33"/>
      <c r="ER162" s="33"/>
      <c r="ES162" s="33"/>
      <c r="ET162" s="33"/>
      <c r="EU162" s="33"/>
      <c r="EV162" s="33"/>
      <c r="EW162" s="33"/>
      <c r="EX162" s="33"/>
      <c r="EY162" s="33"/>
      <c r="EZ162" s="33"/>
      <c r="FA162" s="33"/>
      <c r="FB162" s="33"/>
      <c r="FC162" s="33"/>
      <c r="FD162" s="33"/>
      <c r="FE162" s="33"/>
      <c r="FF162" s="33"/>
      <c r="FG162" s="33"/>
      <c r="FH162" s="33"/>
      <c r="FI162" s="33"/>
      <c r="FJ162" s="33"/>
      <c r="FK162" s="33"/>
      <c r="FL162" s="33"/>
      <c r="FM162" s="33"/>
      <c r="FN162" s="33"/>
      <c r="FO162" s="33"/>
      <c r="FP162" s="33"/>
      <c r="FQ162" s="33"/>
      <c r="FR162" s="33"/>
      <c r="FS162" s="33"/>
      <c r="FT162" s="33"/>
      <c r="FU162" s="33"/>
      <c r="FV162" s="33"/>
      <c r="FW162" s="33"/>
      <c r="FX162" s="33"/>
      <c r="FY162" s="33"/>
      <c r="FZ162" s="33"/>
      <c r="GA162" s="33"/>
      <c r="GB162" s="33"/>
      <c r="GC162" s="33"/>
      <c r="GD162" s="33"/>
      <c r="GE162" s="33"/>
      <c r="GF162" s="33"/>
      <c r="GG162" s="33"/>
      <c r="GH162" s="33"/>
      <c r="GI162" s="33"/>
      <c r="GJ162" s="33"/>
      <c r="GK162" s="33"/>
      <c r="GL162" s="33"/>
      <c r="GM162" s="33"/>
      <c r="GN162" s="33"/>
      <c r="GO162" s="33"/>
      <c r="GP162" s="33"/>
      <c r="GQ162" s="33"/>
      <c r="GR162" s="33"/>
      <c r="GS162" s="33"/>
      <c r="GT162" s="33"/>
      <c r="GU162" s="33"/>
      <c r="GV162" s="33"/>
      <c r="GW162" s="33"/>
      <c r="GX162" s="33"/>
      <c r="GY162" s="33"/>
      <c r="GZ162" s="33"/>
      <c r="HA162" s="33"/>
      <c r="HB162" s="33"/>
      <c r="HC162" s="33"/>
      <c r="HD162" s="33"/>
      <c r="HE162" s="33"/>
      <c r="HF162" s="33"/>
      <c r="HG162" s="33"/>
      <c r="HH162" s="33"/>
      <c r="HI162" s="33"/>
      <c r="HJ162" s="33"/>
      <c r="HK162" s="33"/>
      <c r="HL162" s="33"/>
      <c r="HM162" s="33"/>
      <c r="HN162" s="33"/>
      <c r="HO162" s="33"/>
      <c r="HP162" s="33"/>
      <c r="HQ162" s="33"/>
      <c r="HR162" s="33"/>
      <c r="HS162" s="33"/>
      <c r="HT162" s="33"/>
      <c r="HU162" s="33"/>
      <c r="HV162" s="33"/>
      <c r="HW162" s="33"/>
      <c r="HX162" s="33"/>
      <c r="HY162" s="33"/>
      <c r="HZ162" s="33"/>
      <c r="IA162" s="33"/>
      <c r="IB162" s="33"/>
      <c r="IC162" s="33"/>
      <c r="ID162" s="33"/>
      <c r="IE162" s="33"/>
      <c r="IF162" s="33"/>
      <c r="IG162" s="33"/>
      <c r="IH162" s="33"/>
      <c r="II162" s="33"/>
      <c r="IJ162" s="33"/>
      <c r="IK162" s="33"/>
      <c r="IL162" s="33"/>
      <c r="IM162" s="33"/>
      <c r="IN162" s="33"/>
      <c r="IO162" s="33"/>
      <c r="IP162" s="33"/>
      <c r="IQ162" s="33"/>
      <c r="IR162" s="33"/>
      <c r="IS162" s="33"/>
      <c r="IT162" s="33"/>
      <c r="IU162" s="33"/>
      <c r="IV162" s="33"/>
      <c r="IW162" s="33"/>
      <c r="IX162" s="33"/>
      <c r="IY162" s="33"/>
      <c r="IZ162" s="33"/>
      <c r="JA162" s="33"/>
      <c r="JB162" s="33"/>
      <c r="JC162" s="33"/>
      <c r="JD162" s="33"/>
      <c r="JE162" s="33"/>
      <c r="JF162" s="33"/>
      <c r="JG162" s="33"/>
      <c r="JH162" s="33"/>
      <c r="JI162" s="33"/>
      <c r="JJ162" s="33"/>
      <c r="JK162" s="33"/>
      <c r="JL162" s="33"/>
      <c r="JM162" s="33"/>
      <c r="JN162" s="33"/>
      <c r="JO162" s="33"/>
      <c r="JP162" s="33"/>
      <c r="JQ162" s="33"/>
      <c r="JR162" s="33"/>
      <c r="JS162" s="33"/>
      <c r="JT162" s="33"/>
      <c r="JU162" s="33"/>
      <c r="JV162" s="33"/>
      <c r="JW162" s="33"/>
      <c r="JX162" s="33"/>
      <c r="JY162" s="33"/>
      <c r="JZ162" s="33"/>
      <c r="KA162" s="33"/>
      <c r="KB162" s="33"/>
      <c r="KC162" s="33"/>
      <c r="KD162" s="33"/>
      <c r="KE162" s="33"/>
      <c r="KF162" s="33"/>
      <c r="KG162" s="33"/>
      <c r="KH162" s="33"/>
      <c r="KI162" s="33"/>
      <c r="KJ162" s="33"/>
      <c r="KK162" s="33"/>
      <c r="KL162" s="33"/>
      <c r="KM162" s="33"/>
      <c r="KN162" s="33"/>
      <c r="KO162" s="33"/>
      <c r="KP162" s="33"/>
      <c r="KQ162" s="33"/>
      <c r="KR162" s="33"/>
      <c r="KS162" s="33"/>
      <c r="KT162" s="33"/>
      <c r="KU162" s="33"/>
      <c r="KV162" s="33"/>
      <c r="KW162" s="33"/>
      <c r="KX162" s="33"/>
      <c r="KY162" s="33"/>
      <c r="KZ162" s="33"/>
      <c r="LA162" s="33"/>
      <c r="LB162" s="33"/>
      <c r="LC162" s="33"/>
      <c r="LD162" s="33"/>
      <c r="LE162" s="33"/>
      <c r="LF162" s="33"/>
      <c r="LG162" s="33"/>
      <c r="LH162" s="33"/>
      <c r="LI162" s="33"/>
      <c r="LJ162" s="33"/>
      <c r="LK162" s="33"/>
      <c r="LL162" s="33"/>
      <c r="LM162" s="33"/>
      <c r="LN162" s="33"/>
      <c r="LO162" s="33"/>
      <c r="LP162" s="33"/>
      <c r="LQ162" s="33"/>
      <c r="LR162" s="33"/>
      <c r="LS162" s="33"/>
      <c r="LT162" s="33"/>
      <c r="LU162" s="33"/>
      <c r="LV162" s="33"/>
      <c r="LW162" s="33"/>
      <c r="LX162" s="33"/>
      <c r="LY162" s="33"/>
      <c r="LZ162" s="33"/>
      <c r="MA162" s="33"/>
      <c r="MB162" s="33"/>
      <c r="MC162" s="33"/>
      <c r="MD162" s="33"/>
      <c r="ME162" s="33"/>
      <c r="MF162" s="33"/>
      <c r="MG162" s="33"/>
      <c r="MH162" s="33"/>
      <c r="MI162" s="33"/>
      <c r="MJ162" s="33"/>
      <c r="MK162" s="33"/>
      <c r="ML162" s="33"/>
      <c r="MM162" s="33"/>
      <c r="MN162" s="33"/>
      <c r="MO162" s="33"/>
      <c r="MP162" s="33"/>
      <c r="MQ162" s="33"/>
      <c r="MR162" s="33"/>
      <c r="MS162" s="33"/>
      <c r="MT162" s="33"/>
      <c r="MU162" s="33"/>
      <c r="MV162" s="33"/>
      <c r="MW162" s="33"/>
      <c r="MX162" s="33"/>
      <c r="MY162" s="33"/>
      <c r="MZ162" s="33"/>
      <c r="NA162" s="33"/>
      <c r="NB162" s="33"/>
      <c r="NC162" s="33"/>
      <c r="ND162" s="33"/>
      <c r="NE162" s="33"/>
      <c r="NF162" s="33"/>
      <c r="NG162" s="33"/>
      <c r="NH162" s="33"/>
      <c r="NI162" s="33"/>
      <c r="NJ162" s="33"/>
      <c r="NK162" s="33"/>
      <c r="NL162" s="33"/>
      <c r="NM162" s="33"/>
      <c r="NN162" s="33"/>
      <c r="NO162" s="33"/>
      <c r="NP162" s="33"/>
      <c r="NQ162" s="33"/>
      <c r="NR162" s="33"/>
      <c r="NS162" s="33"/>
      <c r="NT162" s="33"/>
      <c r="NU162" s="33"/>
      <c r="NV162" s="33"/>
      <c r="NW162" s="33"/>
      <c r="NX162" s="33"/>
      <c r="NY162" s="33"/>
      <c r="NZ162" s="33"/>
      <c r="OA162" s="33"/>
      <c r="OB162" s="33"/>
      <c r="OC162" s="33"/>
      <c r="OD162" s="33"/>
      <c r="OE162" s="33"/>
      <c r="OF162" s="33"/>
      <c r="OG162" s="33"/>
      <c r="OH162" s="33"/>
      <c r="OI162" s="33"/>
      <c r="OJ162" s="33"/>
      <c r="OK162" s="33"/>
      <c r="OL162" s="33"/>
      <c r="OM162" s="33"/>
      <c r="ON162" s="33"/>
      <c r="OO162" s="33"/>
      <c r="OP162" s="33"/>
      <c r="OQ162" s="33"/>
      <c r="OR162" s="33"/>
      <c r="OS162" s="33"/>
      <c r="OT162" s="33"/>
      <c r="OU162" s="33"/>
      <c r="OV162" s="33"/>
      <c r="OW162" s="33"/>
      <c r="OX162" s="33"/>
      <c r="OY162" s="33"/>
      <c r="OZ162" s="33"/>
      <c r="PA162" s="33"/>
      <c r="PB162" s="33"/>
      <c r="PC162" s="33"/>
      <c r="PD162" s="33"/>
      <c r="PE162" s="33"/>
      <c r="PF162" s="33"/>
      <c r="PG162" s="33"/>
      <c r="PH162" s="33"/>
      <c r="PI162" s="33"/>
      <c r="PJ162" s="33"/>
      <c r="PK162" s="33"/>
      <c r="PL162" s="33"/>
      <c r="PM162" s="33"/>
      <c r="PN162" s="33"/>
      <c r="PO162" s="33"/>
      <c r="PP162" s="33"/>
      <c r="PQ162" s="33"/>
      <c r="PR162" s="33"/>
      <c r="PS162" s="33"/>
      <c r="PT162" s="33"/>
      <c r="PU162" s="33"/>
      <c r="PV162" s="33"/>
      <c r="PW162" s="33"/>
      <c r="PX162" s="33"/>
      <c r="PY162" s="33"/>
      <c r="PZ162" s="33"/>
      <c r="QA162" s="33"/>
      <c r="QB162" s="33"/>
      <c r="QC162" s="33"/>
      <c r="QD162" s="33"/>
      <c r="QE162" s="33"/>
      <c r="QF162" s="33"/>
      <c r="QG162" s="33"/>
      <c r="QH162" s="33"/>
      <c r="QI162" s="33"/>
      <c r="QJ162" s="33"/>
      <c r="QK162" s="33"/>
      <c r="QL162" s="33"/>
      <c r="QM162" s="33"/>
      <c r="QN162" s="33"/>
      <c r="QO162" s="33"/>
      <c r="QP162" s="33"/>
      <c r="QQ162" s="33"/>
      <c r="QR162" s="33"/>
      <c r="QS162" s="33"/>
      <c r="QT162" s="33"/>
      <c r="QU162" s="33"/>
      <c r="QV162" s="33"/>
      <c r="QW162" s="33"/>
      <c r="QX162" s="33"/>
      <c r="QY162" s="33"/>
      <c r="QZ162" s="33"/>
      <c r="RA162" s="33"/>
      <c r="RB162" s="33"/>
      <c r="RC162" s="33"/>
      <c r="RD162" s="33"/>
      <c r="RE162" s="33"/>
      <c r="RF162" s="33"/>
      <c r="RG162" s="33"/>
      <c r="RH162" s="33"/>
      <c r="RI162" s="33"/>
      <c r="RJ162" s="33"/>
      <c r="RK162" s="33"/>
      <c r="RL162" s="33"/>
      <c r="RM162" s="33"/>
      <c r="RN162" s="33"/>
      <c r="RO162" s="33"/>
      <c r="RP162" s="33"/>
      <c r="RQ162" s="33"/>
      <c r="RR162" s="33"/>
      <c r="RS162" s="33"/>
      <c r="RT162" s="33"/>
      <c r="RU162" s="33"/>
      <c r="RV162" s="33"/>
      <c r="RW162" s="33"/>
      <c r="RX162" s="33"/>
      <c r="RY162" s="33"/>
      <c r="RZ162" s="33"/>
      <c r="SA162" s="33"/>
      <c r="SB162" s="33"/>
      <c r="SC162" s="33"/>
      <c r="SD162" s="33"/>
      <c r="SE162" s="33"/>
      <c r="SF162" s="33"/>
      <c r="SG162" s="33"/>
      <c r="SH162" s="33"/>
      <c r="SI162" s="33"/>
      <c r="SJ162" s="33"/>
      <c r="SK162" s="33"/>
      <c r="SL162" s="33"/>
      <c r="SM162" s="33"/>
      <c r="SN162" s="33"/>
      <c r="SO162" s="33"/>
      <c r="SP162" s="33"/>
      <c r="SQ162" s="33"/>
      <c r="SR162" s="33"/>
      <c r="SS162" s="33"/>
      <c r="ST162" s="33"/>
      <c r="SU162" s="33"/>
      <c r="SV162" s="33"/>
      <c r="SW162" s="33"/>
      <c r="SX162" s="33"/>
      <c r="SY162" s="33"/>
      <c r="SZ162" s="33"/>
      <c r="TA162" s="33"/>
      <c r="TB162" s="33"/>
      <c r="TC162" s="33"/>
      <c r="TD162" s="33"/>
      <c r="TE162" s="33"/>
      <c r="TF162" s="33"/>
      <c r="TG162" s="33"/>
    </row>
    <row r="163" spans="1:527" s="34" customFormat="1" ht="275.25" hidden="1" customHeight="1" x14ac:dyDescent="0.25">
      <c r="A163" s="96"/>
      <c r="B163" s="109"/>
      <c r="C163" s="109"/>
      <c r="D163" s="77" t="str">
        <f>'дод 8'!C101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3" s="98">
        <f>E192</f>
        <v>0</v>
      </c>
      <c r="F163" s="98">
        <f>L192</f>
        <v>0</v>
      </c>
      <c r="G163" s="98">
        <f t="shared" ref="G163:P163" si="63">G192</f>
        <v>0</v>
      </c>
      <c r="H163" s="98">
        <f t="shared" si="63"/>
        <v>0</v>
      </c>
      <c r="I163" s="98">
        <f t="shared" si="63"/>
        <v>0</v>
      </c>
      <c r="J163" s="98">
        <f t="shared" si="63"/>
        <v>975480.06</v>
      </c>
      <c r="K163" s="98">
        <f t="shared" si="63"/>
        <v>975480.06</v>
      </c>
      <c r="L163" s="98">
        <f t="shared" si="63"/>
        <v>0</v>
      </c>
      <c r="M163" s="98">
        <f t="shared" si="63"/>
        <v>0</v>
      </c>
      <c r="N163" s="98">
        <f t="shared" si="63"/>
        <v>0</v>
      </c>
      <c r="O163" s="98">
        <f t="shared" si="63"/>
        <v>975480.06</v>
      </c>
      <c r="P163" s="98">
        <f t="shared" si="63"/>
        <v>975480.06</v>
      </c>
      <c r="Q163" s="33"/>
      <c r="R163" s="32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  <c r="FV163" s="33"/>
      <c r="FW163" s="33"/>
      <c r="FX163" s="33"/>
      <c r="FY163" s="33"/>
      <c r="FZ163" s="33"/>
      <c r="GA163" s="33"/>
      <c r="GB163" s="33"/>
      <c r="GC163" s="33"/>
      <c r="GD163" s="33"/>
      <c r="GE163" s="33"/>
      <c r="GF163" s="33"/>
      <c r="GG163" s="33"/>
      <c r="GH163" s="33"/>
      <c r="GI163" s="33"/>
      <c r="GJ163" s="33"/>
      <c r="GK163" s="33"/>
      <c r="GL163" s="33"/>
      <c r="GM163" s="33"/>
      <c r="GN163" s="33"/>
      <c r="GO163" s="33"/>
      <c r="GP163" s="33"/>
      <c r="GQ163" s="33"/>
      <c r="GR163" s="33"/>
      <c r="GS163" s="33"/>
      <c r="GT163" s="33"/>
      <c r="GU163" s="33"/>
      <c r="GV163" s="33"/>
      <c r="GW163" s="33"/>
      <c r="GX163" s="33"/>
      <c r="GY163" s="33"/>
      <c r="GZ163" s="33"/>
      <c r="HA163" s="33"/>
      <c r="HB163" s="33"/>
      <c r="HC163" s="33"/>
      <c r="HD163" s="33"/>
      <c r="HE163" s="33"/>
      <c r="HF163" s="33"/>
      <c r="HG163" s="33"/>
      <c r="HH163" s="33"/>
      <c r="HI163" s="33"/>
      <c r="HJ163" s="33"/>
      <c r="HK163" s="33"/>
      <c r="HL163" s="33"/>
      <c r="HM163" s="33"/>
      <c r="HN163" s="33"/>
      <c r="HO163" s="33"/>
      <c r="HP163" s="33"/>
      <c r="HQ163" s="33"/>
      <c r="HR163" s="33"/>
      <c r="HS163" s="33"/>
      <c r="HT163" s="33"/>
      <c r="HU163" s="33"/>
      <c r="HV163" s="33"/>
      <c r="HW163" s="33"/>
      <c r="HX163" s="33"/>
      <c r="HY163" s="33"/>
      <c r="HZ163" s="33"/>
      <c r="IA163" s="33"/>
      <c r="IB163" s="33"/>
      <c r="IC163" s="33"/>
      <c r="ID163" s="33"/>
      <c r="IE163" s="33"/>
      <c r="IF163" s="33"/>
      <c r="IG163" s="33"/>
      <c r="IH163" s="33"/>
      <c r="II163" s="33"/>
      <c r="IJ163" s="33"/>
      <c r="IK163" s="33"/>
      <c r="IL163" s="33"/>
      <c r="IM163" s="33"/>
      <c r="IN163" s="33"/>
      <c r="IO163" s="33"/>
      <c r="IP163" s="33"/>
      <c r="IQ163" s="33"/>
      <c r="IR163" s="33"/>
      <c r="IS163" s="33"/>
      <c r="IT163" s="33"/>
      <c r="IU163" s="33"/>
      <c r="IV163" s="33"/>
      <c r="IW163" s="33"/>
      <c r="IX163" s="33"/>
      <c r="IY163" s="33"/>
      <c r="IZ163" s="33"/>
      <c r="JA163" s="33"/>
      <c r="JB163" s="33"/>
      <c r="JC163" s="33"/>
      <c r="JD163" s="33"/>
      <c r="JE163" s="33"/>
      <c r="JF163" s="33"/>
      <c r="JG163" s="33"/>
      <c r="JH163" s="33"/>
      <c r="JI163" s="33"/>
      <c r="JJ163" s="33"/>
      <c r="JK163" s="33"/>
      <c r="JL163" s="33"/>
      <c r="JM163" s="33"/>
      <c r="JN163" s="33"/>
      <c r="JO163" s="33"/>
      <c r="JP163" s="33"/>
      <c r="JQ163" s="33"/>
      <c r="JR163" s="33"/>
      <c r="JS163" s="33"/>
      <c r="JT163" s="33"/>
      <c r="JU163" s="33"/>
      <c r="JV163" s="33"/>
      <c r="JW163" s="33"/>
      <c r="JX163" s="33"/>
      <c r="JY163" s="33"/>
      <c r="JZ163" s="33"/>
      <c r="KA163" s="33"/>
      <c r="KB163" s="33"/>
      <c r="KC163" s="33"/>
      <c r="KD163" s="33"/>
      <c r="KE163" s="33"/>
      <c r="KF163" s="33"/>
      <c r="KG163" s="33"/>
      <c r="KH163" s="33"/>
      <c r="KI163" s="33"/>
      <c r="KJ163" s="33"/>
      <c r="KK163" s="33"/>
      <c r="KL163" s="33"/>
      <c r="KM163" s="33"/>
      <c r="KN163" s="33"/>
      <c r="KO163" s="33"/>
      <c r="KP163" s="33"/>
      <c r="KQ163" s="33"/>
      <c r="KR163" s="33"/>
      <c r="KS163" s="33"/>
      <c r="KT163" s="33"/>
      <c r="KU163" s="33"/>
      <c r="KV163" s="33"/>
      <c r="KW163" s="33"/>
      <c r="KX163" s="33"/>
      <c r="KY163" s="33"/>
      <c r="KZ163" s="33"/>
      <c r="LA163" s="33"/>
      <c r="LB163" s="33"/>
      <c r="LC163" s="33"/>
      <c r="LD163" s="33"/>
      <c r="LE163" s="33"/>
      <c r="LF163" s="33"/>
      <c r="LG163" s="33"/>
      <c r="LH163" s="33"/>
      <c r="LI163" s="33"/>
      <c r="LJ163" s="33"/>
      <c r="LK163" s="33"/>
      <c r="LL163" s="33"/>
      <c r="LM163" s="33"/>
      <c r="LN163" s="33"/>
      <c r="LO163" s="33"/>
      <c r="LP163" s="33"/>
      <c r="LQ163" s="33"/>
      <c r="LR163" s="33"/>
      <c r="LS163" s="33"/>
      <c r="LT163" s="33"/>
      <c r="LU163" s="33"/>
      <c r="LV163" s="33"/>
      <c r="LW163" s="33"/>
      <c r="LX163" s="33"/>
      <c r="LY163" s="33"/>
      <c r="LZ163" s="33"/>
      <c r="MA163" s="33"/>
      <c r="MB163" s="33"/>
      <c r="MC163" s="33"/>
      <c r="MD163" s="33"/>
      <c r="ME163" s="33"/>
      <c r="MF163" s="33"/>
      <c r="MG163" s="33"/>
      <c r="MH163" s="33"/>
      <c r="MI163" s="33"/>
      <c r="MJ163" s="33"/>
      <c r="MK163" s="33"/>
      <c r="ML163" s="33"/>
      <c r="MM163" s="33"/>
      <c r="MN163" s="33"/>
      <c r="MO163" s="33"/>
      <c r="MP163" s="33"/>
      <c r="MQ163" s="33"/>
      <c r="MR163" s="33"/>
      <c r="MS163" s="33"/>
      <c r="MT163" s="33"/>
      <c r="MU163" s="33"/>
      <c r="MV163" s="33"/>
      <c r="MW163" s="33"/>
      <c r="MX163" s="33"/>
      <c r="MY163" s="33"/>
      <c r="MZ163" s="33"/>
      <c r="NA163" s="33"/>
      <c r="NB163" s="33"/>
      <c r="NC163" s="33"/>
      <c r="ND163" s="33"/>
      <c r="NE163" s="33"/>
      <c r="NF163" s="33"/>
      <c r="NG163" s="33"/>
      <c r="NH163" s="33"/>
      <c r="NI163" s="33"/>
      <c r="NJ163" s="33"/>
      <c r="NK163" s="33"/>
      <c r="NL163" s="33"/>
      <c r="NM163" s="33"/>
      <c r="NN163" s="33"/>
      <c r="NO163" s="33"/>
      <c r="NP163" s="33"/>
      <c r="NQ163" s="33"/>
      <c r="NR163" s="33"/>
      <c r="NS163" s="33"/>
      <c r="NT163" s="33"/>
      <c r="NU163" s="33"/>
      <c r="NV163" s="33"/>
      <c r="NW163" s="33"/>
      <c r="NX163" s="33"/>
      <c r="NY163" s="33"/>
      <c r="NZ163" s="33"/>
      <c r="OA163" s="33"/>
      <c r="OB163" s="33"/>
      <c r="OC163" s="33"/>
      <c r="OD163" s="33"/>
      <c r="OE163" s="33"/>
      <c r="OF163" s="33"/>
      <c r="OG163" s="33"/>
      <c r="OH163" s="33"/>
      <c r="OI163" s="33"/>
      <c r="OJ163" s="33"/>
      <c r="OK163" s="33"/>
      <c r="OL163" s="33"/>
      <c r="OM163" s="33"/>
      <c r="ON163" s="33"/>
      <c r="OO163" s="33"/>
      <c r="OP163" s="33"/>
      <c r="OQ163" s="33"/>
      <c r="OR163" s="33"/>
      <c r="OS163" s="33"/>
      <c r="OT163" s="33"/>
      <c r="OU163" s="33"/>
      <c r="OV163" s="33"/>
      <c r="OW163" s="33"/>
      <c r="OX163" s="33"/>
      <c r="OY163" s="33"/>
      <c r="OZ163" s="33"/>
      <c r="PA163" s="33"/>
      <c r="PB163" s="33"/>
      <c r="PC163" s="33"/>
      <c r="PD163" s="33"/>
      <c r="PE163" s="33"/>
      <c r="PF163" s="33"/>
      <c r="PG163" s="33"/>
      <c r="PH163" s="33"/>
      <c r="PI163" s="33"/>
      <c r="PJ163" s="33"/>
      <c r="PK163" s="33"/>
      <c r="PL163" s="33"/>
      <c r="PM163" s="33"/>
      <c r="PN163" s="33"/>
      <c r="PO163" s="33"/>
      <c r="PP163" s="33"/>
      <c r="PQ163" s="33"/>
      <c r="PR163" s="33"/>
      <c r="PS163" s="33"/>
      <c r="PT163" s="33"/>
      <c r="PU163" s="33"/>
      <c r="PV163" s="33"/>
      <c r="PW163" s="33"/>
      <c r="PX163" s="33"/>
      <c r="PY163" s="33"/>
      <c r="PZ163" s="33"/>
      <c r="QA163" s="33"/>
      <c r="QB163" s="33"/>
      <c r="QC163" s="33"/>
      <c r="QD163" s="33"/>
      <c r="QE163" s="33"/>
      <c r="QF163" s="33"/>
      <c r="QG163" s="33"/>
      <c r="QH163" s="33"/>
      <c r="QI163" s="33"/>
      <c r="QJ163" s="33"/>
      <c r="QK163" s="33"/>
      <c r="QL163" s="33"/>
      <c r="QM163" s="33"/>
      <c r="QN163" s="33"/>
      <c r="QO163" s="33"/>
      <c r="QP163" s="33"/>
      <c r="QQ163" s="33"/>
      <c r="QR163" s="33"/>
      <c r="QS163" s="33"/>
      <c r="QT163" s="33"/>
      <c r="QU163" s="33"/>
      <c r="QV163" s="33"/>
      <c r="QW163" s="33"/>
      <c r="QX163" s="33"/>
      <c r="QY163" s="33"/>
      <c r="QZ163" s="33"/>
      <c r="RA163" s="33"/>
      <c r="RB163" s="33"/>
      <c r="RC163" s="33"/>
      <c r="RD163" s="33"/>
      <c r="RE163" s="33"/>
      <c r="RF163" s="33"/>
      <c r="RG163" s="33"/>
      <c r="RH163" s="33"/>
      <c r="RI163" s="33"/>
      <c r="RJ163" s="33"/>
      <c r="RK163" s="33"/>
      <c r="RL163" s="33"/>
      <c r="RM163" s="33"/>
      <c r="RN163" s="33"/>
      <c r="RO163" s="33"/>
      <c r="RP163" s="33"/>
      <c r="RQ163" s="33"/>
      <c r="RR163" s="33"/>
      <c r="RS163" s="33"/>
      <c r="RT163" s="33"/>
      <c r="RU163" s="33"/>
      <c r="RV163" s="33"/>
      <c r="RW163" s="33"/>
      <c r="RX163" s="33"/>
      <c r="RY163" s="33"/>
      <c r="RZ163" s="33"/>
      <c r="SA163" s="33"/>
      <c r="SB163" s="33"/>
      <c r="SC163" s="33"/>
      <c r="SD163" s="33"/>
      <c r="SE163" s="33"/>
      <c r="SF163" s="33"/>
      <c r="SG163" s="33"/>
      <c r="SH163" s="33"/>
      <c r="SI163" s="33"/>
      <c r="SJ163" s="33"/>
      <c r="SK163" s="33"/>
      <c r="SL163" s="33"/>
      <c r="SM163" s="33"/>
      <c r="SN163" s="33"/>
      <c r="SO163" s="33"/>
      <c r="SP163" s="33"/>
      <c r="SQ163" s="33"/>
      <c r="SR163" s="33"/>
      <c r="SS163" s="33"/>
      <c r="ST163" s="33"/>
      <c r="SU163" s="33"/>
      <c r="SV163" s="33"/>
      <c r="SW163" s="33"/>
      <c r="SX163" s="33"/>
      <c r="SY163" s="33"/>
      <c r="SZ163" s="33"/>
      <c r="TA163" s="33"/>
      <c r="TB163" s="33"/>
      <c r="TC163" s="33"/>
      <c r="TD163" s="33"/>
      <c r="TE163" s="33"/>
      <c r="TF163" s="33"/>
      <c r="TG163" s="33"/>
    </row>
    <row r="164" spans="1:527" s="34" customFormat="1" ht="255" hidden="1" customHeight="1" x14ac:dyDescent="0.25">
      <c r="A164" s="96"/>
      <c r="B164" s="109"/>
      <c r="C164" s="109"/>
      <c r="D164" s="77" t="str">
        <f>'дод 8'!C102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4" s="98">
        <f>E196</f>
        <v>0</v>
      </c>
      <c r="F164" s="98">
        <f t="shared" ref="F164:P164" si="64">F196</f>
        <v>0</v>
      </c>
      <c r="G164" s="98">
        <f t="shared" si="64"/>
        <v>0</v>
      </c>
      <c r="H164" s="98">
        <f t="shared" si="64"/>
        <v>0</v>
      </c>
      <c r="I164" s="98">
        <f t="shared" si="64"/>
        <v>0</v>
      </c>
      <c r="J164" s="98">
        <f t="shared" si="64"/>
        <v>0</v>
      </c>
      <c r="K164" s="98">
        <f t="shared" si="64"/>
        <v>0</v>
      </c>
      <c r="L164" s="98">
        <f t="shared" si="64"/>
        <v>0</v>
      </c>
      <c r="M164" s="98">
        <f t="shared" si="64"/>
        <v>0</v>
      </c>
      <c r="N164" s="98">
        <f t="shared" si="64"/>
        <v>0</v>
      </c>
      <c r="O164" s="98">
        <f t="shared" si="64"/>
        <v>0</v>
      </c>
      <c r="P164" s="98">
        <f t="shared" si="64"/>
        <v>0</v>
      </c>
      <c r="Q164" s="33"/>
      <c r="R164" s="32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  <c r="GE164" s="33"/>
      <c r="GF164" s="33"/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33"/>
      <c r="GZ164" s="33"/>
      <c r="HA164" s="33"/>
      <c r="HB164" s="33"/>
      <c r="HC164" s="33"/>
      <c r="HD164" s="33"/>
      <c r="HE164" s="33"/>
      <c r="HF164" s="33"/>
      <c r="HG164" s="33"/>
      <c r="HH164" s="33"/>
      <c r="HI164" s="33"/>
      <c r="HJ164" s="33"/>
      <c r="HK164" s="33"/>
      <c r="HL164" s="33"/>
      <c r="HM164" s="33"/>
      <c r="HN164" s="33"/>
      <c r="HO164" s="33"/>
      <c r="HP164" s="33"/>
      <c r="HQ164" s="33"/>
      <c r="HR164" s="33"/>
      <c r="HS164" s="33"/>
      <c r="HT164" s="33"/>
      <c r="HU164" s="33"/>
      <c r="HV164" s="33"/>
      <c r="HW164" s="33"/>
      <c r="HX164" s="33"/>
      <c r="HY164" s="33"/>
      <c r="HZ164" s="33"/>
      <c r="IA164" s="33"/>
      <c r="IB164" s="33"/>
      <c r="IC164" s="33"/>
      <c r="ID164" s="33"/>
      <c r="IE164" s="33"/>
      <c r="IF164" s="33"/>
      <c r="IG164" s="33"/>
      <c r="IH164" s="33"/>
      <c r="II164" s="33"/>
      <c r="IJ164" s="33"/>
      <c r="IK164" s="33"/>
      <c r="IL164" s="33"/>
      <c r="IM164" s="33"/>
      <c r="IN164" s="33"/>
      <c r="IO164" s="33"/>
      <c r="IP164" s="33"/>
      <c r="IQ164" s="33"/>
      <c r="IR164" s="33"/>
      <c r="IS164" s="33"/>
      <c r="IT164" s="33"/>
      <c r="IU164" s="33"/>
      <c r="IV164" s="33"/>
      <c r="IW164" s="33"/>
      <c r="IX164" s="33"/>
      <c r="IY164" s="33"/>
      <c r="IZ164" s="33"/>
      <c r="JA164" s="33"/>
      <c r="JB164" s="33"/>
      <c r="JC164" s="33"/>
      <c r="JD164" s="33"/>
      <c r="JE164" s="33"/>
      <c r="JF164" s="33"/>
      <c r="JG164" s="33"/>
      <c r="JH164" s="33"/>
      <c r="JI164" s="33"/>
      <c r="JJ164" s="33"/>
      <c r="JK164" s="33"/>
      <c r="JL164" s="33"/>
      <c r="JM164" s="33"/>
      <c r="JN164" s="33"/>
      <c r="JO164" s="33"/>
      <c r="JP164" s="33"/>
      <c r="JQ164" s="33"/>
      <c r="JR164" s="33"/>
      <c r="JS164" s="33"/>
      <c r="JT164" s="33"/>
      <c r="JU164" s="33"/>
      <c r="JV164" s="33"/>
      <c r="JW164" s="33"/>
      <c r="JX164" s="33"/>
      <c r="JY164" s="33"/>
      <c r="JZ164" s="33"/>
      <c r="KA164" s="33"/>
      <c r="KB164" s="33"/>
      <c r="KC164" s="33"/>
      <c r="KD164" s="33"/>
      <c r="KE164" s="33"/>
      <c r="KF164" s="33"/>
      <c r="KG164" s="33"/>
      <c r="KH164" s="33"/>
      <c r="KI164" s="33"/>
      <c r="KJ164" s="33"/>
      <c r="KK164" s="33"/>
      <c r="KL164" s="33"/>
      <c r="KM164" s="33"/>
      <c r="KN164" s="33"/>
      <c r="KO164" s="33"/>
      <c r="KP164" s="33"/>
      <c r="KQ164" s="33"/>
      <c r="KR164" s="33"/>
      <c r="KS164" s="33"/>
      <c r="KT164" s="33"/>
      <c r="KU164" s="33"/>
      <c r="KV164" s="33"/>
      <c r="KW164" s="33"/>
      <c r="KX164" s="33"/>
      <c r="KY164" s="33"/>
      <c r="KZ164" s="33"/>
      <c r="LA164" s="33"/>
      <c r="LB164" s="33"/>
      <c r="LC164" s="33"/>
      <c r="LD164" s="33"/>
      <c r="LE164" s="33"/>
      <c r="LF164" s="33"/>
      <c r="LG164" s="33"/>
      <c r="LH164" s="33"/>
      <c r="LI164" s="33"/>
      <c r="LJ164" s="33"/>
      <c r="LK164" s="33"/>
      <c r="LL164" s="33"/>
      <c r="LM164" s="33"/>
      <c r="LN164" s="33"/>
      <c r="LO164" s="33"/>
      <c r="LP164" s="33"/>
      <c r="LQ164" s="33"/>
      <c r="LR164" s="33"/>
      <c r="LS164" s="33"/>
      <c r="LT164" s="33"/>
      <c r="LU164" s="33"/>
      <c r="LV164" s="33"/>
      <c r="LW164" s="33"/>
      <c r="LX164" s="33"/>
      <c r="LY164" s="33"/>
      <c r="LZ164" s="33"/>
      <c r="MA164" s="33"/>
      <c r="MB164" s="33"/>
      <c r="MC164" s="33"/>
      <c r="MD164" s="33"/>
      <c r="ME164" s="33"/>
      <c r="MF164" s="33"/>
      <c r="MG164" s="33"/>
      <c r="MH164" s="33"/>
      <c r="MI164" s="33"/>
      <c r="MJ164" s="33"/>
      <c r="MK164" s="33"/>
      <c r="ML164" s="33"/>
      <c r="MM164" s="33"/>
      <c r="MN164" s="33"/>
      <c r="MO164" s="33"/>
      <c r="MP164" s="33"/>
      <c r="MQ164" s="33"/>
      <c r="MR164" s="33"/>
      <c r="MS164" s="33"/>
      <c r="MT164" s="33"/>
      <c r="MU164" s="33"/>
      <c r="MV164" s="33"/>
      <c r="MW164" s="33"/>
      <c r="MX164" s="33"/>
      <c r="MY164" s="33"/>
      <c r="MZ164" s="33"/>
      <c r="NA164" s="33"/>
      <c r="NB164" s="33"/>
      <c r="NC164" s="33"/>
      <c r="ND164" s="33"/>
      <c r="NE164" s="33"/>
      <c r="NF164" s="33"/>
      <c r="NG164" s="33"/>
      <c r="NH164" s="33"/>
      <c r="NI164" s="33"/>
      <c r="NJ164" s="33"/>
      <c r="NK164" s="33"/>
      <c r="NL164" s="33"/>
      <c r="NM164" s="33"/>
      <c r="NN164" s="33"/>
      <c r="NO164" s="33"/>
      <c r="NP164" s="33"/>
      <c r="NQ164" s="33"/>
      <c r="NR164" s="33"/>
      <c r="NS164" s="33"/>
      <c r="NT164" s="33"/>
      <c r="NU164" s="33"/>
      <c r="NV164" s="33"/>
      <c r="NW164" s="33"/>
      <c r="NX164" s="33"/>
      <c r="NY164" s="33"/>
      <c r="NZ164" s="33"/>
      <c r="OA164" s="33"/>
      <c r="OB164" s="33"/>
      <c r="OC164" s="33"/>
      <c r="OD164" s="33"/>
      <c r="OE164" s="33"/>
      <c r="OF164" s="33"/>
      <c r="OG164" s="33"/>
      <c r="OH164" s="33"/>
      <c r="OI164" s="33"/>
      <c r="OJ164" s="33"/>
      <c r="OK164" s="33"/>
      <c r="OL164" s="33"/>
      <c r="OM164" s="33"/>
      <c r="ON164" s="33"/>
      <c r="OO164" s="33"/>
      <c r="OP164" s="33"/>
      <c r="OQ164" s="33"/>
      <c r="OR164" s="33"/>
      <c r="OS164" s="33"/>
      <c r="OT164" s="33"/>
      <c r="OU164" s="33"/>
      <c r="OV164" s="33"/>
      <c r="OW164" s="33"/>
      <c r="OX164" s="33"/>
      <c r="OY164" s="33"/>
      <c r="OZ164" s="33"/>
      <c r="PA164" s="33"/>
      <c r="PB164" s="33"/>
      <c r="PC164" s="33"/>
      <c r="PD164" s="33"/>
      <c r="PE164" s="33"/>
      <c r="PF164" s="33"/>
      <c r="PG164" s="33"/>
      <c r="PH164" s="33"/>
      <c r="PI164" s="33"/>
      <c r="PJ164" s="33"/>
      <c r="PK164" s="33"/>
      <c r="PL164" s="33"/>
      <c r="PM164" s="33"/>
      <c r="PN164" s="33"/>
      <c r="PO164" s="33"/>
      <c r="PP164" s="33"/>
      <c r="PQ164" s="33"/>
      <c r="PR164" s="33"/>
      <c r="PS164" s="33"/>
      <c r="PT164" s="33"/>
      <c r="PU164" s="33"/>
      <c r="PV164" s="33"/>
      <c r="PW164" s="33"/>
      <c r="PX164" s="33"/>
      <c r="PY164" s="33"/>
      <c r="PZ164" s="33"/>
      <c r="QA164" s="33"/>
      <c r="QB164" s="33"/>
      <c r="QC164" s="33"/>
      <c r="QD164" s="33"/>
      <c r="QE164" s="33"/>
      <c r="QF164" s="33"/>
      <c r="QG164" s="33"/>
      <c r="QH164" s="33"/>
      <c r="QI164" s="33"/>
      <c r="QJ164" s="33"/>
      <c r="QK164" s="33"/>
      <c r="QL164" s="33"/>
      <c r="QM164" s="33"/>
      <c r="QN164" s="33"/>
      <c r="QO164" s="33"/>
      <c r="QP164" s="33"/>
      <c r="QQ164" s="33"/>
      <c r="QR164" s="33"/>
      <c r="QS164" s="33"/>
      <c r="QT164" s="33"/>
      <c r="QU164" s="33"/>
      <c r="QV164" s="33"/>
      <c r="QW164" s="33"/>
      <c r="QX164" s="33"/>
      <c r="QY164" s="33"/>
      <c r="QZ164" s="33"/>
      <c r="RA164" s="33"/>
      <c r="RB164" s="33"/>
      <c r="RC164" s="33"/>
      <c r="RD164" s="33"/>
      <c r="RE164" s="33"/>
      <c r="RF164" s="33"/>
      <c r="RG164" s="33"/>
      <c r="RH164" s="33"/>
      <c r="RI164" s="33"/>
      <c r="RJ164" s="33"/>
      <c r="RK164" s="33"/>
      <c r="RL164" s="33"/>
      <c r="RM164" s="33"/>
      <c r="RN164" s="33"/>
      <c r="RO164" s="33"/>
      <c r="RP164" s="33"/>
      <c r="RQ164" s="33"/>
      <c r="RR164" s="33"/>
      <c r="RS164" s="33"/>
      <c r="RT164" s="33"/>
      <c r="RU164" s="33"/>
      <c r="RV164" s="33"/>
      <c r="RW164" s="33"/>
      <c r="RX164" s="33"/>
      <c r="RY164" s="33"/>
      <c r="RZ164" s="33"/>
      <c r="SA164" s="33"/>
      <c r="SB164" s="33"/>
      <c r="SC164" s="33"/>
      <c r="SD164" s="33"/>
      <c r="SE164" s="33"/>
      <c r="SF164" s="33"/>
      <c r="SG164" s="33"/>
      <c r="SH164" s="33"/>
      <c r="SI164" s="33"/>
      <c r="SJ164" s="33"/>
      <c r="SK164" s="33"/>
      <c r="SL164" s="33"/>
      <c r="SM164" s="33"/>
      <c r="SN164" s="33"/>
      <c r="SO164" s="33"/>
      <c r="SP164" s="33"/>
      <c r="SQ164" s="33"/>
      <c r="SR164" s="33"/>
      <c r="SS164" s="33"/>
      <c r="ST164" s="33"/>
      <c r="SU164" s="33"/>
      <c r="SV164" s="33"/>
      <c r="SW164" s="33"/>
      <c r="SX164" s="33"/>
      <c r="SY164" s="33"/>
      <c r="SZ164" s="33"/>
      <c r="TA164" s="33"/>
      <c r="TB164" s="33"/>
      <c r="TC164" s="33"/>
      <c r="TD164" s="33"/>
      <c r="TE164" s="33"/>
      <c r="TF164" s="33"/>
      <c r="TG164" s="33"/>
    </row>
    <row r="165" spans="1:527" s="34" customFormat="1" ht="15.75" x14ac:dyDescent="0.25">
      <c r="A165" s="96"/>
      <c r="B165" s="109"/>
      <c r="C165" s="109"/>
      <c r="D165" s="77" t="s">
        <v>395</v>
      </c>
      <c r="E165" s="98">
        <f>E173+E177+E179+E183+E185+E199</f>
        <v>5817068.2400000002</v>
      </c>
      <c r="F165" s="98">
        <f t="shared" ref="F165:P165" si="65">F173+F177+F179+F183+F185+F199</f>
        <v>5817068.2400000002</v>
      </c>
      <c r="G165" s="98">
        <f t="shared" si="65"/>
        <v>0</v>
      </c>
      <c r="H165" s="98">
        <f t="shared" si="65"/>
        <v>0</v>
      </c>
      <c r="I165" s="98">
        <f t="shared" si="65"/>
        <v>0</v>
      </c>
      <c r="J165" s="98">
        <f t="shared" si="65"/>
        <v>0</v>
      </c>
      <c r="K165" s="98">
        <f t="shared" si="65"/>
        <v>0</v>
      </c>
      <c r="L165" s="98">
        <f t="shared" si="65"/>
        <v>0</v>
      </c>
      <c r="M165" s="98">
        <f t="shared" si="65"/>
        <v>0</v>
      </c>
      <c r="N165" s="98">
        <f t="shared" si="65"/>
        <v>0</v>
      </c>
      <c r="O165" s="98">
        <f t="shared" si="65"/>
        <v>0</v>
      </c>
      <c r="P165" s="98">
        <f t="shared" si="65"/>
        <v>5817068.2400000002</v>
      </c>
      <c r="Q165" s="33"/>
      <c r="R165" s="32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  <c r="GE165" s="33"/>
      <c r="GF165" s="33"/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33"/>
      <c r="GZ165" s="33"/>
      <c r="HA165" s="33"/>
      <c r="HB165" s="33"/>
      <c r="HC165" s="33"/>
      <c r="HD165" s="33"/>
      <c r="HE165" s="33"/>
      <c r="HF165" s="33"/>
      <c r="HG165" s="33"/>
      <c r="HH165" s="33"/>
      <c r="HI165" s="33"/>
      <c r="HJ165" s="33"/>
      <c r="HK165" s="33"/>
      <c r="HL165" s="33"/>
      <c r="HM165" s="33"/>
      <c r="HN165" s="33"/>
      <c r="HO165" s="33"/>
      <c r="HP165" s="33"/>
      <c r="HQ165" s="33"/>
      <c r="HR165" s="33"/>
      <c r="HS165" s="33"/>
      <c r="HT165" s="33"/>
      <c r="HU165" s="33"/>
      <c r="HV165" s="33"/>
      <c r="HW165" s="33"/>
      <c r="HX165" s="33"/>
      <c r="HY165" s="33"/>
      <c r="HZ165" s="33"/>
      <c r="IA165" s="33"/>
      <c r="IB165" s="33"/>
      <c r="IC165" s="33"/>
      <c r="ID165" s="33"/>
      <c r="IE165" s="33"/>
      <c r="IF165" s="33"/>
      <c r="IG165" s="33"/>
      <c r="IH165" s="33"/>
      <c r="II165" s="33"/>
      <c r="IJ165" s="33"/>
      <c r="IK165" s="33"/>
      <c r="IL165" s="33"/>
      <c r="IM165" s="33"/>
      <c r="IN165" s="33"/>
      <c r="IO165" s="33"/>
      <c r="IP165" s="33"/>
      <c r="IQ165" s="33"/>
      <c r="IR165" s="33"/>
      <c r="IS165" s="33"/>
      <c r="IT165" s="33"/>
      <c r="IU165" s="33"/>
      <c r="IV165" s="33"/>
      <c r="IW165" s="33"/>
      <c r="IX165" s="33"/>
      <c r="IY165" s="33"/>
      <c r="IZ165" s="33"/>
      <c r="JA165" s="33"/>
      <c r="JB165" s="33"/>
      <c r="JC165" s="33"/>
      <c r="JD165" s="33"/>
      <c r="JE165" s="33"/>
      <c r="JF165" s="33"/>
      <c r="JG165" s="33"/>
      <c r="JH165" s="33"/>
      <c r="JI165" s="33"/>
      <c r="JJ165" s="33"/>
      <c r="JK165" s="33"/>
      <c r="JL165" s="33"/>
      <c r="JM165" s="33"/>
      <c r="JN165" s="33"/>
      <c r="JO165" s="33"/>
      <c r="JP165" s="33"/>
      <c r="JQ165" s="33"/>
      <c r="JR165" s="33"/>
      <c r="JS165" s="33"/>
      <c r="JT165" s="33"/>
      <c r="JU165" s="33"/>
      <c r="JV165" s="33"/>
      <c r="JW165" s="33"/>
      <c r="JX165" s="33"/>
      <c r="JY165" s="33"/>
      <c r="JZ165" s="33"/>
      <c r="KA165" s="33"/>
      <c r="KB165" s="33"/>
      <c r="KC165" s="33"/>
      <c r="KD165" s="33"/>
      <c r="KE165" s="33"/>
      <c r="KF165" s="33"/>
      <c r="KG165" s="33"/>
      <c r="KH165" s="33"/>
      <c r="KI165" s="33"/>
      <c r="KJ165" s="33"/>
      <c r="KK165" s="33"/>
      <c r="KL165" s="33"/>
      <c r="KM165" s="33"/>
      <c r="KN165" s="33"/>
      <c r="KO165" s="33"/>
      <c r="KP165" s="33"/>
      <c r="KQ165" s="33"/>
      <c r="KR165" s="33"/>
      <c r="KS165" s="33"/>
      <c r="KT165" s="33"/>
      <c r="KU165" s="33"/>
      <c r="KV165" s="33"/>
      <c r="KW165" s="33"/>
      <c r="KX165" s="33"/>
      <c r="KY165" s="33"/>
      <c r="KZ165" s="33"/>
      <c r="LA165" s="33"/>
      <c r="LB165" s="33"/>
      <c r="LC165" s="33"/>
      <c r="LD165" s="33"/>
      <c r="LE165" s="33"/>
      <c r="LF165" s="33"/>
      <c r="LG165" s="33"/>
      <c r="LH165" s="33"/>
      <c r="LI165" s="33"/>
      <c r="LJ165" s="33"/>
      <c r="LK165" s="33"/>
      <c r="LL165" s="33"/>
      <c r="LM165" s="33"/>
      <c r="LN165" s="33"/>
      <c r="LO165" s="33"/>
      <c r="LP165" s="33"/>
      <c r="LQ165" s="33"/>
      <c r="LR165" s="33"/>
      <c r="LS165" s="33"/>
      <c r="LT165" s="33"/>
      <c r="LU165" s="33"/>
      <c r="LV165" s="33"/>
      <c r="LW165" s="33"/>
      <c r="LX165" s="33"/>
      <c r="LY165" s="33"/>
      <c r="LZ165" s="33"/>
      <c r="MA165" s="33"/>
      <c r="MB165" s="33"/>
      <c r="MC165" s="33"/>
      <c r="MD165" s="33"/>
      <c r="ME165" s="33"/>
      <c r="MF165" s="33"/>
      <c r="MG165" s="33"/>
      <c r="MH165" s="33"/>
      <c r="MI165" s="33"/>
      <c r="MJ165" s="33"/>
      <c r="MK165" s="33"/>
      <c r="ML165" s="33"/>
      <c r="MM165" s="33"/>
      <c r="MN165" s="33"/>
      <c r="MO165" s="33"/>
      <c r="MP165" s="33"/>
      <c r="MQ165" s="33"/>
      <c r="MR165" s="33"/>
      <c r="MS165" s="33"/>
      <c r="MT165" s="33"/>
      <c r="MU165" s="33"/>
      <c r="MV165" s="33"/>
      <c r="MW165" s="33"/>
      <c r="MX165" s="33"/>
      <c r="MY165" s="33"/>
      <c r="MZ165" s="33"/>
      <c r="NA165" s="33"/>
      <c r="NB165" s="33"/>
      <c r="NC165" s="33"/>
      <c r="ND165" s="33"/>
      <c r="NE165" s="33"/>
      <c r="NF165" s="33"/>
      <c r="NG165" s="33"/>
      <c r="NH165" s="33"/>
      <c r="NI165" s="33"/>
      <c r="NJ165" s="33"/>
      <c r="NK165" s="33"/>
      <c r="NL165" s="33"/>
      <c r="NM165" s="33"/>
      <c r="NN165" s="33"/>
      <c r="NO165" s="33"/>
      <c r="NP165" s="33"/>
      <c r="NQ165" s="33"/>
      <c r="NR165" s="33"/>
      <c r="NS165" s="33"/>
      <c r="NT165" s="33"/>
      <c r="NU165" s="33"/>
      <c r="NV165" s="33"/>
      <c r="NW165" s="33"/>
      <c r="NX165" s="33"/>
      <c r="NY165" s="33"/>
      <c r="NZ165" s="33"/>
      <c r="OA165" s="33"/>
      <c r="OB165" s="33"/>
      <c r="OC165" s="33"/>
      <c r="OD165" s="33"/>
      <c r="OE165" s="33"/>
      <c r="OF165" s="33"/>
      <c r="OG165" s="33"/>
      <c r="OH165" s="33"/>
      <c r="OI165" s="33"/>
      <c r="OJ165" s="33"/>
      <c r="OK165" s="33"/>
      <c r="OL165" s="33"/>
      <c r="OM165" s="33"/>
      <c r="ON165" s="33"/>
      <c r="OO165" s="33"/>
      <c r="OP165" s="33"/>
      <c r="OQ165" s="33"/>
      <c r="OR165" s="33"/>
      <c r="OS165" s="33"/>
      <c r="OT165" s="33"/>
      <c r="OU165" s="33"/>
      <c r="OV165" s="33"/>
      <c r="OW165" s="33"/>
      <c r="OX165" s="33"/>
      <c r="OY165" s="33"/>
      <c r="OZ165" s="33"/>
      <c r="PA165" s="33"/>
      <c r="PB165" s="33"/>
      <c r="PC165" s="33"/>
      <c r="PD165" s="33"/>
      <c r="PE165" s="33"/>
      <c r="PF165" s="33"/>
      <c r="PG165" s="33"/>
      <c r="PH165" s="33"/>
      <c r="PI165" s="33"/>
      <c r="PJ165" s="33"/>
      <c r="PK165" s="33"/>
      <c r="PL165" s="33"/>
      <c r="PM165" s="33"/>
      <c r="PN165" s="33"/>
      <c r="PO165" s="33"/>
      <c r="PP165" s="33"/>
      <c r="PQ165" s="33"/>
      <c r="PR165" s="33"/>
      <c r="PS165" s="33"/>
      <c r="PT165" s="33"/>
      <c r="PU165" s="33"/>
      <c r="PV165" s="33"/>
      <c r="PW165" s="33"/>
      <c r="PX165" s="33"/>
      <c r="PY165" s="33"/>
      <c r="PZ165" s="33"/>
      <c r="QA165" s="33"/>
      <c r="QB165" s="33"/>
      <c r="QC165" s="33"/>
      <c r="QD165" s="33"/>
      <c r="QE165" s="33"/>
      <c r="QF165" s="33"/>
      <c r="QG165" s="33"/>
      <c r="QH165" s="33"/>
      <c r="QI165" s="33"/>
      <c r="QJ165" s="33"/>
      <c r="QK165" s="33"/>
      <c r="QL165" s="33"/>
      <c r="QM165" s="33"/>
      <c r="QN165" s="33"/>
      <c r="QO165" s="33"/>
      <c r="QP165" s="33"/>
      <c r="QQ165" s="33"/>
      <c r="QR165" s="33"/>
      <c r="QS165" s="33"/>
      <c r="QT165" s="33"/>
      <c r="QU165" s="33"/>
      <c r="QV165" s="33"/>
      <c r="QW165" s="33"/>
      <c r="QX165" s="33"/>
      <c r="QY165" s="33"/>
      <c r="QZ165" s="33"/>
      <c r="RA165" s="33"/>
      <c r="RB165" s="33"/>
      <c r="RC165" s="33"/>
      <c r="RD165" s="33"/>
      <c r="RE165" s="33"/>
      <c r="RF165" s="33"/>
      <c r="RG165" s="33"/>
      <c r="RH165" s="33"/>
      <c r="RI165" s="33"/>
      <c r="RJ165" s="33"/>
      <c r="RK165" s="33"/>
      <c r="RL165" s="33"/>
      <c r="RM165" s="33"/>
      <c r="RN165" s="33"/>
      <c r="RO165" s="33"/>
      <c r="RP165" s="33"/>
      <c r="RQ165" s="33"/>
      <c r="RR165" s="33"/>
      <c r="RS165" s="33"/>
      <c r="RT165" s="33"/>
      <c r="RU165" s="33"/>
      <c r="RV165" s="33"/>
      <c r="RW165" s="33"/>
      <c r="RX165" s="33"/>
      <c r="RY165" s="33"/>
      <c r="RZ165" s="33"/>
      <c r="SA165" s="33"/>
      <c r="SB165" s="33"/>
      <c r="SC165" s="33"/>
      <c r="SD165" s="33"/>
      <c r="SE165" s="33"/>
      <c r="SF165" s="33"/>
      <c r="SG165" s="33"/>
      <c r="SH165" s="33"/>
      <c r="SI165" s="33"/>
      <c r="SJ165" s="33"/>
      <c r="SK165" s="33"/>
      <c r="SL165" s="33"/>
      <c r="SM165" s="33"/>
      <c r="SN165" s="33"/>
      <c r="SO165" s="33"/>
      <c r="SP165" s="33"/>
      <c r="SQ165" s="33"/>
      <c r="SR165" s="33"/>
      <c r="SS165" s="33"/>
      <c r="ST165" s="33"/>
      <c r="SU165" s="33"/>
      <c r="SV165" s="33"/>
      <c r="SW165" s="33"/>
      <c r="SX165" s="33"/>
      <c r="SY165" s="33"/>
      <c r="SZ165" s="33"/>
      <c r="TA165" s="33"/>
      <c r="TB165" s="33"/>
      <c r="TC165" s="33"/>
      <c r="TD165" s="33"/>
      <c r="TE165" s="33"/>
      <c r="TF165" s="33"/>
      <c r="TG165" s="33"/>
    </row>
    <row r="166" spans="1:527" s="34" customFormat="1" ht="306.75" customHeight="1" x14ac:dyDescent="0.25">
      <c r="A166" s="96"/>
      <c r="B166" s="109"/>
      <c r="C166" s="109"/>
      <c r="D166" s="77" t="s">
        <v>583</v>
      </c>
      <c r="E166" s="98">
        <f>E192</f>
        <v>0</v>
      </c>
      <c r="F166" s="98">
        <f t="shared" ref="F166:P166" si="66">F192</f>
        <v>0</v>
      </c>
      <c r="G166" s="98">
        <f t="shared" si="66"/>
        <v>0</v>
      </c>
      <c r="H166" s="98">
        <f t="shared" si="66"/>
        <v>0</v>
      </c>
      <c r="I166" s="98">
        <f t="shared" si="66"/>
        <v>0</v>
      </c>
      <c r="J166" s="98">
        <f t="shared" si="66"/>
        <v>975480.06</v>
      </c>
      <c r="K166" s="98">
        <f t="shared" si="66"/>
        <v>975480.06</v>
      </c>
      <c r="L166" s="98">
        <f t="shared" si="66"/>
        <v>0</v>
      </c>
      <c r="M166" s="98">
        <f t="shared" si="66"/>
        <v>0</v>
      </c>
      <c r="N166" s="98">
        <f t="shared" si="66"/>
        <v>0</v>
      </c>
      <c r="O166" s="98">
        <f t="shared" si="66"/>
        <v>975480.06</v>
      </c>
      <c r="P166" s="98">
        <f t="shared" si="66"/>
        <v>975480.06</v>
      </c>
      <c r="Q166" s="33"/>
      <c r="R166" s="32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  <c r="IW166" s="33"/>
      <c r="IX166" s="33"/>
      <c r="IY166" s="33"/>
      <c r="IZ166" s="33"/>
      <c r="JA166" s="33"/>
      <c r="JB166" s="33"/>
      <c r="JC166" s="33"/>
      <c r="JD166" s="33"/>
      <c r="JE166" s="33"/>
      <c r="JF166" s="33"/>
      <c r="JG166" s="33"/>
      <c r="JH166" s="33"/>
      <c r="JI166" s="33"/>
      <c r="JJ166" s="33"/>
      <c r="JK166" s="33"/>
      <c r="JL166" s="33"/>
      <c r="JM166" s="33"/>
      <c r="JN166" s="33"/>
      <c r="JO166" s="33"/>
      <c r="JP166" s="33"/>
      <c r="JQ166" s="33"/>
      <c r="JR166" s="33"/>
      <c r="JS166" s="33"/>
      <c r="JT166" s="33"/>
      <c r="JU166" s="33"/>
      <c r="JV166" s="33"/>
      <c r="JW166" s="33"/>
      <c r="JX166" s="33"/>
      <c r="JY166" s="33"/>
      <c r="JZ166" s="33"/>
      <c r="KA166" s="33"/>
      <c r="KB166" s="33"/>
      <c r="KC166" s="33"/>
      <c r="KD166" s="33"/>
      <c r="KE166" s="33"/>
      <c r="KF166" s="33"/>
      <c r="KG166" s="33"/>
      <c r="KH166" s="33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  <c r="LD166" s="33"/>
      <c r="LE166" s="33"/>
      <c r="LF166" s="33"/>
      <c r="LG166" s="33"/>
      <c r="LH166" s="33"/>
      <c r="LI166" s="33"/>
      <c r="LJ166" s="33"/>
      <c r="LK166" s="33"/>
      <c r="LL166" s="33"/>
      <c r="LM166" s="33"/>
      <c r="LN166" s="33"/>
      <c r="LO166" s="33"/>
      <c r="LP166" s="33"/>
      <c r="LQ166" s="33"/>
      <c r="LR166" s="33"/>
      <c r="LS166" s="33"/>
      <c r="LT166" s="33"/>
      <c r="LU166" s="33"/>
      <c r="LV166" s="33"/>
      <c r="LW166" s="33"/>
      <c r="LX166" s="33"/>
      <c r="LY166" s="33"/>
      <c r="LZ166" s="33"/>
      <c r="MA166" s="33"/>
      <c r="MB166" s="33"/>
      <c r="MC166" s="33"/>
      <c r="MD166" s="33"/>
      <c r="ME166" s="33"/>
      <c r="MF166" s="33"/>
      <c r="MG166" s="33"/>
      <c r="MH166" s="33"/>
      <c r="MI166" s="33"/>
      <c r="MJ166" s="33"/>
      <c r="MK166" s="33"/>
      <c r="ML166" s="33"/>
      <c r="MM166" s="33"/>
      <c r="MN166" s="33"/>
      <c r="MO166" s="33"/>
      <c r="MP166" s="33"/>
      <c r="MQ166" s="33"/>
      <c r="MR166" s="33"/>
      <c r="MS166" s="33"/>
      <c r="MT166" s="33"/>
      <c r="MU166" s="33"/>
      <c r="MV166" s="33"/>
      <c r="MW166" s="33"/>
      <c r="MX166" s="33"/>
      <c r="MY166" s="33"/>
      <c r="MZ166" s="33"/>
      <c r="NA166" s="33"/>
      <c r="NB166" s="33"/>
      <c r="NC166" s="33"/>
      <c r="ND166" s="33"/>
      <c r="NE166" s="33"/>
      <c r="NF166" s="33"/>
      <c r="NG166" s="33"/>
      <c r="NH166" s="33"/>
      <c r="NI166" s="33"/>
      <c r="NJ166" s="33"/>
      <c r="NK166" s="33"/>
      <c r="NL166" s="33"/>
      <c r="NM166" s="33"/>
      <c r="NN166" s="33"/>
      <c r="NO166" s="33"/>
      <c r="NP166" s="33"/>
      <c r="NQ166" s="33"/>
      <c r="NR166" s="33"/>
      <c r="NS166" s="33"/>
      <c r="NT166" s="33"/>
      <c r="NU166" s="33"/>
      <c r="NV166" s="33"/>
      <c r="NW166" s="33"/>
      <c r="NX166" s="33"/>
      <c r="NY166" s="33"/>
      <c r="NZ166" s="33"/>
      <c r="OA166" s="33"/>
      <c r="OB166" s="33"/>
      <c r="OC166" s="33"/>
      <c r="OD166" s="33"/>
      <c r="OE166" s="33"/>
      <c r="OF166" s="33"/>
      <c r="OG166" s="33"/>
      <c r="OH166" s="33"/>
      <c r="OI166" s="33"/>
      <c r="OJ166" s="33"/>
      <c r="OK166" s="33"/>
      <c r="OL166" s="33"/>
      <c r="OM166" s="33"/>
      <c r="ON166" s="33"/>
      <c r="OO166" s="33"/>
      <c r="OP166" s="33"/>
      <c r="OQ166" s="33"/>
      <c r="OR166" s="33"/>
      <c r="OS166" s="33"/>
      <c r="OT166" s="33"/>
      <c r="OU166" s="33"/>
      <c r="OV166" s="33"/>
      <c r="OW166" s="33"/>
      <c r="OX166" s="33"/>
      <c r="OY166" s="33"/>
      <c r="OZ166" s="33"/>
      <c r="PA166" s="33"/>
      <c r="PB166" s="33"/>
      <c r="PC166" s="33"/>
      <c r="PD166" s="33"/>
      <c r="PE166" s="33"/>
      <c r="PF166" s="33"/>
      <c r="PG166" s="33"/>
      <c r="PH166" s="33"/>
      <c r="PI166" s="33"/>
      <c r="PJ166" s="33"/>
      <c r="PK166" s="33"/>
      <c r="PL166" s="33"/>
      <c r="PM166" s="33"/>
      <c r="PN166" s="33"/>
      <c r="PO166" s="33"/>
      <c r="PP166" s="33"/>
      <c r="PQ166" s="33"/>
      <c r="PR166" s="33"/>
      <c r="PS166" s="33"/>
      <c r="PT166" s="33"/>
      <c r="PU166" s="33"/>
      <c r="PV166" s="33"/>
      <c r="PW166" s="33"/>
      <c r="PX166" s="33"/>
      <c r="PY166" s="33"/>
      <c r="PZ166" s="33"/>
      <c r="QA166" s="33"/>
      <c r="QB166" s="33"/>
      <c r="QC166" s="33"/>
      <c r="QD166" s="33"/>
      <c r="QE166" s="33"/>
      <c r="QF166" s="33"/>
      <c r="QG166" s="33"/>
      <c r="QH166" s="33"/>
      <c r="QI166" s="33"/>
      <c r="QJ166" s="33"/>
      <c r="QK166" s="33"/>
      <c r="QL166" s="33"/>
      <c r="QM166" s="33"/>
      <c r="QN166" s="33"/>
      <c r="QO166" s="33"/>
      <c r="QP166" s="33"/>
      <c r="QQ166" s="33"/>
      <c r="QR166" s="33"/>
      <c r="QS166" s="33"/>
      <c r="QT166" s="33"/>
      <c r="QU166" s="33"/>
      <c r="QV166" s="33"/>
      <c r="QW166" s="33"/>
      <c r="QX166" s="33"/>
      <c r="QY166" s="33"/>
      <c r="QZ166" s="33"/>
      <c r="RA166" s="33"/>
      <c r="RB166" s="33"/>
      <c r="RC166" s="33"/>
      <c r="RD166" s="33"/>
      <c r="RE166" s="33"/>
      <c r="RF166" s="33"/>
      <c r="RG166" s="33"/>
      <c r="RH166" s="33"/>
      <c r="RI166" s="33"/>
      <c r="RJ166" s="33"/>
      <c r="RK166" s="33"/>
      <c r="RL166" s="33"/>
      <c r="RM166" s="33"/>
      <c r="RN166" s="33"/>
      <c r="RO166" s="33"/>
      <c r="RP166" s="33"/>
      <c r="RQ166" s="33"/>
      <c r="RR166" s="33"/>
      <c r="RS166" s="33"/>
      <c r="RT166" s="33"/>
      <c r="RU166" s="33"/>
      <c r="RV166" s="33"/>
      <c r="RW166" s="33"/>
      <c r="RX166" s="33"/>
      <c r="RY166" s="33"/>
      <c r="RZ166" s="33"/>
      <c r="SA166" s="33"/>
      <c r="SB166" s="33"/>
      <c r="SC166" s="33"/>
      <c r="SD166" s="33"/>
      <c r="SE166" s="33"/>
      <c r="SF166" s="33"/>
      <c r="SG166" s="33"/>
      <c r="SH166" s="33"/>
      <c r="SI166" s="33"/>
      <c r="SJ166" s="33"/>
      <c r="SK166" s="33"/>
      <c r="SL166" s="33"/>
      <c r="SM166" s="33"/>
      <c r="SN166" s="33"/>
      <c r="SO166" s="33"/>
      <c r="SP166" s="33"/>
      <c r="SQ166" s="33"/>
      <c r="SR166" s="33"/>
      <c r="SS166" s="33"/>
      <c r="ST166" s="33"/>
      <c r="SU166" s="33"/>
      <c r="SV166" s="33"/>
      <c r="SW166" s="33"/>
      <c r="SX166" s="33"/>
      <c r="SY166" s="33"/>
      <c r="SZ166" s="33"/>
      <c r="TA166" s="33"/>
      <c r="TB166" s="33"/>
      <c r="TC166" s="33"/>
      <c r="TD166" s="33"/>
      <c r="TE166" s="33"/>
      <c r="TF166" s="33"/>
      <c r="TG166" s="33"/>
    </row>
    <row r="167" spans="1:527" s="34" customFormat="1" ht="369.75" customHeight="1" x14ac:dyDescent="0.25">
      <c r="A167" s="96"/>
      <c r="B167" s="109"/>
      <c r="C167" s="109"/>
      <c r="D167" s="77" t="s">
        <v>609</v>
      </c>
      <c r="E167" s="98">
        <f>E194</f>
        <v>0</v>
      </c>
      <c r="F167" s="98">
        <f t="shared" ref="F167:P167" si="67">F194</f>
        <v>0</v>
      </c>
      <c r="G167" s="98">
        <f t="shared" si="67"/>
        <v>0</v>
      </c>
      <c r="H167" s="98">
        <f t="shared" si="67"/>
        <v>0</v>
      </c>
      <c r="I167" s="98">
        <f t="shared" si="67"/>
        <v>0</v>
      </c>
      <c r="J167" s="98">
        <f t="shared" si="67"/>
        <v>1176130.99</v>
      </c>
      <c r="K167" s="98">
        <f t="shared" si="67"/>
        <v>1176130.99</v>
      </c>
      <c r="L167" s="98">
        <f t="shared" si="67"/>
        <v>0</v>
      </c>
      <c r="M167" s="98">
        <f t="shared" si="67"/>
        <v>0</v>
      </c>
      <c r="N167" s="98">
        <f t="shared" si="67"/>
        <v>0</v>
      </c>
      <c r="O167" s="98">
        <f t="shared" si="67"/>
        <v>1176130.99</v>
      </c>
      <c r="P167" s="98">
        <f t="shared" si="67"/>
        <v>1176130.99</v>
      </c>
      <c r="Q167" s="33"/>
      <c r="R167" s="32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  <c r="IW167" s="33"/>
      <c r="IX167" s="33"/>
      <c r="IY167" s="33"/>
      <c r="IZ167" s="33"/>
      <c r="JA167" s="33"/>
      <c r="JB167" s="33"/>
      <c r="JC167" s="33"/>
      <c r="JD167" s="33"/>
      <c r="JE167" s="33"/>
      <c r="JF167" s="33"/>
      <c r="JG167" s="33"/>
      <c r="JH167" s="33"/>
      <c r="JI167" s="33"/>
      <c r="JJ167" s="33"/>
      <c r="JK167" s="33"/>
      <c r="JL167" s="33"/>
      <c r="JM167" s="33"/>
      <c r="JN167" s="33"/>
      <c r="JO167" s="33"/>
      <c r="JP167" s="33"/>
      <c r="JQ167" s="33"/>
      <c r="JR167" s="33"/>
      <c r="JS167" s="33"/>
      <c r="JT167" s="33"/>
      <c r="JU167" s="33"/>
      <c r="JV167" s="33"/>
      <c r="JW167" s="33"/>
      <c r="JX167" s="33"/>
      <c r="JY167" s="33"/>
      <c r="JZ167" s="33"/>
      <c r="KA167" s="33"/>
      <c r="KB167" s="33"/>
      <c r="KC167" s="33"/>
      <c r="KD167" s="33"/>
      <c r="KE167" s="33"/>
      <c r="KF167" s="33"/>
      <c r="KG167" s="33"/>
      <c r="KH167" s="33"/>
      <c r="KI167" s="33"/>
      <c r="KJ167" s="33"/>
      <c r="KK167" s="33"/>
      <c r="KL167" s="33"/>
      <c r="KM167" s="33"/>
      <c r="KN167" s="33"/>
      <c r="KO167" s="33"/>
      <c r="KP167" s="33"/>
      <c r="KQ167" s="33"/>
      <c r="KR167" s="33"/>
      <c r="KS167" s="33"/>
      <c r="KT167" s="33"/>
      <c r="KU167" s="33"/>
      <c r="KV167" s="33"/>
      <c r="KW167" s="33"/>
      <c r="KX167" s="33"/>
      <c r="KY167" s="33"/>
      <c r="KZ167" s="33"/>
      <c r="LA167" s="33"/>
      <c r="LB167" s="33"/>
      <c r="LC167" s="33"/>
      <c r="LD167" s="33"/>
      <c r="LE167" s="33"/>
      <c r="LF167" s="33"/>
      <c r="LG167" s="33"/>
      <c r="LH167" s="33"/>
      <c r="LI167" s="33"/>
      <c r="LJ167" s="33"/>
      <c r="LK167" s="33"/>
      <c r="LL167" s="33"/>
      <c r="LM167" s="33"/>
      <c r="LN167" s="33"/>
      <c r="LO167" s="33"/>
      <c r="LP167" s="33"/>
      <c r="LQ167" s="33"/>
      <c r="LR167" s="33"/>
      <c r="LS167" s="33"/>
      <c r="LT167" s="33"/>
      <c r="LU167" s="33"/>
      <c r="LV167" s="33"/>
      <c r="LW167" s="33"/>
      <c r="LX167" s="33"/>
      <c r="LY167" s="33"/>
      <c r="LZ167" s="33"/>
      <c r="MA167" s="33"/>
      <c r="MB167" s="33"/>
      <c r="MC167" s="33"/>
      <c r="MD167" s="33"/>
      <c r="ME167" s="33"/>
      <c r="MF167" s="33"/>
      <c r="MG167" s="33"/>
      <c r="MH167" s="33"/>
      <c r="MI167" s="33"/>
      <c r="MJ167" s="33"/>
      <c r="MK167" s="33"/>
      <c r="ML167" s="33"/>
      <c r="MM167" s="33"/>
      <c r="MN167" s="33"/>
      <c r="MO167" s="33"/>
      <c r="MP167" s="33"/>
      <c r="MQ167" s="33"/>
      <c r="MR167" s="33"/>
      <c r="MS167" s="33"/>
      <c r="MT167" s="33"/>
      <c r="MU167" s="33"/>
      <c r="MV167" s="33"/>
      <c r="MW167" s="33"/>
      <c r="MX167" s="33"/>
      <c r="MY167" s="33"/>
      <c r="MZ167" s="33"/>
      <c r="NA167" s="33"/>
      <c r="NB167" s="33"/>
      <c r="NC167" s="33"/>
      <c r="ND167" s="33"/>
      <c r="NE167" s="33"/>
      <c r="NF167" s="33"/>
      <c r="NG167" s="33"/>
      <c r="NH167" s="33"/>
      <c r="NI167" s="33"/>
      <c r="NJ167" s="33"/>
      <c r="NK167" s="33"/>
      <c r="NL167" s="33"/>
      <c r="NM167" s="33"/>
      <c r="NN167" s="33"/>
      <c r="NO167" s="33"/>
      <c r="NP167" s="33"/>
      <c r="NQ167" s="33"/>
      <c r="NR167" s="33"/>
      <c r="NS167" s="33"/>
      <c r="NT167" s="33"/>
      <c r="NU167" s="33"/>
      <c r="NV167" s="33"/>
      <c r="NW167" s="33"/>
      <c r="NX167" s="33"/>
      <c r="NY167" s="33"/>
      <c r="NZ167" s="33"/>
      <c r="OA167" s="33"/>
      <c r="OB167" s="33"/>
      <c r="OC167" s="33"/>
      <c r="OD167" s="33"/>
      <c r="OE167" s="33"/>
      <c r="OF167" s="33"/>
      <c r="OG167" s="33"/>
      <c r="OH167" s="33"/>
      <c r="OI167" s="33"/>
      <c r="OJ167" s="33"/>
      <c r="OK167" s="33"/>
      <c r="OL167" s="33"/>
      <c r="OM167" s="33"/>
      <c r="ON167" s="33"/>
      <c r="OO167" s="33"/>
      <c r="OP167" s="33"/>
      <c r="OQ167" s="33"/>
      <c r="OR167" s="33"/>
      <c r="OS167" s="33"/>
      <c r="OT167" s="33"/>
      <c r="OU167" s="33"/>
      <c r="OV167" s="33"/>
      <c r="OW167" s="33"/>
      <c r="OX167" s="33"/>
      <c r="OY167" s="33"/>
      <c r="OZ167" s="33"/>
      <c r="PA167" s="33"/>
      <c r="PB167" s="33"/>
      <c r="PC167" s="33"/>
      <c r="PD167" s="33"/>
      <c r="PE167" s="33"/>
      <c r="PF167" s="33"/>
      <c r="PG167" s="33"/>
      <c r="PH167" s="33"/>
      <c r="PI167" s="33"/>
      <c r="PJ167" s="33"/>
      <c r="PK167" s="33"/>
      <c r="PL167" s="33"/>
      <c r="PM167" s="33"/>
      <c r="PN167" s="33"/>
      <c r="PO167" s="33"/>
      <c r="PP167" s="33"/>
      <c r="PQ167" s="33"/>
      <c r="PR167" s="33"/>
      <c r="PS167" s="33"/>
      <c r="PT167" s="33"/>
      <c r="PU167" s="33"/>
      <c r="PV167" s="33"/>
      <c r="PW167" s="33"/>
      <c r="PX167" s="33"/>
      <c r="PY167" s="33"/>
      <c r="PZ167" s="33"/>
      <c r="QA167" s="33"/>
      <c r="QB167" s="33"/>
      <c r="QC167" s="33"/>
      <c r="QD167" s="33"/>
      <c r="QE167" s="33"/>
      <c r="QF167" s="33"/>
      <c r="QG167" s="33"/>
      <c r="QH167" s="33"/>
      <c r="QI167" s="33"/>
      <c r="QJ167" s="33"/>
      <c r="QK167" s="33"/>
      <c r="QL167" s="33"/>
      <c r="QM167" s="33"/>
      <c r="QN167" s="33"/>
      <c r="QO167" s="33"/>
      <c r="QP167" s="33"/>
      <c r="QQ167" s="33"/>
      <c r="QR167" s="33"/>
      <c r="QS167" s="33"/>
      <c r="QT167" s="33"/>
      <c r="QU167" s="33"/>
      <c r="QV167" s="33"/>
      <c r="QW167" s="33"/>
      <c r="QX167" s="33"/>
      <c r="QY167" s="33"/>
      <c r="QZ167" s="33"/>
      <c r="RA167" s="33"/>
      <c r="RB167" s="33"/>
      <c r="RC167" s="33"/>
      <c r="RD167" s="33"/>
      <c r="RE167" s="33"/>
      <c r="RF167" s="33"/>
      <c r="RG167" s="33"/>
      <c r="RH167" s="33"/>
      <c r="RI167" s="33"/>
      <c r="RJ167" s="33"/>
      <c r="RK167" s="33"/>
      <c r="RL167" s="33"/>
      <c r="RM167" s="33"/>
      <c r="RN167" s="33"/>
      <c r="RO167" s="33"/>
      <c r="RP167" s="33"/>
      <c r="RQ167" s="33"/>
      <c r="RR167" s="33"/>
      <c r="RS167" s="33"/>
      <c r="RT167" s="33"/>
      <c r="RU167" s="33"/>
      <c r="RV167" s="33"/>
      <c r="RW167" s="33"/>
      <c r="RX167" s="33"/>
      <c r="RY167" s="33"/>
      <c r="RZ167" s="33"/>
      <c r="SA167" s="33"/>
      <c r="SB167" s="33"/>
      <c r="SC167" s="33"/>
      <c r="SD167" s="33"/>
      <c r="SE167" s="33"/>
      <c r="SF167" s="33"/>
      <c r="SG167" s="33"/>
      <c r="SH167" s="33"/>
      <c r="SI167" s="33"/>
      <c r="SJ167" s="33"/>
      <c r="SK167" s="33"/>
      <c r="SL167" s="33"/>
      <c r="SM167" s="33"/>
      <c r="SN167" s="33"/>
      <c r="SO167" s="33"/>
      <c r="SP167" s="33"/>
      <c r="SQ167" s="33"/>
      <c r="SR167" s="33"/>
      <c r="SS167" s="33"/>
      <c r="ST167" s="33"/>
      <c r="SU167" s="33"/>
      <c r="SV167" s="33"/>
      <c r="SW167" s="33"/>
      <c r="SX167" s="33"/>
      <c r="SY167" s="33"/>
      <c r="SZ167" s="33"/>
      <c r="TA167" s="33"/>
      <c r="TB167" s="33"/>
      <c r="TC167" s="33"/>
      <c r="TD167" s="33"/>
      <c r="TE167" s="33"/>
      <c r="TF167" s="33"/>
      <c r="TG167" s="33"/>
    </row>
    <row r="168" spans="1:527" s="22" customFormat="1" ht="45.75" customHeight="1" x14ac:dyDescent="0.25">
      <c r="A168" s="59" t="s">
        <v>180</v>
      </c>
      <c r="B168" s="93" t="str">
        <f>'дод 8'!A19</f>
        <v>0160</v>
      </c>
      <c r="C168" s="93" t="str">
        <f>'дод 8'!B19</f>
        <v>0111</v>
      </c>
      <c r="D168" s="36" t="s">
        <v>494</v>
      </c>
      <c r="E168" s="99">
        <f t="shared" ref="E168:E201" si="68">F168+I168</f>
        <v>55760954</v>
      </c>
      <c r="F168" s="99">
        <f>55404100-2500-39500+158460+68000-38700+143094+68000</f>
        <v>55760954</v>
      </c>
      <c r="G168" s="99">
        <f>43270200-41500-31700</f>
        <v>43197000</v>
      </c>
      <c r="H168" s="99">
        <f>762000+158460+68000</f>
        <v>988460</v>
      </c>
      <c r="I168" s="99"/>
      <c r="J168" s="99">
        <f>L168+O168</f>
        <v>0</v>
      </c>
      <c r="K168" s="99">
        <f>68000-68000</f>
        <v>0</v>
      </c>
      <c r="L168" s="99"/>
      <c r="M168" s="99"/>
      <c r="N168" s="99"/>
      <c r="O168" s="99">
        <f>68000-68000</f>
        <v>0</v>
      </c>
      <c r="P168" s="99">
        <f t="shared" ref="P168:P201" si="69">E168+J168</f>
        <v>55760954</v>
      </c>
      <c r="Q168" s="23"/>
      <c r="R168" s="32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  <c r="IU168" s="23"/>
      <c r="IV168" s="23"/>
      <c r="IW168" s="23"/>
      <c r="IX168" s="23"/>
      <c r="IY168" s="23"/>
      <c r="IZ168" s="23"/>
      <c r="JA168" s="23"/>
      <c r="JB168" s="23"/>
      <c r="JC168" s="23"/>
      <c r="JD168" s="23"/>
      <c r="JE168" s="23"/>
      <c r="JF168" s="23"/>
      <c r="JG168" s="23"/>
      <c r="JH168" s="23"/>
      <c r="JI168" s="23"/>
      <c r="JJ168" s="23"/>
      <c r="JK168" s="23"/>
      <c r="JL168" s="23"/>
      <c r="JM168" s="23"/>
      <c r="JN168" s="23"/>
      <c r="JO168" s="23"/>
      <c r="JP168" s="23"/>
      <c r="JQ168" s="23"/>
      <c r="JR168" s="23"/>
      <c r="JS168" s="23"/>
      <c r="JT168" s="23"/>
      <c r="JU168" s="23"/>
      <c r="JV168" s="23"/>
      <c r="JW168" s="23"/>
      <c r="JX168" s="23"/>
      <c r="JY168" s="23"/>
      <c r="JZ168" s="23"/>
      <c r="KA168" s="23"/>
      <c r="KB168" s="23"/>
      <c r="KC168" s="23"/>
      <c r="KD168" s="23"/>
      <c r="KE168" s="23"/>
      <c r="KF168" s="23"/>
      <c r="KG168" s="23"/>
      <c r="KH168" s="23"/>
      <c r="KI168" s="23"/>
      <c r="KJ168" s="23"/>
      <c r="KK168" s="23"/>
      <c r="KL168" s="23"/>
      <c r="KM168" s="23"/>
      <c r="KN168" s="23"/>
      <c r="KO168" s="23"/>
      <c r="KP168" s="23"/>
      <c r="KQ168" s="23"/>
      <c r="KR168" s="23"/>
      <c r="KS168" s="23"/>
      <c r="KT168" s="23"/>
      <c r="KU168" s="23"/>
      <c r="KV168" s="23"/>
      <c r="KW168" s="23"/>
      <c r="KX168" s="23"/>
      <c r="KY168" s="23"/>
      <c r="KZ168" s="23"/>
      <c r="LA168" s="23"/>
      <c r="LB168" s="23"/>
      <c r="LC168" s="23"/>
      <c r="LD168" s="23"/>
      <c r="LE168" s="23"/>
      <c r="LF168" s="23"/>
      <c r="LG168" s="23"/>
      <c r="LH168" s="23"/>
      <c r="LI168" s="23"/>
      <c r="LJ168" s="23"/>
      <c r="LK168" s="23"/>
      <c r="LL168" s="23"/>
      <c r="LM168" s="23"/>
      <c r="LN168" s="23"/>
      <c r="LO168" s="23"/>
      <c r="LP168" s="23"/>
      <c r="LQ168" s="23"/>
      <c r="LR168" s="23"/>
      <c r="LS168" s="23"/>
      <c r="LT168" s="23"/>
      <c r="LU168" s="23"/>
      <c r="LV168" s="23"/>
      <c r="LW168" s="23"/>
      <c r="LX168" s="23"/>
      <c r="LY168" s="23"/>
      <c r="LZ168" s="23"/>
      <c r="MA168" s="23"/>
      <c r="MB168" s="23"/>
      <c r="MC168" s="23"/>
      <c r="MD168" s="23"/>
      <c r="ME168" s="23"/>
      <c r="MF168" s="23"/>
      <c r="MG168" s="23"/>
      <c r="MH168" s="23"/>
      <c r="MI168" s="23"/>
      <c r="MJ168" s="23"/>
      <c r="MK168" s="23"/>
      <c r="ML168" s="23"/>
      <c r="MM168" s="23"/>
      <c r="MN168" s="23"/>
      <c r="MO168" s="23"/>
      <c r="MP168" s="23"/>
      <c r="MQ168" s="23"/>
      <c r="MR168" s="23"/>
      <c r="MS168" s="23"/>
      <c r="MT168" s="23"/>
      <c r="MU168" s="23"/>
      <c r="MV168" s="23"/>
      <c r="MW168" s="23"/>
      <c r="MX168" s="23"/>
      <c r="MY168" s="23"/>
      <c r="MZ168" s="23"/>
      <c r="NA168" s="23"/>
      <c r="NB168" s="23"/>
      <c r="NC168" s="23"/>
      <c r="ND168" s="23"/>
      <c r="NE168" s="23"/>
      <c r="NF168" s="23"/>
      <c r="NG168" s="23"/>
      <c r="NH168" s="23"/>
      <c r="NI168" s="23"/>
      <c r="NJ168" s="23"/>
      <c r="NK168" s="23"/>
      <c r="NL168" s="23"/>
      <c r="NM168" s="23"/>
      <c r="NN168" s="23"/>
      <c r="NO168" s="23"/>
      <c r="NP168" s="23"/>
      <c r="NQ168" s="23"/>
      <c r="NR168" s="23"/>
      <c r="NS168" s="23"/>
      <c r="NT168" s="23"/>
      <c r="NU168" s="23"/>
      <c r="NV168" s="23"/>
      <c r="NW168" s="23"/>
      <c r="NX168" s="23"/>
      <c r="NY168" s="23"/>
      <c r="NZ168" s="23"/>
      <c r="OA168" s="23"/>
      <c r="OB168" s="23"/>
      <c r="OC168" s="23"/>
      <c r="OD168" s="23"/>
      <c r="OE168" s="23"/>
      <c r="OF168" s="23"/>
      <c r="OG168" s="23"/>
      <c r="OH168" s="23"/>
      <c r="OI168" s="23"/>
      <c r="OJ168" s="23"/>
      <c r="OK168" s="23"/>
      <c r="OL168" s="23"/>
      <c r="OM168" s="23"/>
      <c r="ON168" s="23"/>
      <c r="OO168" s="23"/>
      <c r="OP168" s="23"/>
      <c r="OQ168" s="23"/>
      <c r="OR168" s="23"/>
      <c r="OS168" s="23"/>
      <c r="OT168" s="23"/>
      <c r="OU168" s="23"/>
      <c r="OV168" s="23"/>
      <c r="OW168" s="23"/>
      <c r="OX168" s="23"/>
      <c r="OY168" s="23"/>
      <c r="OZ168" s="23"/>
      <c r="PA168" s="23"/>
      <c r="PB168" s="23"/>
      <c r="PC168" s="23"/>
      <c r="PD168" s="23"/>
      <c r="PE168" s="23"/>
      <c r="PF168" s="23"/>
      <c r="PG168" s="23"/>
      <c r="PH168" s="23"/>
      <c r="PI168" s="23"/>
      <c r="PJ168" s="23"/>
      <c r="PK168" s="23"/>
      <c r="PL168" s="23"/>
      <c r="PM168" s="23"/>
      <c r="PN168" s="23"/>
      <c r="PO168" s="23"/>
      <c r="PP168" s="23"/>
      <c r="PQ168" s="23"/>
      <c r="PR168" s="23"/>
      <c r="PS168" s="23"/>
      <c r="PT168" s="23"/>
      <c r="PU168" s="23"/>
      <c r="PV168" s="23"/>
      <c r="PW168" s="23"/>
      <c r="PX168" s="23"/>
      <c r="PY168" s="23"/>
      <c r="PZ168" s="23"/>
      <c r="QA168" s="23"/>
      <c r="QB168" s="23"/>
      <c r="QC168" s="23"/>
      <c r="QD168" s="23"/>
      <c r="QE168" s="23"/>
      <c r="QF168" s="23"/>
      <c r="QG168" s="23"/>
      <c r="QH168" s="23"/>
      <c r="QI168" s="23"/>
      <c r="QJ168" s="23"/>
      <c r="QK168" s="23"/>
      <c r="QL168" s="23"/>
      <c r="QM168" s="23"/>
      <c r="QN168" s="23"/>
      <c r="QO168" s="23"/>
      <c r="QP168" s="23"/>
      <c r="QQ168" s="23"/>
      <c r="QR168" s="23"/>
      <c r="QS168" s="23"/>
      <c r="QT168" s="23"/>
      <c r="QU168" s="23"/>
      <c r="QV168" s="23"/>
      <c r="QW168" s="23"/>
      <c r="QX168" s="23"/>
      <c r="QY168" s="23"/>
      <c r="QZ168" s="23"/>
      <c r="RA168" s="23"/>
      <c r="RB168" s="23"/>
      <c r="RC168" s="23"/>
      <c r="RD168" s="23"/>
      <c r="RE168" s="23"/>
      <c r="RF168" s="23"/>
      <c r="RG168" s="23"/>
      <c r="RH168" s="23"/>
      <c r="RI168" s="23"/>
      <c r="RJ168" s="23"/>
      <c r="RK168" s="23"/>
      <c r="RL168" s="23"/>
      <c r="RM168" s="23"/>
      <c r="RN168" s="23"/>
      <c r="RO168" s="23"/>
      <c r="RP168" s="23"/>
      <c r="RQ168" s="23"/>
      <c r="RR168" s="23"/>
      <c r="RS168" s="23"/>
      <c r="RT168" s="23"/>
      <c r="RU168" s="23"/>
      <c r="RV168" s="23"/>
      <c r="RW168" s="23"/>
      <c r="RX168" s="23"/>
      <c r="RY168" s="23"/>
      <c r="RZ168" s="23"/>
      <c r="SA168" s="23"/>
      <c r="SB168" s="23"/>
      <c r="SC168" s="23"/>
      <c r="SD168" s="23"/>
      <c r="SE168" s="23"/>
      <c r="SF168" s="23"/>
      <c r="SG168" s="23"/>
      <c r="SH168" s="23"/>
      <c r="SI168" s="23"/>
      <c r="SJ168" s="23"/>
      <c r="SK168" s="23"/>
      <c r="SL168" s="23"/>
      <c r="SM168" s="23"/>
      <c r="SN168" s="23"/>
      <c r="SO168" s="23"/>
      <c r="SP168" s="23"/>
      <c r="SQ168" s="23"/>
      <c r="SR168" s="23"/>
      <c r="SS168" s="23"/>
      <c r="ST168" s="23"/>
      <c r="SU168" s="23"/>
      <c r="SV168" s="23"/>
      <c r="SW168" s="23"/>
      <c r="SX168" s="23"/>
      <c r="SY168" s="23"/>
      <c r="SZ168" s="23"/>
      <c r="TA168" s="23"/>
      <c r="TB168" s="23"/>
      <c r="TC168" s="23"/>
      <c r="TD168" s="23"/>
      <c r="TE168" s="23"/>
      <c r="TF168" s="23"/>
      <c r="TG168" s="23"/>
    </row>
    <row r="169" spans="1:527" s="22" customFormat="1" ht="23.25" customHeight="1" x14ac:dyDescent="0.25">
      <c r="A169" s="59" t="s">
        <v>534</v>
      </c>
      <c r="B169" s="59" t="s">
        <v>45</v>
      </c>
      <c r="C169" s="59" t="s">
        <v>93</v>
      </c>
      <c r="D169" s="36" t="s">
        <v>242</v>
      </c>
      <c r="E169" s="99">
        <f t="shared" si="68"/>
        <v>39500</v>
      </c>
      <c r="F169" s="99">
        <v>39500</v>
      </c>
      <c r="G169" s="99"/>
      <c r="H169" s="99"/>
      <c r="I169" s="99"/>
      <c r="J169" s="99">
        <f>L169+O169</f>
        <v>0</v>
      </c>
      <c r="K169" s="99"/>
      <c r="L169" s="99"/>
      <c r="M169" s="99"/>
      <c r="N169" s="99"/>
      <c r="O169" s="99"/>
      <c r="P169" s="99">
        <f t="shared" si="69"/>
        <v>39500</v>
      </c>
      <c r="Q169" s="23"/>
      <c r="R169" s="32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  <c r="IW169" s="23"/>
      <c r="IX169" s="23"/>
      <c r="IY169" s="23"/>
      <c r="IZ169" s="23"/>
      <c r="JA169" s="23"/>
      <c r="JB169" s="23"/>
      <c r="JC169" s="23"/>
      <c r="JD169" s="23"/>
      <c r="JE169" s="23"/>
      <c r="JF169" s="23"/>
      <c r="JG169" s="23"/>
      <c r="JH169" s="23"/>
      <c r="JI169" s="23"/>
      <c r="JJ169" s="23"/>
      <c r="JK169" s="23"/>
      <c r="JL169" s="23"/>
      <c r="JM169" s="23"/>
      <c r="JN169" s="23"/>
      <c r="JO169" s="23"/>
      <c r="JP169" s="23"/>
      <c r="JQ169" s="23"/>
      <c r="JR169" s="23"/>
      <c r="JS169" s="23"/>
      <c r="JT169" s="23"/>
      <c r="JU169" s="23"/>
      <c r="JV169" s="23"/>
      <c r="JW169" s="23"/>
      <c r="JX169" s="23"/>
      <c r="JY169" s="23"/>
      <c r="JZ169" s="23"/>
      <c r="KA169" s="23"/>
      <c r="KB169" s="23"/>
      <c r="KC169" s="23"/>
      <c r="KD169" s="23"/>
      <c r="KE169" s="23"/>
      <c r="KF169" s="23"/>
      <c r="KG169" s="23"/>
      <c r="KH169" s="23"/>
      <c r="KI169" s="23"/>
      <c r="KJ169" s="23"/>
      <c r="KK169" s="23"/>
      <c r="KL169" s="23"/>
      <c r="KM169" s="23"/>
      <c r="KN169" s="23"/>
      <c r="KO169" s="23"/>
      <c r="KP169" s="23"/>
      <c r="KQ169" s="23"/>
      <c r="KR169" s="23"/>
      <c r="KS169" s="23"/>
      <c r="KT169" s="23"/>
      <c r="KU169" s="23"/>
      <c r="KV169" s="23"/>
      <c r="KW169" s="23"/>
      <c r="KX169" s="23"/>
      <c r="KY169" s="23"/>
      <c r="KZ169" s="23"/>
      <c r="LA169" s="23"/>
      <c r="LB169" s="23"/>
      <c r="LC169" s="23"/>
      <c r="LD169" s="23"/>
      <c r="LE169" s="23"/>
      <c r="LF169" s="23"/>
      <c r="LG169" s="23"/>
      <c r="LH169" s="23"/>
      <c r="LI169" s="23"/>
      <c r="LJ169" s="23"/>
      <c r="LK169" s="23"/>
      <c r="LL169" s="23"/>
      <c r="LM169" s="23"/>
      <c r="LN169" s="23"/>
      <c r="LO169" s="23"/>
      <c r="LP169" s="23"/>
      <c r="LQ169" s="23"/>
      <c r="LR169" s="23"/>
      <c r="LS169" s="23"/>
      <c r="LT169" s="23"/>
      <c r="LU169" s="23"/>
      <c r="LV169" s="23"/>
      <c r="LW169" s="23"/>
      <c r="LX169" s="23"/>
      <c r="LY169" s="23"/>
      <c r="LZ169" s="23"/>
      <c r="MA169" s="23"/>
      <c r="MB169" s="23"/>
      <c r="MC169" s="23"/>
      <c r="MD169" s="23"/>
      <c r="ME169" s="23"/>
      <c r="MF169" s="23"/>
      <c r="MG169" s="23"/>
      <c r="MH169" s="23"/>
      <c r="MI169" s="23"/>
      <c r="MJ169" s="23"/>
      <c r="MK169" s="23"/>
      <c r="ML169" s="23"/>
      <c r="MM169" s="23"/>
      <c r="MN169" s="23"/>
      <c r="MO169" s="23"/>
      <c r="MP169" s="23"/>
      <c r="MQ169" s="23"/>
      <c r="MR169" s="23"/>
      <c r="MS169" s="23"/>
      <c r="MT169" s="23"/>
      <c r="MU169" s="23"/>
      <c r="MV169" s="23"/>
      <c r="MW169" s="23"/>
      <c r="MX169" s="23"/>
      <c r="MY169" s="23"/>
      <c r="MZ169" s="23"/>
      <c r="NA169" s="23"/>
      <c r="NB169" s="23"/>
      <c r="NC169" s="23"/>
      <c r="ND169" s="23"/>
      <c r="NE169" s="23"/>
      <c r="NF169" s="23"/>
      <c r="NG169" s="23"/>
      <c r="NH169" s="23"/>
      <c r="NI169" s="23"/>
      <c r="NJ169" s="23"/>
      <c r="NK169" s="23"/>
      <c r="NL169" s="23"/>
      <c r="NM169" s="23"/>
      <c r="NN169" s="23"/>
      <c r="NO169" s="23"/>
      <c r="NP169" s="23"/>
      <c r="NQ169" s="23"/>
      <c r="NR169" s="23"/>
      <c r="NS169" s="23"/>
      <c r="NT169" s="23"/>
      <c r="NU169" s="23"/>
      <c r="NV169" s="23"/>
      <c r="NW169" s="23"/>
      <c r="NX169" s="23"/>
      <c r="NY169" s="23"/>
      <c r="NZ169" s="23"/>
      <c r="OA169" s="23"/>
      <c r="OB169" s="23"/>
      <c r="OC169" s="23"/>
      <c r="OD169" s="23"/>
      <c r="OE169" s="23"/>
      <c r="OF169" s="23"/>
      <c r="OG169" s="23"/>
      <c r="OH169" s="23"/>
      <c r="OI169" s="23"/>
      <c r="OJ169" s="23"/>
      <c r="OK169" s="23"/>
      <c r="OL169" s="23"/>
      <c r="OM169" s="23"/>
      <c r="ON169" s="23"/>
      <c r="OO169" s="23"/>
      <c r="OP169" s="23"/>
      <c r="OQ169" s="23"/>
      <c r="OR169" s="23"/>
      <c r="OS169" s="23"/>
      <c r="OT169" s="23"/>
      <c r="OU169" s="23"/>
      <c r="OV169" s="23"/>
      <c r="OW169" s="23"/>
      <c r="OX169" s="23"/>
      <c r="OY169" s="23"/>
      <c r="OZ169" s="23"/>
      <c r="PA169" s="23"/>
      <c r="PB169" s="23"/>
      <c r="PC169" s="23"/>
      <c r="PD169" s="23"/>
      <c r="PE169" s="23"/>
      <c r="PF169" s="23"/>
      <c r="PG169" s="23"/>
      <c r="PH169" s="23"/>
      <c r="PI169" s="23"/>
      <c r="PJ169" s="23"/>
      <c r="PK169" s="23"/>
      <c r="PL169" s="23"/>
      <c r="PM169" s="23"/>
      <c r="PN169" s="23"/>
      <c r="PO169" s="23"/>
      <c r="PP169" s="23"/>
      <c r="PQ169" s="23"/>
      <c r="PR169" s="23"/>
      <c r="PS169" s="23"/>
      <c r="PT169" s="23"/>
      <c r="PU169" s="23"/>
      <c r="PV169" s="23"/>
      <c r="PW169" s="23"/>
      <c r="PX169" s="23"/>
      <c r="PY169" s="23"/>
      <c r="PZ169" s="23"/>
      <c r="QA169" s="23"/>
      <c r="QB169" s="23"/>
      <c r="QC169" s="23"/>
      <c r="QD169" s="23"/>
      <c r="QE169" s="23"/>
      <c r="QF169" s="23"/>
      <c r="QG169" s="23"/>
      <c r="QH169" s="23"/>
      <c r="QI169" s="23"/>
      <c r="QJ169" s="23"/>
      <c r="QK169" s="23"/>
      <c r="QL169" s="23"/>
      <c r="QM169" s="23"/>
      <c r="QN169" s="23"/>
      <c r="QO169" s="23"/>
      <c r="QP169" s="23"/>
      <c r="QQ169" s="23"/>
      <c r="QR169" s="23"/>
      <c r="QS169" s="23"/>
      <c r="QT169" s="23"/>
      <c r="QU169" s="23"/>
      <c r="QV169" s="23"/>
      <c r="QW169" s="23"/>
      <c r="QX169" s="23"/>
      <c r="QY169" s="23"/>
      <c r="QZ169" s="23"/>
      <c r="RA169" s="23"/>
      <c r="RB169" s="23"/>
      <c r="RC169" s="23"/>
      <c r="RD169" s="23"/>
      <c r="RE169" s="23"/>
      <c r="RF169" s="23"/>
      <c r="RG169" s="23"/>
      <c r="RH169" s="23"/>
      <c r="RI169" s="23"/>
      <c r="RJ169" s="23"/>
      <c r="RK169" s="23"/>
      <c r="RL169" s="23"/>
      <c r="RM169" s="23"/>
      <c r="RN169" s="23"/>
      <c r="RO169" s="23"/>
      <c r="RP169" s="23"/>
      <c r="RQ169" s="23"/>
      <c r="RR169" s="23"/>
      <c r="RS169" s="23"/>
      <c r="RT169" s="23"/>
      <c r="RU169" s="23"/>
      <c r="RV169" s="23"/>
      <c r="RW169" s="23"/>
      <c r="RX169" s="23"/>
      <c r="RY169" s="23"/>
      <c r="RZ169" s="23"/>
      <c r="SA169" s="23"/>
      <c r="SB169" s="23"/>
      <c r="SC169" s="23"/>
      <c r="SD169" s="23"/>
      <c r="SE169" s="23"/>
      <c r="SF169" s="23"/>
      <c r="SG169" s="23"/>
      <c r="SH169" s="23"/>
      <c r="SI169" s="23"/>
      <c r="SJ169" s="23"/>
      <c r="SK169" s="23"/>
      <c r="SL169" s="23"/>
      <c r="SM169" s="23"/>
      <c r="SN169" s="23"/>
      <c r="SO169" s="23"/>
      <c r="SP169" s="23"/>
      <c r="SQ169" s="23"/>
      <c r="SR169" s="23"/>
      <c r="SS169" s="23"/>
      <c r="ST169" s="23"/>
      <c r="SU169" s="23"/>
      <c r="SV169" s="23"/>
      <c r="SW169" s="23"/>
      <c r="SX169" s="23"/>
      <c r="SY169" s="23"/>
      <c r="SZ169" s="23"/>
      <c r="TA169" s="23"/>
      <c r="TB169" s="23"/>
      <c r="TC169" s="23"/>
      <c r="TD169" s="23"/>
      <c r="TE169" s="23"/>
      <c r="TF169" s="23"/>
      <c r="TG169" s="23"/>
    </row>
    <row r="170" spans="1:527" s="23" customFormat="1" ht="36" customHeight="1" x14ac:dyDescent="0.25">
      <c r="A170" s="59" t="s">
        <v>181</v>
      </c>
      <c r="B170" s="93" t="str">
        <f>'дод 8'!A106</f>
        <v>3031</v>
      </c>
      <c r="C170" s="93" t="str">
        <f>'дод 8'!B106</f>
        <v>1030</v>
      </c>
      <c r="D170" s="60" t="str">
        <f>'дод 8'!C106</f>
        <v>Надання інших пільг окремим категоріям громадян відповідно до законодавства</v>
      </c>
      <c r="E170" s="99">
        <f t="shared" si="68"/>
        <v>806663</v>
      </c>
      <c r="F170" s="99">
        <f>604900+1763+200000</f>
        <v>806663</v>
      </c>
      <c r="G170" s="99"/>
      <c r="H170" s="99"/>
      <c r="I170" s="99"/>
      <c r="J170" s="99">
        <f t="shared" ref="J170:J196" si="70">L170+O170</f>
        <v>0</v>
      </c>
      <c r="K170" s="99"/>
      <c r="L170" s="99"/>
      <c r="M170" s="99"/>
      <c r="N170" s="99"/>
      <c r="O170" s="99"/>
      <c r="P170" s="99">
        <f t="shared" si="69"/>
        <v>806663</v>
      </c>
      <c r="R170" s="32"/>
    </row>
    <row r="171" spans="1:527" s="23" customFormat="1" ht="33" customHeight="1" x14ac:dyDescent="0.25">
      <c r="A171" s="59" t="s">
        <v>182</v>
      </c>
      <c r="B171" s="93" t="str">
        <f>'дод 8'!A107</f>
        <v>3032</v>
      </c>
      <c r="C171" s="93" t="str">
        <f>'дод 8'!B107</f>
        <v>1070</v>
      </c>
      <c r="D171" s="60" t="str">
        <f>'дод 8'!C107</f>
        <v>Надання пільг окремим категоріям громадян з оплати послуг зв'язку</v>
      </c>
      <c r="E171" s="99">
        <f t="shared" si="68"/>
        <v>900230</v>
      </c>
      <c r="F171" s="99">
        <f>1150000-20770-229000</f>
        <v>900230</v>
      </c>
      <c r="G171" s="99"/>
      <c r="H171" s="99"/>
      <c r="I171" s="99"/>
      <c r="J171" s="99">
        <f t="shared" si="70"/>
        <v>0</v>
      </c>
      <c r="K171" s="99"/>
      <c r="L171" s="99"/>
      <c r="M171" s="99"/>
      <c r="N171" s="99"/>
      <c r="O171" s="99"/>
      <c r="P171" s="99">
        <f t="shared" si="69"/>
        <v>900230</v>
      </c>
      <c r="R171" s="32"/>
    </row>
    <row r="172" spans="1:527" s="23" customFormat="1" ht="48.75" customHeight="1" x14ac:dyDescent="0.25">
      <c r="A172" s="59" t="s">
        <v>352</v>
      </c>
      <c r="B172" s="93" t="str">
        <f>'дод 8'!A108</f>
        <v>3033</v>
      </c>
      <c r="C172" s="93" t="str">
        <f>'дод 8'!B108</f>
        <v>1070</v>
      </c>
      <c r="D172" s="60" t="str">
        <f>'дод 8'!C108</f>
        <v>Компенсаційні виплати на пільговий проїзд автомобільним транспортом окремим категоріям громадян, у т.ч. за рахунок:</v>
      </c>
      <c r="E172" s="99">
        <f t="shared" si="68"/>
        <v>20637869.240000002</v>
      </c>
      <c r="F172" s="99">
        <f>3342111.24+19700200+44220+1920+11410+500000+678100-2550000+958608-2048700</f>
        <v>20637869.240000002</v>
      </c>
      <c r="G172" s="99"/>
      <c r="H172" s="99"/>
      <c r="I172" s="99"/>
      <c r="J172" s="99">
        <f t="shared" si="70"/>
        <v>0</v>
      </c>
      <c r="K172" s="99"/>
      <c r="L172" s="99"/>
      <c r="M172" s="99"/>
      <c r="N172" s="99"/>
      <c r="O172" s="99"/>
      <c r="P172" s="99">
        <f t="shared" si="69"/>
        <v>20637869.240000002</v>
      </c>
      <c r="R172" s="32"/>
    </row>
    <row r="173" spans="1:527" s="30" customFormat="1" ht="20.25" customHeight="1" x14ac:dyDescent="0.25">
      <c r="A173" s="84"/>
      <c r="B173" s="111"/>
      <c r="C173" s="111"/>
      <c r="D173" s="85" t="s">
        <v>393</v>
      </c>
      <c r="E173" s="101">
        <f t="shared" si="68"/>
        <v>4358269.24</v>
      </c>
      <c r="F173" s="101">
        <f>3342111.24+44220+1920+11410+958608</f>
        <v>4358269.24</v>
      </c>
      <c r="G173" s="101"/>
      <c r="H173" s="101"/>
      <c r="I173" s="101"/>
      <c r="J173" s="101">
        <f t="shared" si="70"/>
        <v>0</v>
      </c>
      <c r="K173" s="101"/>
      <c r="L173" s="101"/>
      <c r="M173" s="101"/>
      <c r="N173" s="101"/>
      <c r="O173" s="101"/>
      <c r="P173" s="101">
        <f t="shared" si="69"/>
        <v>4358269.24</v>
      </c>
      <c r="R173" s="32"/>
    </row>
    <row r="174" spans="1:527" s="23" customFormat="1" ht="47.25" x14ac:dyDescent="0.25">
      <c r="A174" s="59" t="s">
        <v>324</v>
      </c>
      <c r="B174" s="93" t="str">
        <f>'дод 8'!A110</f>
        <v>3035</v>
      </c>
      <c r="C174" s="93" t="str">
        <f>'дод 8'!B110</f>
        <v>1070</v>
      </c>
      <c r="D174" s="60" t="str">
        <f>'дод 8'!C110</f>
        <v>Компенсаційні виплати за пільговий проїзд окремих категорій громадян на залізничному транспорті</v>
      </c>
      <c r="E174" s="99">
        <f t="shared" si="68"/>
        <v>2000000</v>
      </c>
      <c r="F174" s="99">
        <f>1500000+500000</f>
        <v>2000000</v>
      </c>
      <c r="G174" s="99"/>
      <c r="H174" s="99"/>
      <c r="I174" s="99"/>
      <c r="J174" s="99">
        <f t="shared" si="70"/>
        <v>0</v>
      </c>
      <c r="K174" s="99"/>
      <c r="L174" s="99"/>
      <c r="M174" s="99"/>
      <c r="N174" s="99"/>
      <c r="O174" s="99"/>
      <c r="P174" s="99">
        <f t="shared" si="69"/>
        <v>2000000</v>
      </c>
      <c r="R174" s="32"/>
    </row>
    <row r="175" spans="1:527" s="23" customFormat="1" ht="36" customHeight="1" x14ac:dyDescent="0.25">
      <c r="A175" s="59" t="s">
        <v>183</v>
      </c>
      <c r="B175" s="93" t="str">
        <f>'дод 8'!A111</f>
        <v>3036</v>
      </c>
      <c r="C175" s="93" t="str">
        <f>'дод 8'!B111</f>
        <v>1070</v>
      </c>
      <c r="D175" s="60" t="str">
        <f>'дод 8'!C111</f>
        <v>Компенсаційні виплати на пільговий проїзд електротранспортом окремим категоріям громадян</v>
      </c>
      <c r="E175" s="99">
        <f t="shared" si="68"/>
        <v>35575500</v>
      </c>
      <c r="F175" s="99">
        <f>37333000+3760700-5950000+431800</f>
        <v>35575500</v>
      </c>
      <c r="G175" s="99"/>
      <c r="H175" s="99"/>
      <c r="I175" s="99"/>
      <c r="J175" s="99">
        <f t="shared" si="70"/>
        <v>0</v>
      </c>
      <c r="K175" s="99"/>
      <c r="L175" s="99"/>
      <c r="M175" s="99"/>
      <c r="N175" s="99"/>
      <c r="O175" s="99"/>
      <c r="P175" s="99">
        <f t="shared" si="69"/>
        <v>35575500</v>
      </c>
      <c r="R175" s="32"/>
    </row>
    <row r="176" spans="1:527" s="22" customFormat="1" ht="47.25" x14ac:dyDescent="0.25">
      <c r="A176" s="59" t="s">
        <v>350</v>
      </c>
      <c r="B176" s="93" t="str">
        <f>'дод 8'!A112</f>
        <v>3050</v>
      </c>
      <c r="C176" s="93" t="str">
        <f>'дод 8'!B112</f>
        <v>1070</v>
      </c>
      <c r="D176" s="60" t="str">
        <f>'дод 8'!C112</f>
        <v>Пільгове медичне обслуговування осіб, які постраждали внаслідок Чорнобильської катастрофи, у т.ч. за рахунок:</v>
      </c>
      <c r="E176" s="99">
        <f t="shared" si="68"/>
        <v>667500</v>
      </c>
      <c r="F176" s="99">
        <v>667500</v>
      </c>
      <c r="G176" s="99"/>
      <c r="H176" s="99"/>
      <c r="I176" s="99"/>
      <c r="J176" s="99">
        <f t="shared" si="70"/>
        <v>0</v>
      </c>
      <c r="K176" s="99"/>
      <c r="L176" s="99"/>
      <c r="M176" s="99"/>
      <c r="N176" s="99"/>
      <c r="O176" s="99"/>
      <c r="P176" s="99">
        <f t="shared" si="69"/>
        <v>667500</v>
      </c>
      <c r="Q176" s="23"/>
      <c r="R176" s="32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  <c r="IN176" s="23"/>
      <c r="IO176" s="23"/>
      <c r="IP176" s="23"/>
      <c r="IQ176" s="23"/>
      <c r="IR176" s="23"/>
      <c r="IS176" s="23"/>
      <c r="IT176" s="23"/>
      <c r="IU176" s="23"/>
      <c r="IV176" s="23"/>
      <c r="IW176" s="23"/>
      <c r="IX176" s="23"/>
      <c r="IY176" s="23"/>
      <c r="IZ176" s="23"/>
      <c r="JA176" s="23"/>
      <c r="JB176" s="23"/>
      <c r="JC176" s="23"/>
      <c r="JD176" s="23"/>
      <c r="JE176" s="23"/>
      <c r="JF176" s="23"/>
      <c r="JG176" s="23"/>
      <c r="JH176" s="23"/>
      <c r="JI176" s="23"/>
      <c r="JJ176" s="23"/>
      <c r="JK176" s="23"/>
      <c r="JL176" s="23"/>
      <c r="JM176" s="23"/>
      <c r="JN176" s="23"/>
      <c r="JO176" s="23"/>
      <c r="JP176" s="23"/>
      <c r="JQ176" s="23"/>
      <c r="JR176" s="23"/>
      <c r="JS176" s="23"/>
      <c r="JT176" s="23"/>
      <c r="JU176" s="23"/>
      <c r="JV176" s="23"/>
      <c r="JW176" s="23"/>
      <c r="JX176" s="23"/>
      <c r="JY176" s="23"/>
      <c r="JZ176" s="23"/>
      <c r="KA176" s="23"/>
      <c r="KB176" s="23"/>
      <c r="KC176" s="23"/>
      <c r="KD176" s="23"/>
      <c r="KE176" s="23"/>
      <c r="KF176" s="23"/>
      <c r="KG176" s="23"/>
      <c r="KH176" s="23"/>
      <c r="KI176" s="23"/>
      <c r="KJ176" s="23"/>
      <c r="KK176" s="23"/>
      <c r="KL176" s="23"/>
      <c r="KM176" s="23"/>
      <c r="KN176" s="23"/>
      <c r="KO176" s="23"/>
      <c r="KP176" s="23"/>
      <c r="KQ176" s="23"/>
      <c r="KR176" s="23"/>
      <c r="KS176" s="23"/>
      <c r="KT176" s="23"/>
      <c r="KU176" s="23"/>
      <c r="KV176" s="23"/>
      <c r="KW176" s="23"/>
      <c r="KX176" s="23"/>
      <c r="KY176" s="23"/>
      <c r="KZ176" s="23"/>
      <c r="LA176" s="23"/>
      <c r="LB176" s="23"/>
      <c r="LC176" s="23"/>
      <c r="LD176" s="23"/>
      <c r="LE176" s="23"/>
      <c r="LF176" s="23"/>
      <c r="LG176" s="23"/>
      <c r="LH176" s="23"/>
      <c r="LI176" s="23"/>
      <c r="LJ176" s="23"/>
      <c r="LK176" s="23"/>
      <c r="LL176" s="23"/>
      <c r="LM176" s="23"/>
      <c r="LN176" s="23"/>
      <c r="LO176" s="23"/>
      <c r="LP176" s="23"/>
      <c r="LQ176" s="23"/>
      <c r="LR176" s="23"/>
      <c r="LS176" s="23"/>
      <c r="LT176" s="23"/>
      <c r="LU176" s="23"/>
      <c r="LV176" s="23"/>
      <c r="LW176" s="23"/>
      <c r="LX176" s="23"/>
      <c r="LY176" s="23"/>
      <c r="LZ176" s="23"/>
      <c r="MA176" s="23"/>
      <c r="MB176" s="23"/>
      <c r="MC176" s="23"/>
      <c r="MD176" s="23"/>
      <c r="ME176" s="23"/>
      <c r="MF176" s="23"/>
      <c r="MG176" s="23"/>
      <c r="MH176" s="23"/>
      <c r="MI176" s="23"/>
      <c r="MJ176" s="23"/>
      <c r="MK176" s="23"/>
      <c r="ML176" s="23"/>
      <c r="MM176" s="23"/>
      <c r="MN176" s="23"/>
      <c r="MO176" s="23"/>
      <c r="MP176" s="23"/>
      <c r="MQ176" s="23"/>
      <c r="MR176" s="23"/>
      <c r="MS176" s="23"/>
      <c r="MT176" s="23"/>
      <c r="MU176" s="23"/>
      <c r="MV176" s="23"/>
      <c r="MW176" s="23"/>
      <c r="MX176" s="23"/>
      <c r="MY176" s="23"/>
      <c r="MZ176" s="23"/>
      <c r="NA176" s="23"/>
      <c r="NB176" s="23"/>
      <c r="NC176" s="23"/>
      <c r="ND176" s="23"/>
      <c r="NE176" s="23"/>
      <c r="NF176" s="23"/>
      <c r="NG176" s="23"/>
      <c r="NH176" s="23"/>
      <c r="NI176" s="23"/>
      <c r="NJ176" s="23"/>
      <c r="NK176" s="23"/>
      <c r="NL176" s="23"/>
      <c r="NM176" s="23"/>
      <c r="NN176" s="23"/>
      <c r="NO176" s="23"/>
      <c r="NP176" s="23"/>
      <c r="NQ176" s="23"/>
      <c r="NR176" s="23"/>
      <c r="NS176" s="23"/>
      <c r="NT176" s="23"/>
      <c r="NU176" s="23"/>
      <c r="NV176" s="23"/>
      <c r="NW176" s="23"/>
      <c r="NX176" s="23"/>
      <c r="NY176" s="23"/>
      <c r="NZ176" s="23"/>
      <c r="OA176" s="23"/>
      <c r="OB176" s="23"/>
      <c r="OC176" s="23"/>
      <c r="OD176" s="23"/>
      <c r="OE176" s="23"/>
      <c r="OF176" s="23"/>
      <c r="OG176" s="23"/>
      <c r="OH176" s="23"/>
      <c r="OI176" s="23"/>
      <c r="OJ176" s="23"/>
      <c r="OK176" s="23"/>
      <c r="OL176" s="23"/>
      <c r="OM176" s="23"/>
      <c r="ON176" s="23"/>
      <c r="OO176" s="23"/>
      <c r="OP176" s="23"/>
      <c r="OQ176" s="23"/>
      <c r="OR176" s="23"/>
      <c r="OS176" s="23"/>
      <c r="OT176" s="23"/>
      <c r="OU176" s="23"/>
      <c r="OV176" s="23"/>
      <c r="OW176" s="23"/>
      <c r="OX176" s="23"/>
      <c r="OY176" s="23"/>
      <c r="OZ176" s="23"/>
      <c r="PA176" s="23"/>
      <c r="PB176" s="23"/>
      <c r="PC176" s="23"/>
      <c r="PD176" s="23"/>
      <c r="PE176" s="23"/>
      <c r="PF176" s="23"/>
      <c r="PG176" s="23"/>
      <c r="PH176" s="23"/>
      <c r="PI176" s="23"/>
      <c r="PJ176" s="23"/>
      <c r="PK176" s="23"/>
      <c r="PL176" s="23"/>
      <c r="PM176" s="23"/>
      <c r="PN176" s="23"/>
      <c r="PO176" s="23"/>
      <c r="PP176" s="23"/>
      <c r="PQ176" s="23"/>
      <c r="PR176" s="23"/>
      <c r="PS176" s="23"/>
      <c r="PT176" s="23"/>
      <c r="PU176" s="23"/>
      <c r="PV176" s="23"/>
      <c r="PW176" s="23"/>
      <c r="PX176" s="23"/>
      <c r="PY176" s="23"/>
      <c r="PZ176" s="23"/>
      <c r="QA176" s="23"/>
      <c r="QB176" s="23"/>
      <c r="QC176" s="23"/>
      <c r="QD176" s="23"/>
      <c r="QE176" s="23"/>
      <c r="QF176" s="23"/>
      <c r="QG176" s="23"/>
      <c r="QH176" s="23"/>
      <c r="QI176" s="23"/>
      <c r="QJ176" s="23"/>
      <c r="QK176" s="23"/>
      <c r="QL176" s="23"/>
      <c r="QM176" s="23"/>
      <c r="QN176" s="23"/>
      <c r="QO176" s="23"/>
      <c r="QP176" s="23"/>
      <c r="QQ176" s="23"/>
      <c r="QR176" s="23"/>
      <c r="QS176" s="23"/>
      <c r="QT176" s="23"/>
      <c r="QU176" s="23"/>
      <c r="QV176" s="23"/>
      <c r="QW176" s="23"/>
      <c r="QX176" s="23"/>
      <c r="QY176" s="23"/>
      <c r="QZ176" s="23"/>
      <c r="RA176" s="23"/>
      <c r="RB176" s="23"/>
      <c r="RC176" s="23"/>
      <c r="RD176" s="23"/>
      <c r="RE176" s="23"/>
      <c r="RF176" s="23"/>
      <c r="RG176" s="23"/>
      <c r="RH176" s="23"/>
      <c r="RI176" s="23"/>
      <c r="RJ176" s="23"/>
      <c r="RK176" s="23"/>
      <c r="RL176" s="23"/>
      <c r="RM176" s="23"/>
      <c r="RN176" s="23"/>
      <c r="RO176" s="23"/>
      <c r="RP176" s="23"/>
      <c r="RQ176" s="23"/>
      <c r="RR176" s="23"/>
      <c r="RS176" s="23"/>
      <c r="RT176" s="23"/>
      <c r="RU176" s="23"/>
      <c r="RV176" s="23"/>
      <c r="RW176" s="23"/>
      <c r="RX176" s="23"/>
      <c r="RY176" s="23"/>
      <c r="RZ176" s="23"/>
      <c r="SA176" s="23"/>
      <c r="SB176" s="23"/>
      <c r="SC176" s="23"/>
      <c r="SD176" s="23"/>
      <c r="SE176" s="23"/>
      <c r="SF176" s="23"/>
      <c r="SG176" s="23"/>
      <c r="SH176" s="23"/>
      <c r="SI176" s="23"/>
      <c r="SJ176" s="23"/>
      <c r="SK176" s="23"/>
      <c r="SL176" s="23"/>
      <c r="SM176" s="23"/>
      <c r="SN176" s="23"/>
      <c r="SO176" s="23"/>
      <c r="SP176" s="23"/>
      <c r="SQ176" s="23"/>
      <c r="SR176" s="23"/>
      <c r="SS176" s="23"/>
      <c r="ST176" s="23"/>
      <c r="SU176" s="23"/>
      <c r="SV176" s="23"/>
      <c r="SW176" s="23"/>
      <c r="SX176" s="23"/>
      <c r="SY176" s="23"/>
      <c r="SZ176" s="23"/>
      <c r="TA176" s="23"/>
      <c r="TB176" s="23"/>
      <c r="TC176" s="23"/>
      <c r="TD176" s="23"/>
      <c r="TE176" s="23"/>
      <c r="TF176" s="23"/>
      <c r="TG176" s="23"/>
    </row>
    <row r="177" spans="1:527" s="24" customFormat="1" ht="15.75" x14ac:dyDescent="0.25">
      <c r="A177" s="84"/>
      <c r="B177" s="111"/>
      <c r="C177" s="111"/>
      <c r="D177" s="85" t="s">
        <v>393</v>
      </c>
      <c r="E177" s="101">
        <f t="shared" si="68"/>
        <v>667500</v>
      </c>
      <c r="F177" s="101">
        <v>667500</v>
      </c>
      <c r="G177" s="101"/>
      <c r="H177" s="101"/>
      <c r="I177" s="101"/>
      <c r="J177" s="101">
        <f t="shared" si="70"/>
        <v>0</v>
      </c>
      <c r="K177" s="101"/>
      <c r="L177" s="101"/>
      <c r="M177" s="101"/>
      <c r="N177" s="101"/>
      <c r="O177" s="101"/>
      <c r="P177" s="101">
        <f t="shared" si="69"/>
        <v>667500</v>
      </c>
      <c r="Q177" s="30"/>
      <c r="R177" s="32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/>
      <c r="GY177" s="30"/>
      <c r="GZ177" s="30"/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  <c r="ID177" s="30"/>
      <c r="IE177" s="30"/>
      <c r="IF177" s="30"/>
      <c r="IG177" s="30"/>
      <c r="IH177" s="30"/>
      <c r="II177" s="30"/>
      <c r="IJ177" s="30"/>
      <c r="IK177" s="30"/>
      <c r="IL177" s="30"/>
      <c r="IM177" s="30"/>
      <c r="IN177" s="30"/>
      <c r="IO177" s="30"/>
      <c r="IP177" s="30"/>
      <c r="IQ177" s="30"/>
      <c r="IR177" s="30"/>
      <c r="IS177" s="30"/>
      <c r="IT177" s="30"/>
      <c r="IU177" s="30"/>
      <c r="IV177" s="30"/>
      <c r="IW177" s="30"/>
      <c r="IX177" s="30"/>
      <c r="IY177" s="30"/>
      <c r="IZ177" s="30"/>
      <c r="JA177" s="30"/>
      <c r="JB177" s="30"/>
      <c r="JC177" s="30"/>
      <c r="JD177" s="30"/>
      <c r="JE177" s="30"/>
      <c r="JF177" s="30"/>
      <c r="JG177" s="30"/>
      <c r="JH177" s="30"/>
      <c r="JI177" s="30"/>
      <c r="JJ177" s="30"/>
      <c r="JK177" s="30"/>
      <c r="JL177" s="30"/>
      <c r="JM177" s="30"/>
      <c r="JN177" s="30"/>
      <c r="JO177" s="30"/>
      <c r="JP177" s="30"/>
      <c r="JQ177" s="30"/>
      <c r="JR177" s="30"/>
      <c r="JS177" s="30"/>
      <c r="JT177" s="30"/>
      <c r="JU177" s="30"/>
      <c r="JV177" s="30"/>
      <c r="JW177" s="30"/>
      <c r="JX177" s="30"/>
      <c r="JY177" s="30"/>
      <c r="JZ177" s="30"/>
      <c r="KA177" s="30"/>
      <c r="KB177" s="30"/>
      <c r="KC177" s="30"/>
      <c r="KD177" s="30"/>
      <c r="KE177" s="30"/>
      <c r="KF177" s="30"/>
      <c r="KG177" s="30"/>
      <c r="KH177" s="30"/>
      <c r="KI177" s="30"/>
      <c r="KJ177" s="30"/>
      <c r="KK177" s="30"/>
      <c r="KL177" s="30"/>
      <c r="KM177" s="30"/>
      <c r="KN177" s="30"/>
      <c r="KO177" s="30"/>
      <c r="KP177" s="30"/>
      <c r="KQ177" s="30"/>
      <c r="KR177" s="30"/>
      <c r="KS177" s="30"/>
      <c r="KT177" s="30"/>
      <c r="KU177" s="30"/>
      <c r="KV177" s="30"/>
      <c r="KW177" s="30"/>
      <c r="KX177" s="30"/>
      <c r="KY177" s="30"/>
      <c r="KZ177" s="30"/>
      <c r="LA177" s="30"/>
      <c r="LB177" s="30"/>
      <c r="LC177" s="30"/>
      <c r="LD177" s="30"/>
      <c r="LE177" s="30"/>
      <c r="LF177" s="30"/>
      <c r="LG177" s="30"/>
      <c r="LH177" s="30"/>
      <c r="LI177" s="30"/>
      <c r="LJ177" s="30"/>
      <c r="LK177" s="30"/>
      <c r="LL177" s="30"/>
      <c r="LM177" s="30"/>
      <c r="LN177" s="30"/>
      <c r="LO177" s="30"/>
      <c r="LP177" s="30"/>
      <c r="LQ177" s="30"/>
      <c r="LR177" s="30"/>
      <c r="LS177" s="30"/>
      <c r="LT177" s="30"/>
      <c r="LU177" s="30"/>
      <c r="LV177" s="30"/>
      <c r="LW177" s="30"/>
      <c r="LX177" s="30"/>
      <c r="LY177" s="30"/>
      <c r="LZ177" s="30"/>
      <c r="MA177" s="30"/>
      <c r="MB177" s="30"/>
      <c r="MC177" s="30"/>
      <c r="MD177" s="30"/>
      <c r="ME177" s="30"/>
      <c r="MF177" s="30"/>
      <c r="MG177" s="30"/>
      <c r="MH177" s="30"/>
      <c r="MI177" s="30"/>
      <c r="MJ177" s="30"/>
      <c r="MK177" s="30"/>
      <c r="ML177" s="30"/>
      <c r="MM177" s="30"/>
      <c r="MN177" s="30"/>
      <c r="MO177" s="30"/>
      <c r="MP177" s="30"/>
      <c r="MQ177" s="30"/>
      <c r="MR177" s="30"/>
      <c r="MS177" s="30"/>
      <c r="MT177" s="30"/>
      <c r="MU177" s="30"/>
      <c r="MV177" s="30"/>
      <c r="MW177" s="30"/>
      <c r="MX177" s="30"/>
      <c r="MY177" s="30"/>
      <c r="MZ177" s="30"/>
      <c r="NA177" s="30"/>
      <c r="NB177" s="30"/>
      <c r="NC177" s="30"/>
      <c r="ND177" s="30"/>
      <c r="NE177" s="30"/>
      <c r="NF177" s="30"/>
      <c r="NG177" s="30"/>
      <c r="NH177" s="30"/>
      <c r="NI177" s="30"/>
      <c r="NJ177" s="30"/>
      <c r="NK177" s="30"/>
      <c r="NL177" s="30"/>
      <c r="NM177" s="30"/>
      <c r="NN177" s="30"/>
      <c r="NO177" s="30"/>
      <c r="NP177" s="30"/>
      <c r="NQ177" s="30"/>
      <c r="NR177" s="30"/>
      <c r="NS177" s="30"/>
      <c r="NT177" s="30"/>
      <c r="NU177" s="30"/>
      <c r="NV177" s="30"/>
      <c r="NW177" s="30"/>
      <c r="NX177" s="30"/>
      <c r="NY177" s="30"/>
      <c r="NZ177" s="30"/>
      <c r="OA177" s="30"/>
      <c r="OB177" s="30"/>
      <c r="OC177" s="30"/>
      <c r="OD177" s="30"/>
      <c r="OE177" s="30"/>
      <c r="OF177" s="30"/>
      <c r="OG177" s="30"/>
      <c r="OH177" s="30"/>
      <c r="OI177" s="30"/>
      <c r="OJ177" s="30"/>
      <c r="OK177" s="30"/>
      <c r="OL177" s="30"/>
      <c r="OM177" s="30"/>
      <c r="ON177" s="30"/>
      <c r="OO177" s="30"/>
      <c r="OP177" s="30"/>
      <c r="OQ177" s="30"/>
      <c r="OR177" s="30"/>
      <c r="OS177" s="30"/>
      <c r="OT177" s="30"/>
      <c r="OU177" s="30"/>
      <c r="OV177" s="30"/>
      <c r="OW177" s="30"/>
      <c r="OX177" s="30"/>
      <c r="OY177" s="30"/>
      <c r="OZ177" s="30"/>
      <c r="PA177" s="30"/>
      <c r="PB177" s="30"/>
      <c r="PC177" s="30"/>
      <c r="PD177" s="30"/>
      <c r="PE177" s="30"/>
      <c r="PF177" s="30"/>
      <c r="PG177" s="30"/>
      <c r="PH177" s="30"/>
      <c r="PI177" s="30"/>
      <c r="PJ177" s="30"/>
      <c r="PK177" s="30"/>
      <c r="PL177" s="30"/>
      <c r="PM177" s="30"/>
      <c r="PN177" s="30"/>
      <c r="PO177" s="30"/>
      <c r="PP177" s="30"/>
      <c r="PQ177" s="30"/>
      <c r="PR177" s="30"/>
      <c r="PS177" s="30"/>
      <c r="PT177" s="30"/>
      <c r="PU177" s="30"/>
      <c r="PV177" s="30"/>
      <c r="PW177" s="30"/>
      <c r="PX177" s="30"/>
      <c r="PY177" s="30"/>
      <c r="PZ177" s="30"/>
      <c r="QA177" s="30"/>
      <c r="QB177" s="30"/>
      <c r="QC177" s="30"/>
      <c r="QD177" s="30"/>
      <c r="QE177" s="30"/>
      <c r="QF177" s="30"/>
      <c r="QG177" s="30"/>
      <c r="QH177" s="30"/>
      <c r="QI177" s="30"/>
      <c r="QJ177" s="30"/>
      <c r="QK177" s="30"/>
      <c r="QL177" s="30"/>
      <c r="QM177" s="30"/>
      <c r="QN177" s="30"/>
      <c r="QO177" s="30"/>
      <c r="QP177" s="30"/>
      <c r="QQ177" s="30"/>
      <c r="QR177" s="30"/>
      <c r="QS177" s="30"/>
      <c r="QT177" s="30"/>
      <c r="QU177" s="30"/>
      <c r="QV177" s="30"/>
      <c r="QW177" s="30"/>
      <c r="QX177" s="30"/>
      <c r="QY177" s="30"/>
      <c r="QZ177" s="30"/>
      <c r="RA177" s="30"/>
      <c r="RB177" s="30"/>
      <c r="RC177" s="30"/>
      <c r="RD177" s="30"/>
      <c r="RE177" s="30"/>
      <c r="RF177" s="30"/>
      <c r="RG177" s="30"/>
      <c r="RH177" s="30"/>
      <c r="RI177" s="30"/>
      <c r="RJ177" s="30"/>
      <c r="RK177" s="30"/>
      <c r="RL177" s="30"/>
      <c r="RM177" s="30"/>
      <c r="RN177" s="30"/>
      <c r="RO177" s="30"/>
      <c r="RP177" s="30"/>
      <c r="RQ177" s="30"/>
      <c r="RR177" s="30"/>
      <c r="RS177" s="30"/>
      <c r="RT177" s="30"/>
      <c r="RU177" s="30"/>
      <c r="RV177" s="30"/>
      <c r="RW177" s="30"/>
      <c r="RX177" s="30"/>
      <c r="RY177" s="30"/>
      <c r="RZ177" s="30"/>
      <c r="SA177" s="30"/>
      <c r="SB177" s="30"/>
      <c r="SC177" s="30"/>
      <c r="SD177" s="30"/>
      <c r="SE177" s="30"/>
      <c r="SF177" s="30"/>
      <c r="SG177" s="30"/>
      <c r="SH177" s="30"/>
      <c r="SI177" s="30"/>
      <c r="SJ177" s="30"/>
      <c r="SK177" s="30"/>
      <c r="SL177" s="30"/>
      <c r="SM177" s="30"/>
      <c r="SN177" s="30"/>
      <c r="SO177" s="30"/>
      <c r="SP177" s="30"/>
      <c r="SQ177" s="30"/>
      <c r="SR177" s="30"/>
      <c r="SS177" s="30"/>
      <c r="ST177" s="30"/>
      <c r="SU177" s="30"/>
      <c r="SV177" s="30"/>
      <c r="SW177" s="30"/>
      <c r="SX177" s="30"/>
      <c r="SY177" s="30"/>
      <c r="SZ177" s="30"/>
      <c r="TA177" s="30"/>
      <c r="TB177" s="30"/>
      <c r="TC177" s="30"/>
      <c r="TD177" s="30"/>
      <c r="TE177" s="30"/>
      <c r="TF177" s="30"/>
      <c r="TG177" s="30"/>
    </row>
    <row r="178" spans="1:527" s="22" customFormat="1" ht="47.25" x14ac:dyDescent="0.25">
      <c r="A178" s="59" t="s">
        <v>351</v>
      </c>
      <c r="B178" s="93" t="str">
        <f>'дод 8'!A114</f>
        <v>3090</v>
      </c>
      <c r="C178" s="93" t="str">
        <f>'дод 8'!B114</f>
        <v>1030</v>
      </c>
      <c r="D178" s="60" t="str">
        <f>'дод 8'!C114</f>
        <v>Видатки на поховання учасників бойових дій та осіб з інвалідністю внаслідок війни, у т.ч. за рахунок:</v>
      </c>
      <c r="E178" s="99">
        <f t="shared" si="68"/>
        <v>245000</v>
      </c>
      <c r="F178" s="99">
        <v>245000</v>
      </c>
      <c r="G178" s="99"/>
      <c r="H178" s="99"/>
      <c r="I178" s="99"/>
      <c r="J178" s="99">
        <f t="shared" si="70"/>
        <v>0</v>
      </c>
      <c r="K178" s="99"/>
      <c r="L178" s="99"/>
      <c r="M178" s="99"/>
      <c r="N178" s="99"/>
      <c r="O178" s="99"/>
      <c r="P178" s="99">
        <f t="shared" si="69"/>
        <v>245000</v>
      </c>
      <c r="Q178" s="23"/>
      <c r="R178" s="32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  <c r="IT178" s="23"/>
      <c r="IU178" s="23"/>
      <c r="IV178" s="23"/>
      <c r="IW178" s="23"/>
      <c r="IX178" s="23"/>
      <c r="IY178" s="23"/>
      <c r="IZ178" s="23"/>
      <c r="JA178" s="23"/>
      <c r="JB178" s="23"/>
      <c r="JC178" s="23"/>
      <c r="JD178" s="23"/>
      <c r="JE178" s="23"/>
      <c r="JF178" s="23"/>
      <c r="JG178" s="23"/>
      <c r="JH178" s="23"/>
      <c r="JI178" s="23"/>
      <c r="JJ178" s="23"/>
      <c r="JK178" s="23"/>
      <c r="JL178" s="23"/>
      <c r="JM178" s="23"/>
      <c r="JN178" s="23"/>
      <c r="JO178" s="23"/>
      <c r="JP178" s="23"/>
      <c r="JQ178" s="23"/>
      <c r="JR178" s="23"/>
      <c r="JS178" s="23"/>
      <c r="JT178" s="23"/>
      <c r="JU178" s="23"/>
      <c r="JV178" s="23"/>
      <c r="JW178" s="23"/>
      <c r="JX178" s="23"/>
      <c r="JY178" s="23"/>
      <c r="JZ178" s="23"/>
      <c r="KA178" s="23"/>
      <c r="KB178" s="23"/>
      <c r="KC178" s="23"/>
      <c r="KD178" s="23"/>
      <c r="KE178" s="23"/>
      <c r="KF178" s="23"/>
      <c r="KG178" s="23"/>
      <c r="KH178" s="23"/>
      <c r="KI178" s="23"/>
      <c r="KJ178" s="23"/>
      <c r="KK178" s="23"/>
      <c r="KL178" s="23"/>
      <c r="KM178" s="23"/>
      <c r="KN178" s="23"/>
      <c r="KO178" s="23"/>
      <c r="KP178" s="23"/>
      <c r="KQ178" s="23"/>
      <c r="KR178" s="23"/>
      <c r="KS178" s="23"/>
      <c r="KT178" s="23"/>
      <c r="KU178" s="23"/>
      <c r="KV178" s="23"/>
      <c r="KW178" s="23"/>
      <c r="KX178" s="23"/>
      <c r="KY178" s="23"/>
      <c r="KZ178" s="23"/>
      <c r="LA178" s="23"/>
      <c r="LB178" s="23"/>
      <c r="LC178" s="23"/>
      <c r="LD178" s="23"/>
      <c r="LE178" s="23"/>
      <c r="LF178" s="23"/>
      <c r="LG178" s="23"/>
      <c r="LH178" s="23"/>
      <c r="LI178" s="23"/>
      <c r="LJ178" s="23"/>
      <c r="LK178" s="23"/>
      <c r="LL178" s="23"/>
      <c r="LM178" s="23"/>
      <c r="LN178" s="23"/>
      <c r="LO178" s="23"/>
      <c r="LP178" s="23"/>
      <c r="LQ178" s="23"/>
      <c r="LR178" s="23"/>
      <c r="LS178" s="23"/>
      <c r="LT178" s="23"/>
      <c r="LU178" s="23"/>
      <c r="LV178" s="23"/>
      <c r="LW178" s="23"/>
      <c r="LX178" s="23"/>
      <c r="LY178" s="23"/>
      <c r="LZ178" s="23"/>
      <c r="MA178" s="23"/>
      <c r="MB178" s="23"/>
      <c r="MC178" s="23"/>
      <c r="MD178" s="23"/>
      <c r="ME178" s="23"/>
      <c r="MF178" s="23"/>
      <c r="MG178" s="23"/>
      <c r="MH178" s="23"/>
      <c r="MI178" s="23"/>
      <c r="MJ178" s="23"/>
      <c r="MK178" s="23"/>
      <c r="ML178" s="23"/>
      <c r="MM178" s="23"/>
      <c r="MN178" s="23"/>
      <c r="MO178" s="23"/>
      <c r="MP178" s="23"/>
      <c r="MQ178" s="23"/>
      <c r="MR178" s="23"/>
      <c r="MS178" s="23"/>
      <c r="MT178" s="23"/>
      <c r="MU178" s="23"/>
      <c r="MV178" s="23"/>
      <c r="MW178" s="23"/>
      <c r="MX178" s="23"/>
      <c r="MY178" s="23"/>
      <c r="MZ178" s="23"/>
      <c r="NA178" s="23"/>
      <c r="NB178" s="23"/>
      <c r="NC178" s="23"/>
      <c r="ND178" s="23"/>
      <c r="NE178" s="23"/>
      <c r="NF178" s="23"/>
      <c r="NG178" s="23"/>
      <c r="NH178" s="23"/>
      <c r="NI178" s="23"/>
      <c r="NJ178" s="23"/>
      <c r="NK178" s="23"/>
      <c r="NL178" s="23"/>
      <c r="NM178" s="23"/>
      <c r="NN178" s="23"/>
      <c r="NO178" s="23"/>
      <c r="NP178" s="23"/>
      <c r="NQ178" s="23"/>
      <c r="NR178" s="23"/>
      <c r="NS178" s="23"/>
      <c r="NT178" s="23"/>
      <c r="NU178" s="23"/>
      <c r="NV178" s="23"/>
      <c r="NW178" s="23"/>
      <c r="NX178" s="23"/>
      <c r="NY178" s="23"/>
      <c r="NZ178" s="23"/>
      <c r="OA178" s="23"/>
      <c r="OB178" s="23"/>
      <c r="OC178" s="23"/>
      <c r="OD178" s="23"/>
      <c r="OE178" s="23"/>
      <c r="OF178" s="23"/>
      <c r="OG178" s="23"/>
      <c r="OH178" s="23"/>
      <c r="OI178" s="23"/>
      <c r="OJ178" s="23"/>
      <c r="OK178" s="23"/>
      <c r="OL178" s="23"/>
      <c r="OM178" s="23"/>
      <c r="ON178" s="23"/>
      <c r="OO178" s="23"/>
      <c r="OP178" s="23"/>
      <c r="OQ178" s="23"/>
      <c r="OR178" s="23"/>
      <c r="OS178" s="23"/>
      <c r="OT178" s="23"/>
      <c r="OU178" s="23"/>
      <c r="OV178" s="23"/>
      <c r="OW178" s="23"/>
      <c r="OX178" s="23"/>
      <c r="OY178" s="23"/>
      <c r="OZ178" s="23"/>
      <c r="PA178" s="23"/>
      <c r="PB178" s="23"/>
      <c r="PC178" s="23"/>
      <c r="PD178" s="23"/>
      <c r="PE178" s="23"/>
      <c r="PF178" s="23"/>
      <c r="PG178" s="23"/>
      <c r="PH178" s="23"/>
      <c r="PI178" s="23"/>
      <c r="PJ178" s="23"/>
      <c r="PK178" s="23"/>
      <c r="PL178" s="23"/>
      <c r="PM178" s="23"/>
      <c r="PN178" s="23"/>
      <c r="PO178" s="23"/>
      <c r="PP178" s="23"/>
      <c r="PQ178" s="23"/>
      <c r="PR178" s="23"/>
      <c r="PS178" s="23"/>
      <c r="PT178" s="23"/>
      <c r="PU178" s="23"/>
      <c r="PV178" s="23"/>
      <c r="PW178" s="23"/>
      <c r="PX178" s="23"/>
      <c r="PY178" s="23"/>
      <c r="PZ178" s="23"/>
      <c r="QA178" s="23"/>
      <c r="QB178" s="23"/>
      <c r="QC178" s="23"/>
      <c r="QD178" s="23"/>
      <c r="QE178" s="23"/>
      <c r="QF178" s="23"/>
      <c r="QG178" s="23"/>
      <c r="QH178" s="23"/>
      <c r="QI178" s="23"/>
      <c r="QJ178" s="23"/>
      <c r="QK178" s="23"/>
      <c r="QL178" s="23"/>
      <c r="QM178" s="23"/>
      <c r="QN178" s="23"/>
      <c r="QO178" s="23"/>
      <c r="QP178" s="23"/>
      <c r="QQ178" s="23"/>
      <c r="QR178" s="23"/>
      <c r="QS178" s="23"/>
      <c r="QT178" s="23"/>
      <c r="QU178" s="23"/>
      <c r="QV178" s="23"/>
      <c r="QW178" s="23"/>
      <c r="QX178" s="23"/>
      <c r="QY178" s="23"/>
      <c r="QZ178" s="23"/>
      <c r="RA178" s="23"/>
      <c r="RB178" s="23"/>
      <c r="RC178" s="23"/>
      <c r="RD178" s="23"/>
      <c r="RE178" s="23"/>
      <c r="RF178" s="23"/>
      <c r="RG178" s="23"/>
      <c r="RH178" s="23"/>
      <c r="RI178" s="23"/>
      <c r="RJ178" s="23"/>
      <c r="RK178" s="23"/>
      <c r="RL178" s="23"/>
      <c r="RM178" s="23"/>
      <c r="RN178" s="23"/>
      <c r="RO178" s="23"/>
      <c r="RP178" s="23"/>
      <c r="RQ178" s="23"/>
      <c r="RR178" s="23"/>
      <c r="RS178" s="23"/>
      <c r="RT178" s="23"/>
      <c r="RU178" s="23"/>
      <c r="RV178" s="23"/>
      <c r="RW178" s="23"/>
      <c r="RX178" s="23"/>
      <c r="RY178" s="23"/>
      <c r="RZ178" s="23"/>
      <c r="SA178" s="23"/>
      <c r="SB178" s="23"/>
      <c r="SC178" s="23"/>
      <c r="SD178" s="23"/>
      <c r="SE178" s="23"/>
      <c r="SF178" s="23"/>
      <c r="SG178" s="23"/>
      <c r="SH178" s="23"/>
      <c r="SI178" s="23"/>
      <c r="SJ178" s="23"/>
      <c r="SK178" s="23"/>
      <c r="SL178" s="23"/>
      <c r="SM178" s="23"/>
      <c r="SN178" s="23"/>
      <c r="SO178" s="23"/>
      <c r="SP178" s="23"/>
      <c r="SQ178" s="23"/>
      <c r="SR178" s="23"/>
      <c r="SS178" s="23"/>
      <c r="ST178" s="23"/>
      <c r="SU178" s="23"/>
      <c r="SV178" s="23"/>
      <c r="SW178" s="23"/>
      <c r="SX178" s="23"/>
      <c r="SY178" s="23"/>
      <c r="SZ178" s="23"/>
      <c r="TA178" s="23"/>
      <c r="TB178" s="23"/>
      <c r="TC178" s="23"/>
      <c r="TD178" s="23"/>
      <c r="TE178" s="23"/>
      <c r="TF178" s="23"/>
      <c r="TG178" s="23"/>
    </row>
    <row r="179" spans="1:527" s="24" customFormat="1" ht="15.75" x14ac:dyDescent="0.25">
      <c r="A179" s="84"/>
      <c r="B179" s="111"/>
      <c r="C179" s="111"/>
      <c r="D179" s="85" t="s">
        <v>393</v>
      </c>
      <c r="E179" s="101">
        <f t="shared" si="68"/>
        <v>245000</v>
      </c>
      <c r="F179" s="101">
        <v>245000</v>
      </c>
      <c r="G179" s="101"/>
      <c r="H179" s="101"/>
      <c r="I179" s="101"/>
      <c r="J179" s="101">
        <f t="shared" si="70"/>
        <v>0</v>
      </c>
      <c r="K179" s="101"/>
      <c r="L179" s="101"/>
      <c r="M179" s="101"/>
      <c r="N179" s="101"/>
      <c r="O179" s="101"/>
      <c r="P179" s="101">
        <f t="shared" si="69"/>
        <v>245000</v>
      </c>
      <c r="Q179" s="30"/>
      <c r="R179" s="32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/>
      <c r="IE179" s="30"/>
      <c r="IF179" s="30"/>
      <c r="IG179" s="30"/>
      <c r="IH179" s="30"/>
      <c r="II179" s="30"/>
      <c r="IJ179" s="30"/>
      <c r="IK179" s="30"/>
      <c r="IL179" s="30"/>
      <c r="IM179" s="30"/>
      <c r="IN179" s="30"/>
      <c r="IO179" s="30"/>
      <c r="IP179" s="30"/>
      <c r="IQ179" s="30"/>
      <c r="IR179" s="30"/>
      <c r="IS179" s="30"/>
      <c r="IT179" s="30"/>
      <c r="IU179" s="30"/>
      <c r="IV179" s="30"/>
      <c r="IW179" s="30"/>
      <c r="IX179" s="30"/>
      <c r="IY179" s="30"/>
      <c r="IZ179" s="30"/>
      <c r="JA179" s="30"/>
      <c r="JB179" s="30"/>
      <c r="JC179" s="30"/>
      <c r="JD179" s="30"/>
      <c r="JE179" s="30"/>
      <c r="JF179" s="30"/>
      <c r="JG179" s="30"/>
      <c r="JH179" s="30"/>
      <c r="JI179" s="30"/>
      <c r="JJ179" s="30"/>
      <c r="JK179" s="30"/>
      <c r="JL179" s="30"/>
      <c r="JM179" s="30"/>
      <c r="JN179" s="30"/>
      <c r="JO179" s="30"/>
      <c r="JP179" s="30"/>
      <c r="JQ179" s="30"/>
      <c r="JR179" s="30"/>
      <c r="JS179" s="30"/>
      <c r="JT179" s="30"/>
      <c r="JU179" s="30"/>
      <c r="JV179" s="30"/>
      <c r="JW179" s="30"/>
      <c r="JX179" s="30"/>
      <c r="JY179" s="30"/>
      <c r="JZ179" s="30"/>
      <c r="KA179" s="30"/>
      <c r="KB179" s="30"/>
      <c r="KC179" s="30"/>
      <c r="KD179" s="30"/>
      <c r="KE179" s="30"/>
      <c r="KF179" s="30"/>
      <c r="KG179" s="30"/>
      <c r="KH179" s="30"/>
      <c r="KI179" s="30"/>
      <c r="KJ179" s="30"/>
      <c r="KK179" s="30"/>
      <c r="KL179" s="30"/>
      <c r="KM179" s="30"/>
      <c r="KN179" s="30"/>
      <c r="KO179" s="30"/>
      <c r="KP179" s="30"/>
      <c r="KQ179" s="30"/>
      <c r="KR179" s="30"/>
      <c r="KS179" s="30"/>
      <c r="KT179" s="30"/>
      <c r="KU179" s="30"/>
      <c r="KV179" s="30"/>
      <c r="KW179" s="30"/>
      <c r="KX179" s="30"/>
      <c r="KY179" s="30"/>
      <c r="KZ179" s="30"/>
      <c r="LA179" s="30"/>
      <c r="LB179" s="30"/>
      <c r="LC179" s="30"/>
      <c r="LD179" s="30"/>
      <c r="LE179" s="30"/>
      <c r="LF179" s="30"/>
      <c r="LG179" s="30"/>
      <c r="LH179" s="30"/>
      <c r="LI179" s="30"/>
      <c r="LJ179" s="30"/>
      <c r="LK179" s="30"/>
      <c r="LL179" s="30"/>
      <c r="LM179" s="30"/>
      <c r="LN179" s="30"/>
      <c r="LO179" s="30"/>
      <c r="LP179" s="30"/>
      <c r="LQ179" s="30"/>
      <c r="LR179" s="30"/>
      <c r="LS179" s="30"/>
      <c r="LT179" s="30"/>
      <c r="LU179" s="30"/>
      <c r="LV179" s="30"/>
      <c r="LW179" s="30"/>
      <c r="LX179" s="30"/>
      <c r="LY179" s="30"/>
      <c r="LZ179" s="30"/>
      <c r="MA179" s="30"/>
      <c r="MB179" s="30"/>
      <c r="MC179" s="30"/>
      <c r="MD179" s="30"/>
      <c r="ME179" s="30"/>
      <c r="MF179" s="30"/>
      <c r="MG179" s="30"/>
      <c r="MH179" s="30"/>
      <c r="MI179" s="30"/>
      <c r="MJ179" s="30"/>
      <c r="MK179" s="30"/>
      <c r="ML179" s="30"/>
      <c r="MM179" s="30"/>
      <c r="MN179" s="30"/>
      <c r="MO179" s="30"/>
      <c r="MP179" s="30"/>
      <c r="MQ179" s="30"/>
      <c r="MR179" s="30"/>
      <c r="MS179" s="30"/>
      <c r="MT179" s="30"/>
      <c r="MU179" s="30"/>
      <c r="MV179" s="30"/>
      <c r="MW179" s="30"/>
      <c r="MX179" s="30"/>
      <c r="MY179" s="30"/>
      <c r="MZ179" s="30"/>
      <c r="NA179" s="30"/>
      <c r="NB179" s="30"/>
      <c r="NC179" s="30"/>
      <c r="ND179" s="30"/>
      <c r="NE179" s="30"/>
      <c r="NF179" s="30"/>
      <c r="NG179" s="30"/>
      <c r="NH179" s="30"/>
      <c r="NI179" s="30"/>
      <c r="NJ179" s="30"/>
      <c r="NK179" s="30"/>
      <c r="NL179" s="30"/>
      <c r="NM179" s="30"/>
      <c r="NN179" s="30"/>
      <c r="NO179" s="30"/>
      <c r="NP179" s="30"/>
      <c r="NQ179" s="30"/>
      <c r="NR179" s="30"/>
      <c r="NS179" s="30"/>
      <c r="NT179" s="30"/>
      <c r="NU179" s="30"/>
      <c r="NV179" s="30"/>
      <c r="NW179" s="30"/>
      <c r="NX179" s="30"/>
      <c r="NY179" s="30"/>
      <c r="NZ179" s="30"/>
      <c r="OA179" s="30"/>
      <c r="OB179" s="30"/>
      <c r="OC179" s="30"/>
      <c r="OD179" s="30"/>
      <c r="OE179" s="30"/>
      <c r="OF179" s="30"/>
      <c r="OG179" s="30"/>
      <c r="OH179" s="30"/>
      <c r="OI179" s="30"/>
      <c r="OJ179" s="30"/>
      <c r="OK179" s="30"/>
      <c r="OL179" s="30"/>
      <c r="OM179" s="30"/>
      <c r="ON179" s="30"/>
      <c r="OO179" s="30"/>
      <c r="OP179" s="30"/>
      <c r="OQ179" s="30"/>
      <c r="OR179" s="30"/>
      <c r="OS179" s="30"/>
      <c r="OT179" s="30"/>
      <c r="OU179" s="30"/>
      <c r="OV179" s="30"/>
      <c r="OW179" s="30"/>
      <c r="OX179" s="30"/>
      <c r="OY179" s="30"/>
      <c r="OZ179" s="30"/>
      <c r="PA179" s="30"/>
      <c r="PB179" s="30"/>
      <c r="PC179" s="30"/>
      <c r="PD179" s="30"/>
      <c r="PE179" s="30"/>
      <c r="PF179" s="30"/>
      <c r="PG179" s="30"/>
      <c r="PH179" s="30"/>
      <c r="PI179" s="30"/>
      <c r="PJ179" s="30"/>
      <c r="PK179" s="30"/>
      <c r="PL179" s="30"/>
      <c r="PM179" s="30"/>
      <c r="PN179" s="30"/>
      <c r="PO179" s="30"/>
      <c r="PP179" s="30"/>
      <c r="PQ179" s="30"/>
      <c r="PR179" s="30"/>
      <c r="PS179" s="30"/>
      <c r="PT179" s="30"/>
      <c r="PU179" s="30"/>
      <c r="PV179" s="30"/>
      <c r="PW179" s="30"/>
      <c r="PX179" s="30"/>
      <c r="PY179" s="30"/>
      <c r="PZ179" s="30"/>
      <c r="QA179" s="30"/>
      <c r="QB179" s="30"/>
      <c r="QC179" s="30"/>
      <c r="QD179" s="30"/>
      <c r="QE179" s="30"/>
      <c r="QF179" s="30"/>
      <c r="QG179" s="30"/>
      <c r="QH179" s="30"/>
      <c r="QI179" s="30"/>
      <c r="QJ179" s="30"/>
      <c r="QK179" s="30"/>
      <c r="QL179" s="30"/>
      <c r="QM179" s="30"/>
      <c r="QN179" s="30"/>
      <c r="QO179" s="30"/>
      <c r="QP179" s="30"/>
      <c r="QQ179" s="30"/>
      <c r="QR179" s="30"/>
      <c r="QS179" s="30"/>
      <c r="QT179" s="30"/>
      <c r="QU179" s="30"/>
      <c r="QV179" s="30"/>
      <c r="QW179" s="30"/>
      <c r="QX179" s="30"/>
      <c r="QY179" s="30"/>
      <c r="QZ179" s="30"/>
      <c r="RA179" s="30"/>
      <c r="RB179" s="30"/>
      <c r="RC179" s="30"/>
      <c r="RD179" s="30"/>
      <c r="RE179" s="30"/>
      <c r="RF179" s="30"/>
      <c r="RG179" s="30"/>
      <c r="RH179" s="30"/>
      <c r="RI179" s="30"/>
      <c r="RJ179" s="30"/>
      <c r="RK179" s="30"/>
      <c r="RL179" s="30"/>
      <c r="RM179" s="30"/>
      <c r="RN179" s="30"/>
      <c r="RO179" s="30"/>
      <c r="RP179" s="30"/>
      <c r="RQ179" s="30"/>
      <c r="RR179" s="30"/>
      <c r="RS179" s="30"/>
      <c r="RT179" s="30"/>
      <c r="RU179" s="30"/>
      <c r="RV179" s="30"/>
      <c r="RW179" s="30"/>
      <c r="RX179" s="30"/>
      <c r="RY179" s="30"/>
      <c r="RZ179" s="30"/>
      <c r="SA179" s="30"/>
      <c r="SB179" s="30"/>
      <c r="SC179" s="30"/>
      <c r="SD179" s="30"/>
      <c r="SE179" s="30"/>
      <c r="SF179" s="30"/>
      <c r="SG179" s="30"/>
      <c r="SH179" s="30"/>
      <c r="SI179" s="30"/>
      <c r="SJ179" s="30"/>
      <c r="SK179" s="30"/>
      <c r="SL179" s="30"/>
      <c r="SM179" s="30"/>
      <c r="SN179" s="30"/>
      <c r="SO179" s="30"/>
      <c r="SP179" s="30"/>
      <c r="SQ179" s="30"/>
      <c r="SR179" s="30"/>
      <c r="SS179" s="30"/>
      <c r="ST179" s="30"/>
      <c r="SU179" s="30"/>
      <c r="SV179" s="30"/>
      <c r="SW179" s="30"/>
      <c r="SX179" s="30"/>
      <c r="SY179" s="30"/>
      <c r="SZ179" s="30"/>
      <c r="TA179" s="30"/>
      <c r="TB179" s="30"/>
      <c r="TC179" s="30"/>
      <c r="TD179" s="30"/>
      <c r="TE179" s="30"/>
      <c r="TF179" s="30"/>
      <c r="TG179" s="30"/>
    </row>
    <row r="180" spans="1:527" s="22" customFormat="1" ht="64.5" customHeight="1" x14ac:dyDescent="0.25">
      <c r="A180" s="59" t="s">
        <v>184</v>
      </c>
      <c r="B180" s="93" t="str">
        <f>'дод 8'!A116</f>
        <v>3104</v>
      </c>
      <c r="C180" s="93" t="str">
        <f>'дод 8'!B116</f>
        <v>1020</v>
      </c>
      <c r="D180" s="60" t="str">
        <f>'дод 8'!C116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0" s="99">
        <f t="shared" si="68"/>
        <v>18389917.48</v>
      </c>
      <c r="F180" s="99">
        <f>17394450+20000+20000-20000+65000+42515+19000+796052.48+8000+44900</f>
        <v>18389917.48</v>
      </c>
      <c r="G180" s="99">
        <f>13551350+476164.66</f>
        <v>14027514.66</v>
      </c>
      <c r="H180" s="99">
        <f>208050+26750+42515+74659.4+44900</f>
        <v>396874.4</v>
      </c>
      <c r="I180" s="99"/>
      <c r="J180" s="99">
        <f t="shared" si="70"/>
        <v>96200</v>
      </c>
      <c r="K180" s="99"/>
      <c r="L180" s="99">
        <v>96200</v>
      </c>
      <c r="M180" s="99">
        <v>75000</v>
      </c>
      <c r="N180" s="99"/>
      <c r="O180" s="99"/>
      <c r="P180" s="99">
        <f t="shared" si="69"/>
        <v>18486117.48</v>
      </c>
      <c r="Q180" s="23"/>
      <c r="R180" s="32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  <c r="SQ180" s="23"/>
      <c r="SR180" s="23"/>
      <c r="SS180" s="23"/>
      <c r="ST180" s="23"/>
      <c r="SU180" s="23"/>
      <c r="SV180" s="23"/>
      <c r="SW180" s="23"/>
      <c r="SX180" s="23"/>
      <c r="SY180" s="23"/>
      <c r="SZ180" s="23"/>
      <c r="TA180" s="23"/>
      <c r="TB180" s="23"/>
      <c r="TC180" s="23"/>
      <c r="TD180" s="23"/>
      <c r="TE180" s="23"/>
      <c r="TF180" s="23"/>
      <c r="TG180" s="23"/>
    </row>
    <row r="181" spans="1:527" s="22" customFormat="1" ht="81.75" customHeight="1" x14ac:dyDescent="0.25">
      <c r="A181" s="59" t="s">
        <v>185</v>
      </c>
      <c r="B181" s="93" t="str">
        <f>'дод 8'!A122</f>
        <v>3160</v>
      </c>
      <c r="C181" s="93">
        <f>'дод 8'!B122</f>
        <v>1010</v>
      </c>
      <c r="D181" s="60" t="str">
        <f>'дод 8'!C122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1" s="99">
        <f t="shared" si="68"/>
        <v>3956000</v>
      </c>
      <c r="F181" s="99">
        <f>2500000+500000+956000</f>
        <v>3956000</v>
      </c>
      <c r="G181" s="99"/>
      <c r="H181" s="99"/>
      <c r="I181" s="99"/>
      <c r="J181" s="99">
        <f t="shared" si="70"/>
        <v>0</v>
      </c>
      <c r="K181" s="99"/>
      <c r="L181" s="99"/>
      <c r="M181" s="99"/>
      <c r="N181" s="99"/>
      <c r="O181" s="99"/>
      <c r="P181" s="99">
        <f t="shared" si="69"/>
        <v>3956000</v>
      </c>
      <c r="Q181" s="23"/>
      <c r="R181" s="32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  <c r="IT181" s="23"/>
      <c r="IU181" s="23"/>
      <c r="IV181" s="23"/>
      <c r="IW181" s="23"/>
      <c r="IX181" s="23"/>
      <c r="IY181" s="23"/>
      <c r="IZ181" s="23"/>
      <c r="JA181" s="23"/>
      <c r="JB181" s="23"/>
      <c r="JC181" s="23"/>
      <c r="JD181" s="23"/>
      <c r="JE181" s="23"/>
      <c r="JF181" s="23"/>
      <c r="JG181" s="23"/>
      <c r="JH181" s="23"/>
      <c r="JI181" s="23"/>
      <c r="JJ181" s="23"/>
      <c r="JK181" s="23"/>
      <c r="JL181" s="23"/>
      <c r="JM181" s="23"/>
      <c r="JN181" s="23"/>
      <c r="JO181" s="23"/>
      <c r="JP181" s="23"/>
      <c r="JQ181" s="23"/>
      <c r="JR181" s="23"/>
      <c r="JS181" s="23"/>
      <c r="JT181" s="23"/>
      <c r="JU181" s="23"/>
      <c r="JV181" s="23"/>
      <c r="JW181" s="23"/>
      <c r="JX181" s="23"/>
      <c r="JY181" s="23"/>
      <c r="JZ181" s="23"/>
      <c r="KA181" s="23"/>
      <c r="KB181" s="23"/>
      <c r="KC181" s="23"/>
      <c r="KD181" s="23"/>
      <c r="KE181" s="23"/>
      <c r="KF181" s="23"/>
      <c r="KG181" s="23"/>
      <c r="KH181" s="23"/>
      <c r="KI181" s="23"/>
      <c r="KJ181" s="23"/>
      <c r="KK181" s="23"/>
      <c r="KL181" s="23"/>
      <c r="KM181" s="23"/>
      <c r="KN181" s="23"/>
      <c r="KO181" s="23"/>
      <c r="KP181" s="23"/>
      <c r="KQ181" s="23"/>
      <c r="KR181" s="23"/>
      <c r="KS181" s="23"/>
      <c r="KT181" s="23"/>
      <c r="KU181" s="23"/>
      <c r="KV181" s="23"/>
      <c r="KW181" s="23"/>
      <c r="KX181" s="23"/>
      <c r="KY181" s="23"/>
      <c r="KZ181" s="23"/>
      <c r="LA181" s="23"/>
      <c r="LB181" s="23"/>
      <c r="LC181" s="23"/>
      <c r="LD181" s="23"/>
      <c r="LE181" s="23"/>
      <c r="LF181" s="23"/>
      <c r="LG181" s="23"/>
      <c r="LH181" s="23"/>
      <c r="LI181" s="23"/>
      <c r="LJ181" s="23"/>
      <c r="LK181" s="23"/>
      <c r="LL181" s="23"/>
      <c r="LM181" s="23"/>
      <c r="LN181" s="23"/>
      <c r="LO181" s="23"/>
      <c r="LP181" s="23"/>
      <c r="LQ181" s="23"/>
      <c r="LR181" s="23"/>
      <c r="LS181" s="23"/>
      <c r="LT181" s="23"/>
      <c r="LU181" s="23"/>
      <c r="LV181" s="23"/>
      <c r="LW181" s="23"/>
      <c r="LX181" s="23"/>
      <c r="LY181" s="23"/>
      <c r="LZ181" s="23"/>
      <c r="MA181" s="23"/>
      <c r="MB181" s="23"/>
      <c r="MC181" s="23"/>
      <c r="MD181" s="23"/>
      <c r="ME181" s="23"/>
      <c r="MF181" s="23"/>
      <c r="MG181" s="23"/>
      <c r="MH181" s="23"/>
      <c r="MI181" s="23"/>
      <c r="MJ181" s="23"/>
      <c r="MK181" s="23"/>
      <c r="ML181" s="23"/>
      <c r="MM181" s="23"/>
      <c r="MN181" s="23"/>
      <c r="MO181" s="23"/>
      <c r="MP181" s="23"/>
      <c r="MQ181" s="23"/>
      <c r="MR181" s="23"/>
      <c r="MS181" s="23"/>
      <c r="MT181" s="23"/>
      <c r="MU181" s="23"/>
      <c r="MV181" s="23"/>
      <c r="MW181" s="23"/>
      <c r="MX181" s="23"/>
      <c r="MY181" s="23"/>
      <c r="MZ181" s="23"/>
      <c r="NA181" s="23"/>
      <c r="NB181" s="23"/>
      <c r="NC181" s="23"/>
      <c r="ND181" s="23"/>
      <c r="NE181" s="23"/>
      <c r="NF181" s="23"/>
      <c r="NG181" s="23"/>
      <c r="NH181" s="23"/>
      <c r="NI181" s="23"/>
      <c r="NJ181" s="23"/>
      <c r="NK181" s="23"/>
      <c r="NL181" s="23"/>
      <c r="NM181" s="23"/>
      <c r="NN181" s="23"/>
      <c r="NO181" s="23"/>
      <c r="NP181" s="23"/>
      <c r="NQ181" s="23"/>
      <c r="NR181" s="23"/>
      <c r="NS181" s="23"/>
      <c r="NT181" s="23"/>
      <c r="NU181" s="23"/>
      <c r="NV181" s="23"/>
      <c r="NW181" s="23"/>
      <c r="NX181" s="23"/>
      <c r="NY181" s="23"/>
      <c r="NZ181" s="23"/>
      <c r="OA181" s="23"/>
      <c r="OB181" s="23"/>
      <c r="OC181" s="23"/>
      <c r="OD181" s="23"/>
      <c r="OE181" s="23"/>
      <c r="OF181" s="23"/>
      <c r="OG181" s="23"/>
      <c r="OH181" s="23"/>
      <c r="OI181" s="23"/>
      <c r="OJ181" s="23"/>
      <c r="OK181" s="23"/>
      <c r="OL181" s="23"/>
      <c r="OM181" s="23"/>
      <c r="ON181" s="23"/>
      <c r="OO181" s="23"/>
      <c r="OP181" s="23"/>
      <c r="OQ181" s="23"/>
      <c r="OR181" s="23"/>
      <c r="OS181" s="23"/>
      <c r="OT181" s="23"/>
      <c r="OU181" s="23"/>
      <c r="OV181" s="23"/>
      <c r="OW181" s="23"/>
      <c r="OX181" s="23"/>
      <c r="OY181" s="23"/>
      <c r="OZ181" s="23"/>
      <c r="PA181" s="23"/>
      <c r="PB181" s="23"/>
      <c r="PC181" s="23"/>
      <c r="PD181" s="23"/>
      <c r="PE181" s="23"/>
      <c r="PF181" s="23"/>
      <c r="PG181" s="23"/>
      <c r="PH181" s="23"/>
      <c r="PI181" s="23"/>
      <c r="PJ181" s="23"/>
      <c r="PK181" s="23"/>
      <c r="PL181" s="23"/>
      <c r="PM181" s="23"/>
      <c r="PN181" s="23"/>
      <c r="PO181" s="23"/>
      <c r="PP181" s="23"/>
      <c r="PQ181" s="23"/>
      <c r="PR181" s="23"/>
      <c r="PS181" s="23"/>
      <c r="PT181" s="23"/>
      <c r="PU181" s="23"/>
      <c r="PV181" s="23"/>
      <c r="PW181" s="23"/>
      <c r="PX181" s="23"/>
      <c r="PY181" s="23"/>
      <c r="PZ181" s="23"/>
      <c r="QA181" s="23"/>
      <c r="QB181" s="23"/>
      <c r="QC181" s="23"/>
      <c r="QD181" s="23"/>
      <c r="QE181" s="23"/>
      <c r="QF181" s="23"/>
      <c r="QG181" s="23"/>
      <c r="QH181" s="23"/>
      <c r="QI181" s="23"/>
      <c r="QJ181" s="23"/>
      <c r="QK181" s="23"/>
      <c r="QL181" s="23"/>
      <c r="QM181" s="23"/>
      <c r="QN181" s="23"/>
      <c r="QO181" s="23"/>
      <c r="QP181" s="23"/>
      <c r="QQ181" s="23"/>
      <c r="QR181" s="23"/>
      <c r="QS181" s="23"/>
      <c r="QT181" s="23"/>
      <c r="QU181" s="23"/>
      <c r="QV181" s="23"/>
      <c r="QW181" s="23"/>
      <c r="QX181" s="23"/>
      <c r="QY181" s="23"/>
      <c r="QZ181" s="23"/>
      <c r="RA181" s="23"/>
      <c r="RB181" s="23"/>
      <c r="RC181" s="23"/>
      <c r="RD181" s="23"/>
      <c r="RE181" s="23"/>
      <c r="RF181" s="23"/>
      <c r="RG181" s="23"/>
      <c r="RH181" s="23"/>
      <c r="RI181" s="23"/>
      <c r="RJ181" s="23"/>
      <c r="RK181" s="23"/>
      <c r="RL181" s="23"/>
      <c r="RM181" s="23"/>
      <c r="RN181" s="23"/>
      <c r="RO181" s="23"/>
      <c r="RP181" s="23"/>
      <c r="RQ181" s="23"/>
      <c r="RR181" s="23"/>
      <c r="RS181" s="23"/>
      <c r="RT181" s="23"/>
      <c r="RU181" s="23"/>
      <c r="RV181" s="23"/>
      <c r="RW181" s="23"/>
      <c r="RX181" s="23"/>
      <c r="RY181" s="23"/>
      <c r="RZ181" s="23"/>
      <c r="SA181" s="23"/>
      <c r="SB181" s="23"/>
      <c r="SC181" s="23"/>
      <c r="SD181" s="23"/>
      <c r="SE181" s="23"/>
      <c r="SF181" s="23"/>
      <c r="SG181" s="23"/>
      <c r="SH181" s="23"/>
      <c r="SI181" s="23"/>
      <c r="SJ181" s="23"/>
      <c r="SK181" s="23"/>
      <c r="SL181" s="23"/>
      <c r="SM181" s="23"/>
      <c r="SN181" s="23"/>
      <c r="SO181" s="23"/>
      <c r="SP181" s="23"/>
      <c r="SQ181" s="23"/>
      <c r="SR181" s="23"/>
      <c r="SS181" s="23"/>
      <c r="ST181" s="23"/>
      <c r="SU181" s="23"/>
      <c r="SV181" s="23"/>
      <c r="SW181" s="23"/>
      <c r="SX181" s="23"/>
      <c r="SY181" s="23"/>
      <c r="SZ181" s="23"/>
      <c r="TA181" s="23"/>
      <c r="TB181" s="23"/>
      <c r="TC181" s="23"/>
      <c r="TD181" s="23"/>
      <c r="TE181" s="23"/>
      <c r="TF181" s="23"/>
      <c r="TG181" s="23"/>
    </row>
    <row r="182" spans="1:527" s="22" customFormat="1" ht="63" x14ac:dyDescent="0.25">
      <c r="A182" s="59" t="s">
        <v>353</v>
      </c>
      <c r="B182" s="93" t="str">
        <f>'дод 8'!A123</f>
        <v>3171</v>
      </c>
      <c r="C182" s="93">
        <f>'дод 8'!B123</f>
        <v>1010</v>
      </c>
      <c r="D182" s="60" t="str">
        <f>'дод 8'!C123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82" s="99">
        <f t="shared" si="68"/>
        <v>198209</v>
      </c>
      <c r="F182" s="99">
        <v>198209</v>
      </c>
      <c r="G182" s="99"/>
      <c r="H182" s="99"/>
      <c r="I182" s="99"/>
      <c r="J182" s="99">
        <f t="shared" si="70"/>
        <v>0</v>
      </c>
      <c r="K182" s="99"/>
      <c r="L182" s="99"/>
      <c r="M182" s="99"/>
      <c r="N182" s="99"/>
      <c r="O182" s="99"/>
      <c r="P182" s="99">
        <f t="shared" si="69"/>
        <v>198209</v>
      </c>
      <c r="Q182" s="23"/>
      <c r="R182" s="32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  <c r="SQ182" s="23"/>
      <c r="SR182" s="23"/>
      <c r="SS182" s="23"/>
      <c r="ST182" s="23"/>
      <c r="SU182" s="23"/>
      <c r="SV182" s="23"/>
      <c r="SW182" s="23"/>
      <c r="SX182" s="23"/>
      <c r="SY182" s="23"/>
      <c r="SZ182" s="23"/>
      <c r="TA182" s="23"/>
      <c r="TB182" s="23"/>
      <c r="TC182" s="23"/>
      <c r="TD182" s="23"/>
      <c r="TE182" s="23"/>
      <c r="TF182" s="23"/>
      <c r="TG182" s="23"/>
    </row>
    <row r="183" spans="1:527" s="24" customFormat="1" ht="18" customHeight="1" x14ac:dyDescent="0.25">
      <c r="A183" s="84"/>
      <c r="B183" s="111"/>
      <c r="C183" s="111"/>
      <c r="D183" s="85" t="s">
        <v>393</v>
      </c>
      <c r="E183" s="101">
        <f t="shared" si="68"/>
        <v>198209</v>
      </c>
      <c r="F183" s="101">
        <v>198209</v>
      </c>
      <c r="G183" s="101"/>
      <c r="H183" s="101"/>
      <c r="I183" s="101"/>
      <c r="J183" s="101">
        <f t="shared" si="70"/>
        <v>0</v>
      </c>
      <c r="K183" s="101"/>
      <c r="L183" s="101"/>
      <c r="M183" s="101"/>
      <c r="N183" s="101"/>
      <c r="O183" s="101"/>
      <c r="P183" s="101">
        <f t="shared" si="69"/>
        <v>198209</v>
      </c>
      <c r="Q183" s="30"/>
      <c r="R183" s="32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  <c r="II183" s="30"/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  <c r="IW183" s="30"/>
      <c r="IX183" s="30"/>
      <c r="IY183" s="30"/>
      <c r="IZ183" s="30"/>
      <c r="JA183" s="30"/>
      <c r="JB183" s="30"/>
      <c r="JC183" s="30"/>
      <c r="JD183" s="30"/>
      <c r="JE183" s="30"/>
      <c r="JF183" s="30"/>
      <c r="JG183" s="30"/>
      <c r="JH183" s="30"/>
      <c r="JI183" s="30"/>
      <c r="JJ183" s="30"/>
      <c r="JK183" s="30"/>
      <c r="JL183" s="30"/>
      <c r="JM183" s="30"/>
      <c r="JN183" s="30"/>
      <c r="JO183" s="30"/>
      <c r="JP183" s="30"/>
      <c r="JQ183" s="30"/>
      <c r="JR183" s="30"/>
      <c r="JS183" s="30"/>
      <c r="JT183" s="30"/>
      <c r="JU183" s="30"/>
      <c r="JV183" s="30"/>
      <c r="JW183" s="30"/>
      <c r="JX183" s="30"/>
      <c r="JY183" s="30"/>
      <c r="JZ183" s="30"/>
      <c r="KA183" s="30"/>
      <c r="KB183" s="30"/>
      <c r="KC183" s="30"/>
      <c r="KD183" s="30"/>
      <c r="KE183" s="30"/>
      <c r="KF183" s="30"/>
      <c r="KG183" s="30"/>
      <c r="KH183" s="30"/>
      <c r="KI183" s="30"/>
      <c r="KJ183" s="30"/>
      <c r="KK183" s="30"/>
      <c r="KL183" s="30"/>
      <c r="KM183" s="30"/>
      <c r="KN183" s="30"/>
      <c r="KO183" s="30"/>
      <c r="KP183" s="30"/>
      <c r="KQ183" s="30"/>
      <c r="KR183" s="30"/>
      <c r="KS183" s="30"/>
      <c r="KT183" s="30"/>
      <c r="KU183" s="30"/>
      <c r="KV183" s="30"/>
      <c r="KW183" s="30"/>
      <c r="KX183" s="30"/>
      <c r="KY183" s="30"/>
      <c r="KZ183" s="30"/>
      <c r="LA183" s="30"/>
      <c r="LB183" s="30"/>
      <c r="LC183" s="30"/>
      <c r="LD183" s="30"/>
      <c r="LE183" s="30"/>
      <c r="LF183" s="30"/>
      <c r="LG183" s="30"/>
      <c r="LH183" s="30"/>
      <c r="LI183" s="30"/>
      <c r="LJ183" s="30"/>
      <c r="LK183" s="30"/>
      <c r="LL183" s="30"/>
      <c r="LM183" s="30"/>
      <c r="LN183" s="30"/>
      <c r="LO183" s="30"/>
      <c r="LP183" s="30"/>
      <c r="LQ183" s="30"/>
      <c r="LR183" s="30"/>
      <c r="LS183" s="30"/>
      <c r="LT183" s="30"/>
      <c r="LU183" s="30"/>
      <c r="LV183" s="30"/>
      <c r="LW183" s="30"/>
      <c r="LX183" s="30"/>
      <c r="LY183" s="30"/>
      <c r="LZ183" s="30"/>
      <c r="MA183" s="30"/>
      <c r="MB183" s="30"/>
      <c r="MC183" s="30"/>
      <c r="MD183" s="30"/>
      <c r="ME183" s="30"/>
      <c r="MF183" s="30"/>
      <c r="MG183" s="30"/>
      <c r="MH183" s="30"/>
      <c r="MI183" s="30"/>
      <c r="MJ183" s="30"/>
      <c r="MK183" s="30"/>
      <c r="ML183" s="30"/>
      <c r="MM183" s="30"/>
      <c r="MN183" s="30"/>
      <c r="MO183" s="30"/>
      <c r="MP183" s="30"/>
      <c r="MQ183" s="30"/>
      <c r="MR183" s="30"/>
      <c r="MS183" s="30"/>
      <c r="MT183" s="30"/>
      <c r="MU183" s="30"/>
      <c r="MV183" s="30"/>
      <c r="MW183" s="30"/>
      <c r="MX183" s="30"/>
      <c r="MY183" s="30"/>
      <c r="MZ183" s="30"/>
      <c r="NA183" s="30"/>
      <c r="NB183" s="30"/>
      <c r="NC183" s="30"/>
      <c r="ND183" s="30"/>
      <c r="NE183" s="30"/>
      <c r="NF183" s="30"/>
      <c r="NG183" s="30"/>
      <c r="NH183" s="30"/>
      <c r="NI183" s="30"/>
      <c r="NJ183" s="30"/>
      <c r="NK183" s="30"/>
      <c r="NL183" s="30"/>
      <c r="NM183" s="30"/>
      <c r="NN183" s="30"/>
      <c r="NO183" s="30"/>
      <c r="NP183" s="30"/>
      <c r="NQ183" s="30"/>
      <c r="NR183" s="30"/>
      <c r="NS183" s="30"/>
      <c r="NT183" s="30"/>
      <c r="NU183" s="30"/>
      <c r="NV183" s="30"/>
      <c r="NW183" s="30"/>
      <c r="NX183" s="30"/>
      <c r="NY183" s="30"/>
      <c r="NZ183" s="30"/>
      <c r="OA183" s="30"/>
      <c r="OB183" s="30"/>
      <c r="OC183" s="30"/>
      <c r="OD183" s="30"/>
      <c r="OE183" s="30"/>
      <c r="OF183" s="30"/>
      <c r="OG183" s="30"/>
      <c r="OH183" s="30"/>
      <c r="OI183" s="30"/>
      <c r="OJ183" s="30"/>
      <c r="OK183" s="30"/>
      <c r="OL183" s="30"/>
      <c r="OM183" s="30"/>
      <c r="ON183" s="30"/>
      <c r="OO183" s="30"/>
      <c r="OP183" s="30"/>
      <c r="OQ183" s="30"/>
      <c r="OR183" s="30"/>
      <c r="OS183" s="30"/>
      <c r="OT183" s="30"/>
      <c r="OU183" s="30"/>
      <c r="OV183" s="30"/>
      <c r="OW183" s="30"/>
      <c r="OX183" s="30"/>
      <c r="OY183" s="30"/>
      <c r="OZ183" s="30"/>
      <c r="PA183" s="30"/>
      <c r="PB183" s="30"/>
      <c r="PC183" s="30"/>
      <c r="PD183" s="30"/>
      <c r="PE183" s="30"/>
      <c r="PF183" s="30"/>
      <c r="PG183" s="30"/>
      <c r="PH183" s="30"/>
      <c r="PI183" s="30"/>
      <c r="PJ183" s="30"/>
      <c r="PK183" s="30"/>
      <c r="PL183" s="30"/>
      <c r="PM183" s="30"/>
      <c r="PN183" s="30"/>
      <c r="PO183" s="30"/>
      <c r="PP183" s="30"/>
      <c r="PQ183" s="30"/>
      <c r="PR183" s="30"/>
      <c r="PS183" s="30"/>
      <c r="PT183" s="30"/>
      <c r="PU183" s="30"/>
      <c r="PV183" s="30"/>
      <c r="PW183" s="30"/>
      <c r="PX183" s="30"/>
      <c r="PY183" s="30"/>
      <c r="PZ183" s="30"/>
      <c r="QA183" s="30"/>
      <c r="QB183" s="30"/>
      <c r="QC183" s="30"/>
      <c r="QD183" s="30"/>
      <c r="QE183" s="30"/>
      <c r="QF183" s="30"/>
      <c r="QG183" s="30"/>
      <c r="QH183" s="30"/>
      <c r="QI183" s="30"/>
      <c r="QJ183" s="30"/>
      <c r="QK183" s="30"/>
      <c r="QL183" s="30"/>
      <c r="QM183" s="30"/>
      <c r="QN183" s="30"/>
      <c r="QO183" s="30"/>
      <c r="QP183" s="30"/>
      <c r="QQ183" s="30"/>
      <c r="QR183" s="30"/>
      <c r="QS183" s="30"/>
      <c r="QT183" s="30"/>
      <c r="QU183" s="30"/>
      <c r="QV183" s="30"/>
      <c r="QW183" s="30"/>
      <c r="QX183" s="30"/>
      <c r="QY183" s="30"/>
      <c r="QZ183" s="30"/>
      <c r="RA183" s="30"/>
      <c r="RB183" s="30"/>
      <c r="RC183" s="30"/>
      <c r="RD183" s="30"/>
      <c r="RE183" s="30"/>
      <c r="RF183" s="30"/>
      <c r="RG183" s="30"/>
      <c r="RH183" s="30"/>
      <c r="RI183" s="30"/>
      <c r="RJ183" s="30"/>
      <c r="RK183" s="30"/>
      <c r="RL183" s="30"/>
      <c r="RM183" s="30"/>
      <c r="RN183" s="30"/>
      <c r="RO183" s="30"/>
      <c r="RP183" s="30"/>
      <c r="RQ183" s="30"/>
      <c r="RR183" s="30"/>
      <c r="RS183" s="30"/>
      <c r="RT183" s="30"/>
      <c r="RU183" s="30"/>
      <c r="RV183" s="30"/>
      <c r="RW183" s="30"/>
      <c r="RX183" s="30"/>
      <c r="RY183" s="30"/>
      <c r="RZ183" s="30"/>
      <c r="SA183" s="30"/>
      <c r="SB183" s="30"/>
      <c r="SC183" s="30"/>
      <c r="SD183" s="30"/>
      <c r="SE183" s="30"/>
      <c r="SF183" s="30"/>
      <c r="SG183" s="30"/>
      <c r="SH183" s="30"/>
      <c r="SI183" s="30"/>
      <c r="SJ183" s="30"/>
      <c r="SK183" s="30"/>
      <c r="SL183" s="30"/>
      <c r="SM183" s="30"/>
      <c r="SN183" s="30"/>
      <c r="SO183" s="30"/>
      <c r="SP183" s="30"/>
      <c r="SQ183" s="30"/>
      <c r="SR183" s="30"/>
      <c r="SS183" s="30"/>
      <c r="ST183" s="30"/>
      <c r="SU183" s="30"/>
      <c r="SV183" s="30"/>
      <c r="SW183" s="30"/>
      <c r="SX183" s="30"/>
      <c r="SY183" s="30"/>
      <c r="SZ183" s="30"/>
      <c r="TA183" s="30"/>
      <c r="TB183" s="30"/>
      <c r="TC183" s="30"/>
      <c r="TD183" s="30"/>
      <c r="TE183" s="30"/>
      <c r="TF183" s="30"/>
      <c r="TG183" s="30"/>
    </row>
    <row r="184" spans="1:527" s="22" customFormat="1" ht="31.5" x14ac:dyDescent="0.25">
      <c r="A184" s="59" t="s">
        <v>354</v>
      </c>
      <c r="B184" s="93" t="str">
        <f>'дод 8'!A125</f>
        <v>3172</v>
      </c>
      <c r="C184" s="93">
        <f>'дод 8'!B125</f>
        <v>1010</v>
      </c>
      <c r="D184" s="60" t="s">
        <v>406</v>
      </c>
      <c r="E184" s="99">
        <f t="shared" si="68"/>
        <v>90</v>
      </c>
      <c r="F184" s="99">
        <v>90</v>
      </c>
      <c r="G184" s="99"/>
      <c r="H184" s="99"/>
      <c r="I184" s="99"/>
      <c r="J184" s="99">
        <f t="shared" si="70"/>
        <v>0</v>
      </c>
      <c r="K184" s="99"/>
      <c r="L184" s="99"/>
      <c r="M184" s="99"/>
      <c r="N184" s="99"/>
      <c r="O184" s="99"/>
      <c r="P184" s="99">
        <f t="shared" si="69"/>
        <v>90</v>
      </c>
      <c r="Q184" s="23"/>
      <c r="R184" s="32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  <c r="SQ184" s="23"/>
      <c r="SR184" s="23"/>
      <c r="SS184" s="23"/>
      <c r="ST184" s="23"/>
      <c r="SU184" s="23"/>
      <c r="SV184" s="23"/>
      <c r="SW184" s="23"/>
      <c r="SX184" s="23"/>
      <c r="SY184" s="23"/>
      <c r="SZ184" s="23"/>
      <c r="TA184" s="23"/>
      <c r="TB184" s="23"/>
      <c r="TC184" s="23"/>
      <c r="TD184" s="23"/>
      <c r="TE184" s="23"/>
      <c r="TF184" s="23"/>
      <c r="TG184" s="23"/>
    </row>
    <row r="185" spans="1:527" s="24" customFormat="1" ht="15.75" x14ac:dyDescent="0.25">
      <c r="A185" s="84"/>
      <c r="B185" s="111"/>
      <c r="C185" s="111"/>
      <c r="D185" s="85" t="s">
        <v>393</v>
      </c>
      <c r="E185" s="101">
        <f t="shared" si="68"/>
        <v>90</v>
      </c>
      <c r="F185" s="101">
        <v>90</v>
      </c>
      <c r="G185" s="101"/>
      <c r="H185" s="101"/>
      <c r="I185" s="101"/>
      <c r="J185" s="101">
        <f t="shared" si="70"/>
        <v>0</v>
      </c>
      <c r="K185" s="101"/>
      <c r="L185" s="101"/>
      <c r="M185" s="101"/>
      <c r="N185" s="101"/>
      <c r="O185" s="101"/>
      <c r="P185" s="101">
        <f t="shared" si="69"/>
        <v>90</v>
      </c>
      <c r="Q185" s="30"/>
      <c r="R185" s="32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  <c r="GD185" s="30"/>
      <c r="GE185" s="30"/>
      <c r="GF185" s="30"/>
      <c r="GG185" s="30"/>
      <c r="GH185" s="30"/>
      <c r="GI185" s="30"/>
      <c r="GJ185" s="30"/>
      <c r="GK185" s="30"/>
      <c r="GL185" s="30"/>
      <c r="GM185" s="30"/>
      <c r="GN185" s="30"/>
      <c r="GO185" s="30"/>
      <c r="GP185" s="30"/>
      <c r="GQ185" s="30"/>
      <c r="GR185" s="30"/>
      <c r="GS185" s="30"/>
      <c r="GT185" s="30"/>
      <c r="GU185" s="30"/>
      <c r="GV185" s="30"/>
      <c r="GW185" s="30"/>
      <c r="GX185" s="30"/>
      <c r="GY185" s="30"/>
      <c r="GZ185" s="30"/>
      <c r="HA185" s="30"/>
      <c r="HB185" s="30"/>
      <c r="HC185" s="30"/>
      <c r="HD185" s="30"/>
      <c r="HE185" s="30"/>
      <c r="HF185" s="30"/>
      <c r="HG185" s="30"/>
      <c r="HH185" s="30"/>
      <c r="HI185" s="30"/>
      <c r="HJ185" s="30"/>
      <c r="HK185" s="30"/>
      <c r="HL185" s="30"/>
      <c r="HM185" s="30"/>
      <c r="HN185" s="30"/>
      <c r="HO185" s="30"/>
      <c r="HP185" s="30"/>
      <c r="HQ185" s="30"/>
      <c r="HR185" s="30"/>
      <c r="HS185" s="30"/>
      <c r="HT185" s="30"/>
      <c r="HU185" s="30"/>
      <c r="HV185" s="30"/>
      <c r="HW185" s="30"/>
      <c r="HX185" s="30"/>
      <c r="HY185" s="30"/>
      <c r="HZ185" s="30"/>
      <c r="IA185" s="30"/>
      <c r="IB185" s="30"/>
      <c r="IC185" s="30"/>
      <c r="ID185" s="30"/>
      <c r="IE185" s="30"/>
      <c r="IF185" s="30"/>
      <c r="IG185" s="30"/>
      <c r="IH185" s="30"/>
      <c r="II185" s="30"/>
      <c r="IJ185" s="30"/>
      <c r="IK185" s="30"/>
      <c r="IL185" s="30"/>
      <c r="IM185" s="30"/>
      <c r="IN185" s="30"/>
      <c r="IO185" s="30"/>
      <c r="IP185" s="30"/>
      <c r="IQ185" s="30"/>
      <c r="IR185" s="30"/>
      <c r="IS185" s="30"/>
      <c r="IT185" s="30"/>
      <c r="IU185" s="30"/>
      <c r="IV185" s="30"/>
      <c r="IW185" s="30"/>
      <c r="IX185" s="30"/>
      <c r="IY185" s="30"/>
      <c r="IZ185" s="30"/>
      <c r="JA185" s="30"/>
      <c r="JB185" s="30"/>
      <c r="JC185" s="30"/>
      <c r="JD185" s="30"/>
      <c r="JE185" s="30"/>
      <c r="JF185" s="30"/>
      <c r="JG185" s="30"/>
      <c r="JH185" s="30"/>
      <c r="JI185" s="30"/>
      <c r="JJ185" s="30"/>
      <c r="JK185" s="30"/>
      <c r="JL185" s="30"/>
      <c r="JM185" s="30"/>
      <c r="JN185" s="30"/>
      <c r="JO185" s="30"/>
      <c r="JP185" s="30"/>
      <c r="JQ185" s="30"/>
      <c r="JR185" s="30"/>
      <c r="JS185" s="30"/>
      <c r="JT185" s="30"/>
      <c r="JU185" s="30"/>
      <c r="JV185" s="30"/>
      <c r="JW185" s="30"/>
      <c r="JX185" s="30"/>
      <c r="JY185" s="30"/>
      <c r="JZ185" s="30"/>
      <c r="KA185" s="30"/>
      <c r="KB185" s="30"/>
      <c r="KC185" s="30"/>
      <c r="KD185" s="30"/>
      <c r="KE185" s="30"/>
      <c r="KF185" s="30"/>
      <c r="KG185" s="30"/>
      <c r="KH185" s="30"/>
      <c r="KI185" s="30"/>
      <c r="KJ185" s="30"/>
      <c r="KK185" s="30"/>
      <c r="KL185" s="30"/>
      <c r="KM185" s="30"/>
      <c r="KN185" s="30"/>
      <c r="KO185" s="30"/>
      <c r="KP185" s="30"/>
      <c r="KQ185" s="30"/>
      <c r="KR185" s="30"/>
      <c r="KS185" s="30"/>
      <c r="KT185" s="30"/>
      <c r="KU185" s="30"/>
      <c r="KV185" s="30"/>
      <c r="KW185" s="30"/>
      <c r="KX185" s="30"/>
      <c r="KY185" s="30"/>
      <c r="KZ185" s="30"/>
      <c r="LA185" s="30"/>
      <c r="LB185" s="30"/>
      <c r="LC185" s="30"/>
      <c r="LD185" s="30"/>
      <c r="LE185" s="30"/>
      <c r="LF185" s="30"/>
      <c r="LG185" s="30"/>
      <c r="LH185" s="30"/>
      <c r="LI185" s="30"/>
      <c r="LJ185" s="30"/>
      <c r="LK185" s="30"/>
      <c r="LL185" s="30"/>
      <c r="LM185" s="30"/>
      <c r="LN185" s="30"/>
      <c r="LO185" s="30"/>
      <c r="LP185" s="30"/>
      <c r="LQ185" s="30"/>
      <c r="LR185" s="30"/>
      <c r="LS185" s="30"/>
      <c r="LT185" s="30"/>
      <c r="LU185" s="30"/>
      <c r="LV185" s="30"/>
      <c r="LW185" s="30"/>
      <c r="LX185" s="30"/>
      <c r="LY185" s="30"/>
      <c r="LZ185" s="30"/>
      <c r="MA185" s="30"/>
      <c r="MB185" s="30"/>
      <c r="MC185" s="30"/>
      <c r="MD185" s="30"/>
      <c r="ME185" s="30"/>
      <c r="MF185" s="30"/>
      <c r="MG185" s="30"/>
      <c r="MH185" s="30"/>
      <c r="MI185" s="30"/>
      <c r="MJ185" s="30"/>
      <c r="MK185" s="30"/>
      <c r="ML185" s="30"/>
      <c r="MM185" s="30"/>
      <c r="MN185" s="30"/>
      <c r="MO185" s="30"/>
      <c r="MP185" s="30"/>
      <c r="MQ185" s="30"/>
      <c r="MR185" s="30"/>
      <c r="MS185" s="30"/>
      <c r="MT185" s="30"/>
      <c r="MU185" s="30"/>
      <c r="MV185" s="30"/>
      <c r="MW185" s="30"/>
      <c r="MX185" s="30"/>
      <c r="MY185" s="30"/>
      <c r="MZ185" s="30"/>
      <c r="NA185" s="30"/>
      <c r="NB185" s="30"/>
      <c r="NC185" s="30"/>
      <c r="ND185" s="30"/>
      <c r="NE185" s="30"/>
      <c r="NF185" s="30"/>
      <c r="NG185" s="30"/>
      <c r="NH185" s="30"/>
      <c r="NI185" s="30"/>
      <c r="NJ185" s="30"/>
      <c r="NK185" s="30"/>
      <c r="NL185" s="30"/>
      <c r="NM185" s="30"/>
      <c r="NN185" s="30"/>
      <c r="NO185" s="30"/>
      <c r="NP185" s="30"/>
      <c r="NQ185" s="30"/>
      <c r="NR185" s="30"/>
      <c r="NS185" s="30"/>
      <c r="NT185" s="30"/>
      <c r="NU185" s="30"/>
      <c r="NV185" s="30"/>
      <c r="NW185" s="30"/>
      <c r="NX185" s="30"/>
      <c r="NY185" s="30"/>
      <c r="NZ185" s="30"/>
      <c r="OA185" s="30"/>
      <c r="OB185" s="30"/>
      <c r="OC185" s="30"/>
      <c r="OD185" s="30"/>
      <c r="OE185" s="30"/>
      <c r="OF185" s="30"/>
      <c r="OG185" s="30"/>
      <c r="OH185" s="30"/>
      <c r="OI185" s="30"/>
      <c r="OJ185" s="30"/>
      <c r="OK185" s="30"/>
      <c r="OL185" s="30"/>
      <c r="OM185" s="30"/>
      <c r="ON185" s="30"/>
      <c r="OO185" s="30"/>
      <c r="OP185" s="30"/>
      <c r="OQ185" s="30"/>
      <c r="OR185" s="30"/>
      <c r="OS185" s="30"/>
      <c r="OT185" s="30"/>
      <c r="OU185" s="30"/>
      <c r="OV185" s="30"/>
      <c r="OW185" s="30"/>
      <c r="OX185" s="30"/>
      <c r="OY185" s="30"/>
      <c r="OZ185" s="30"/>
      <c r="PA185" s="30"/>
      <c r="PB185" s="30"/>
      <c r="PC185" s="30"/>
      <c r="PD185" s="30"/>
      <c r="PE185" s="30"/>
      <c r="PF185" s="30"/>
      <c r="PG185" s="30"/>
      <c r="PH185" s="30"/>
      <c r="PI185" s="30"/>
      <c r="PJ185" s="30"/>
      <c r="PK185" s="30"/>
      <c r="PL185" s="30"/>
      <c r="PM185" s="30"/>
      <c r="PN185" s="30"/>
      <c r="PO185" s="30"/>
      <c r="PP185" s="30"/>
      <c r="PQ185" s="30"/>
      <c r="PR185" s="30"/>
      <c r="PS185" s="30"/>
      <c r="PT185" s="30"/>
      <c r="PU185" s="30"/>
      <c r="PV185" s="30"/>
      <c r="PW185" s="30"/>
      <c r="PX185" s="30"/>
      <c r="PY185" s="30"/>
      <c r="PZ185" s="30"/>
      <c r="QA185" s="30"/>
      <c r="QB185" s="30"/>
      <c r="QC185" s="30"/>
      <c r="QD185" s="30"/>
      <c r="QE185" s="30"/>
      <c r="QF185" s="30"/>
      <c r="QG185" s="30"/>
      <c r="QH185" s="30"/>
      <c r="QI185" s="30"/>
      <c r="QJ185" s="30"/>
      <c r="QK185" s="30"/>
      <c r="QL185" s="30"/>
      <c r="QM185" s="30"/>
      <c r="QN185" s="30"/>
      <c r="QO185" s="30"/>
      <c r="QP185" s="30"/>
      <c r="QQ185" s="30"/>
      <c r="QR185" s="30"/>
      <c r="QS185" s="30"/>
      <c r="QT185" s="30"/>
      <c r="QU185" s="30"/>
      <c r="QV185" s="30"/>
      <c r="QW185" s="30"/>
      <c r="QX185" s="30"/>
      <c r="QY185" s="30"/>
      <c r="QZ185" s="30"/>
      <c r="RA185" s="30"/>
      <c r="RB185" s="30"/>
      <c r="RC185" s="30"/>
      <c r="RD185" s="30"/>
      <c r="RE185" s="30"/>
      <c r="RF185" s="30"/>
      <c r="RG185" s="30"/>
      <c r="RH185" s="30"/>
      <c r="RI185" s="30"/>
      <c r="RJ185" s="30"/>
      <c r="RK185" s="30"/>
      <c r="RL185" s="30"/>
      <c r="RM185" s="30"/>
      <c r="RN185" s="30"/>
      <c r="RO185" s="30"/>
      <c r="RP185" s="30"/>
      <c r="RQ185" s="30"/>
      <c r="RR185" s="30"/>
      <c r="RS185" s="30"/>
      <c r="RT185" s="30"/>
      <c r="RU185" s="30"/>
      <c r="RV185" s="30"/>
      <c r="RW185" s="30"/>
      <c r="RX185" s="30"/>
      <c r="RY185" s="30"/>
      <c r="RZ185" s="30"/>
      <c r="SA185" s="30"/>
      <c r="SB185" s="30"/>
      <c r="SC185" s="30"/>
      <c r="SD185" s="30"/>
      <c r="SE185" s="30"/>
      <c r="SF185" s="30"/>
      <c r="SG185" s="30"/>
      <c r="SH185" s="30"/>
      <c r="SI185" s="30"/>
      <c r="SJ185" s="30"/>
      <c r="SK185" s="30"/>
      <c r="SL185" s="30"/>
      <c r="SM185" s="30"/>
      <c r="SN185" s="30"/>
      <c r="SO185" s="30"/>
      <c r="SP185" s="30"/>
      <c r="SQ185" s="30"/>
      <c r="SR185" s="30"/>
      <c r="SS185" s="30"/>
      <c r="ST185" s="30"/>
      <c r="SU185" s="30"/>
      <c r="SV185" s="30"/>
      <c r="SW185" s="30"/>
      <c r="SX185" s="30"/>
      <c r="SY185" s="30"/>
      <c r="SZ185" s="30"/>
      <c r="TA185" s="30"/>
      <c r="TB185" s="30"/>
      <c r="TC185" s="30"/>
      <c r="TD185" s="30"/>
      <c r="TE185" s="30"/>
      <c r="TF185" s="30"/>
      <c r="TG185" s="30"/>
    </row>
    <row r="186" spans="1:527" s="22" customFormat="1" ht="78.75" x14ac:dyDescent="0.25">
      <c r="A186" s="59" t="s">
        <v>186</v>
      </c>
      <c r="B186" s="93" t="str">
        <f>'дод 8'!A127</f>
        <v>3180</v>
      </c>
      <c r="C186" s="93" t="str">
        <f>'дод 8'!B127</f>
        <v>1060</v>
      </c>
      <c r="D186" s="60" t="str">
        <f>'дод 8'!C127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86" s="99">
        <f t="shared" si="68"/>
        <v>2452811</v>
      </c>
      <c r="F186" s="99">
        <f>2213520+239291</f>
        <v>2452811</v>
      </c>
      <c r="G186" s="99"/>
      <c r="H186" s="99"/>
      <c r="I186" s="99"/>
      <c r="J186" s="99">
        <f t="shared" si="70"/>
        <v>0</v>
      </c>
      <c r="K186" s="99"/>
      <c r="L186" s="99"/>
      <c r="M186" s="99"/>
      <c r="N186" s="99"/>
      <c r="O186" s="99"/>
      <c r="P186" s="99">
        <f t="shared" si="69"/>
        <v>2452811</v>
      </c>
      <c r="Q186" s="23"/>
      <c r="R186" s="32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  <c r="IU186" s="23"/>
      <c r="IV186" s="23"/>
      <c r="IW186" s="23"/>
      <c r="IX186" s="23"/>
      <c r="IY186" s="23"/>
      <c r="IZ186" s="23"/>
      <c r="JA186" s="23"/>
      <c r="JB186" s="23"/>
      <c r="JC186" s="23"/>
      <c r="JD186" s="23"/>
      <c r="JE186" s="23"/>
      <c r="JF186" s="23"/>
      <c r="JG186" s="23"/>
      <c r="JH186" s="23"/>
      <c r="JI186" s="23"/>
      <c r="JJ186" s="23"/>
      <c r="JK186" s="23"/>
      <c r="JL186" s="23"/>
      <c r="JM186" s="23"/>
      <c r="JN186" s="23"/>
      <c r="JO186" s="23"/>
      <c r="JP186" s="23"/>
      <c r="JQ186" s="23"/>
      <c r="JR186" s="23"/>
      <c r="JS186" s="23"/>
      <c r="JT186" s="23"/>
      <c r="JU186" s="23"/>
      <c r="JV186" s="23"/>
      <c r="JW186" s="23"/>
      <c r="JX186" s="23"/>
      <c r="JY186" s="23"/>
      <c r="JZ186" s="23"/>
      <c r="KA186" s="23"/>
      <c r="KB186" s="23"/>
      <c r="KC186" s="23"/>
      <c r="KD186" s="23"/>
      <c r="KE186" s="23"/>
      <c r="KF186" s="23"/>
      <c r="KG186" s="23"/>
      <c r="KH186" s="23"/>
      <c r="KI186" s="23"/>
      <c r="KJ186" s="23"/>
      <c r="KK186" s="23"/>
      <c r="KL186" s="23"/>
      <c r="KM186" s="23"/>
      <c r="KN186" s="23"/>
      <c r="KO186" s="23"/>
      <c r="KP186" s="23"/>
      <c r="KQ186" s="23"/>
      <c r="KR186" s="23"/>
      <c r="KS186" s="23"/>
      <c r="KT186" s="23"/>
      <c r="KU186" s="23"/>
      <c r="KV186" s="23"/>
      <c r="KW186" s="23"/>
      <c r="KX186" s="23"/>
      <c r="KY186" s="23"/>
      <c r="KZ186" s="23"/>
      <c r="LA186" s="23"/>
      <c r="LB186" s="23"/>
      <c r="LC186" s="23"/>
      <c r="LD186" s="23"/>
      <c r="LE186" s="23"/>
      <c r="LF186" s="23"/>
      <c r="LG186" s="23"/>
      <c r="LH186" s="23"/>
      <c r="LI186" s="23"/>
      <c r="LJ186" s="23"/>
      <c r="LK186" s="23"/>
      <c r="LL186" s="23"/>
      <c r="LM186" s="23"/>
      <c r="LN186" s="23"/>
      <c r="LO186" s="23"/>
      <c r="LP186" s="23"/>
      <c r="LQ186" s="23"/>
      <c r="LR186" s="23"/>
      <c r="LS186" s="23"/>
      <c r="LT186" s="23"/>
      <c r="LU186" s="23"/>
      <c r="LV186" s="23"/>
      <c r="LW186" s="23"/>
      <c r="LX186" s="23"/>
      <c r="LY186" s="23"/>
      <c r="LZ186" s="23"/>
      <c r="MA186" s="23"/>
      <c r="MB186" s="23"/>
      <c r="MC186" s="23"/>
      <c r="MD186" s="23"/>
      <c r="ME186" s="23"/>
      <c r="MF186" s="23"/>
      <c r="MG186" s="23"/>
      <c r="MH186" s="23"/>
      <c r="MI186" s="23"/>
      <c r="MJ186" s="23"/>
      <c r="MK186" s="23"/>
      <c r="ML186" s="23"/>
      <c r="MM186" s="23"/>
      <c r="MN186" s="23"/>
      <c r="MO186" s="23"/>
      <c r="MP186" s="23"/>
      <c r="MQ186" s="23"/>
      <c r="MR186" s="23"/>
      <c r="MS186" s="23"/>
      <c r="MT186" s="23"/>
      <c r="MU186" s="23"/>
      <c r="MV186" s="23"/>
      <c r="MW186" s="23"/>
      <c r="MX186" s="23"/>
      <c r="MY186" s="23"/>
      <c r="MZ186" s="23"/>
      <c r="NA186" s="23"/>
      <c r="NB186" s="23"/>
      <c r="NC186" s="23"/>
      <c r="ND186" s="23"/>
      <c r="NE186" s="23"/>
      <c r="NF186" s="23"/>
      <c r="NG186" s="23"/>
      <c r="NH186" s="23"/>
      <c r="NI186" s="23"/>
      <c r="NJ186" s="23"/>
      <c r="NK186" s="23"/>
      <c r="NL186" s="23"/>
      <c r="NM186" s="23"/>
      <c r="NN186" s="23"/>
      <c r="NO186" s="23"/>
      <c r="NP186" s="23"/>
      <c r="NQ186" s="23"/>
      <c r="NR186" s="23"/>
      <c r="NS186" s="23"/>
      <c r="NT186" s="23"/>
      <c r="NU186" s="23"/>
      <c r="NV186" s="23"/>
      <c r="NW186" s="23"/>
      <c r="NX186" s="23"/>
      <c r="NY186" s="23"/>
      <c r="NZ186" s="23"/>
      <c r="OA186" s="23"/>
      <c r="OB186" s="23"/>
      <c r="OC186" s="23"/>
      <c r="OD186" s="23"/>
      <c r="OE186" s="23"/>
      <c r="OF186" s="23"/>
      <c r="OG186" s="23"/>
      <c r="OH186" s="23"/>
      <c r="OI186" s="23"/>
      <c r="OJ186" s="23"/>
      <c r="OK186" s="23"/>
      <c r="OL186" s="23"/>
      <c r="OM186" s="23"/>
      <c r="ON186" s="23"/>
      <c r="OO186" s="23"/>
      <c r="OP186" s="23"/>
      <c r="OQ186" s="23"/>
      <c r="OR186" s="23"/>
      <c r="OS186" s="23"/>
      <c r="OT186" s="23"/>
      <c r="OU186" s="23"/>
      <c r="OV186" s="23"/>
      <c r="OW186" s="23"/>
      <c r="OX186" s="23"/>
      <c r="OY186" s="23"/>
      <c r="OZ186" s="23"/>
      <c r="PA186" s="23"/>
      <c r="PB186" s="23"/>
      <c r="PC186" s="23"/>
      <c r="PD186" s="23"/>
      <c r="PE186" s="23"/>
      <c r="PF186" s="23"/>
      <c r="PG186" s="23"/>
      <c r="PH186" s="23"/>
      <c r="PI186" s="23"/>
      <c r="PJ186" s="23"/>
      <c r="PK186" s="23"/>
      <c r="PL186" s="23"/>
      <c r="PM186" s="23"/>
      <c r="PN186" s="23"/>
      <c r="PO186" s="23"/>
      <c r="PP186" s="23"/>
      <c r="PQ186" s="23"/>
      <c r="PR186" s="23"/>
      <c r="PS186" s="23"/>
      <c r="PT186" s="23"/>
      <c r="PU186" s="23"/>
      <c r="PV186" s="23"/>
      <c r="PW186" s="23"/>
      <c r="PX186" s="23"/>
      <c r="PY186" s="23"/>
      <c r="PZ186" s="23"/>
      <c r="QA186" s="23"/>
      <c r="QB186" s="23"/>
      <c r="QC186" s="23"/>
      <c r="QD186" s="23"/>
      <c r="QE186" s="23"/>
      <c r="QF186" s="23"/>
      <c r="QG186" s="23"/>
      <c r="QH186" s="23"/>
      <c r="QI186" s="23"/>
      <c r="QJ186" s="23"/>
      <c r="QK186" s="23"/>
      <c r="QL186" s="23"/>
      <c r="QM186" s="23"/>
      <c r="QN186" s="23"/>
      <c r="QO186" s="23"/>
      <c r="QP186" s="23"/>
      <c r="QQ186" s="23"/>
      <c r="QR186" s="23"/>
      <c r="QS186" s="23"/>
      <c r="QT186" s="23"/>
      <c r="QU186" s="23"/>
      <c r="QV186" s="23"/>
      <c r="QW186" s="23"/>
      <c r="QX186" s="23"/>
      <c r="QY186" s="23"/>
      <c r="QZ186" s="23"/>
      <c r="RA186" s="23"/>
      <c r="RB186" s="23"/>
      <c r="RC186" s="23"/>
      <c r="RD186" s="23"/>
      <c r="RE186" s="23"/>
      <c r="RF186" s="23"/>
      <c r="RG186" s="23"/>
      <c r="RH186" s="23"/>
      <c r="RI186" s="23"/>
      <c r="RJ186" s="23"/>
      <c r="RK186" s="23"/>
      <c r="RL186" s="23"/>
      <c r="RM186" s="23"/>
      <c r="RN186" s="23"/>
      <c r="RO186" s="23"/>
      <c r="RP186" s="23"/>
      <c r="RQ186" s="23"/>
      <c r="RR186" s="23"/>
      <c r="RS186" s="23"/>
      <c r="RT186" s="23"/>
      <c r="RU186" s="23"/>
      <c r="RV186" s="23"/>
      <c r="RW186" s="23"/>
      <c r="RX186" s="23"/>
      <c r="RY186" s="23"/>
      <c r="RZ186" s="23"/>
      <c r="SA186" s="23"/>
      <c r="SB186" s="23"/>
      <c r="SC186" s="23"/>
      <c r="SD186" s="23"/>
      <c r="SE186" s="23"/>
      <c r="SF186" s="23"/>
      <c r="SG186" s="23"/>
      <c r="SH186" s="23"/>
      <c r="SI186" s="23"/>
      <c r="SJ186" s="23"/>
      <c r="SK186" s="23"/>
      <c r="SL186" s="23"/>
      <c r="SM186" s="23"/>
      <c r="SN186" s="23"/>
      <c r="SO186" s="23"/>
      <c r="SP186" s="23"/>
      <c r="SQ186" s="23"/>
      <c r="SR186" s="23"/>
      <c r="SS186" s="23"/>
      <c r="ST186" s="23"/>
      <c r="SU186" s="23"/>
      <c r="SV186" s="23"/>
      <c r="SW186" s="23"/>
      <c r="SX186" s="23"/>
      <c r="SY186" s="23"/>
      <c r="SZ186" s="23"/>
      <c r="TA186" s="23"/>
      <c r="TB186" s="23"/>
      <c r="TC186" s="23"/>
      <c r="TD186" s="23"/>
      <c r="TE186" s="23"/>
      <c r="TF186" s="23"/>
      <c r="TG186" s="23"/>
    </row>
    <row r="187" spans="1:527" s="22" customFormat="1" ht="31.5" customHeight="1" x14ac:dyDescent="0.25">
      <c r="A187" s="59" t="s">
        <v>308</v>
      </c>
      <c r="B187" s="93" t="str">
        <f>'дод 8'!A128</f>
        <v>3191</v>
      </c>
      <c r="C187" s="93" t="str">
        <f>'дод 8'!B128</f>
        <v>1030</v>
      </c>
      <c r="D187" s="60" t="str">
        <f>'дод 8'!C128</f>
        <v>Інші видатки на соціальний захист ветеранів війни та праці</v>
      </c>
      <c r="E187" s="99">
        <f t="shared" si="68"/>
        <v>1952159</v>
      </c>
      <c r="F187" s="99">
        <f>2089960-47000-90801</f>
        <v>1952159</v>
      </c>
      <c r="G187" s="99"/>
      <c r="H187" s="99"/>
      <c r="I187" s="99"/>
      <c r="J187" s="99">
        <f t="shared" si="70"/>
        <v>0</v>
      </c>
      <c r="K187" s="99"/>
      <c r="L187" s="99"/>
      <c r="M187" s="99"/>
      <c r="N187" s="99"/>
      <c r="O187" s="99"/>
      <c r="P187" s="99">
        <f t="shared" si="69"/>
        <v>1952159</v>
      </c>
      <c r="Q187" s="23"/>
      <c r="R187" s="32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  <c r="TF187" s="23"/>
      <c r="TG187" s="23"/>
    </row>
    <row r="188" spans="1:527" s="22" customFormat="1" ht="47.25" x14ac:dyDescent="0.25">
      <c r="A188" s="59" t="s">
        <v>309</v>
      </c>
      <c r="B188" s="93" t="str">
        <f>'дод 8'!A129</f>
        <v>3192</v>
      </c>
      <c r="C188" s="93" t="str">
        <f>'дод 8'!B129</f>
        <v>1030</v>
      </c>
      <c r="D188" s="60" t="s">
        <v>502</v>
      </c>
      <c r="E188" s="99">
        <f t="shared" si="68"/>
        <v>2250688</v>
      </c>
      <c r="F188" s="99">
        <v>2250688</v>
      </c>
      <c r="G188" s="99"/>
      <c r="H188" s="99"/>
      <c r="I188" s="99"/>
      <c r="J188" s="99">
        <f t="shared" si="70"/>
        <v>0</v>
      </c>
      <c r="K188" s="99"/>
      <c r="L188" s="99"/>
      <c r="M188" s="99"/>
      <c r="N188" s="99"/>
      <c r="O188" s="99"/>
      <c r="P188" s="99">
        <f t="shared" si="69"/>
        <v>2250688</v>
      </c>
      <c r="Q188" s="23"/>
      <c r="R188" s="32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  <c r="IT188" s="23"/>
      <c r="IU188" s="23"/>
      <c r="IV188" s="23"/>
      <c r="IW188" s="23"/>
      <c r="IX188" s="23"/>
      <c r="IY188" s="23"/>
      <c r="IZ188" s="23"/>
      <c r="JA188" s="23"/>
      <c r="JB188" s="23"/>
      <c r="JC188" s="23"/>
      <c r="JD188" s="23"/>
      <c r="JE188" s="23"/>
      <c r="JF188" s="23"/>
      <c r="JG188" s="23"/>
      <c r="JH188" s="23"/>
      <c r="JI188" s="23"/>
      <c r="JJ188" s="23"/>
      <c r="JK188" s="23"/>
      <c r="JL188" s="23"/>
      <c r="JM188" s="23"/>
      <c r="JN188" s="23"/>
      <c r="JO188" s="23"/>
      <c r="JP188" s="23"/>
      <c r="JQ188" s="23"/>
      <c r="JR188" s="23"/>
      <c r="JS188" s="23"/>
      <c r="JT188" s="23"/>
      <c r="JU188" s="23"/>
      <c r="JV188" s="23"/>
      <c r="JW188" s="23"/>
      <c r="JX188" s="23"/>
      <c r="JY188" s="23"/>
      <c r="JZ188" s="23"/>
      <c r="KA188" s="23"/>
      <c r="KB188" s="23"/>
      <c r="KC188" s="23"/>
      <c r="KD188" s="23"/>
      <c r="KE188" s="23"/>
      <c r="KF188" s="23"/>
      <c r="KG188" s="23"/>
      <c r="KH188" s="23"/>
      <c r="KI188" s="23"/>
      <c r="KJ188" s="23"/>
      <c r="KK188" s="23"/>
      <c r="KL188" s="23"/>
      <c r="KM188" s="23"/>
      <c r="KN188" s="23"/>
      <c r="KO188" s="23"/>
      <c r="KP188" s="23"/>
      <c r="KQ188" s="23"/>
      <c r="KR188" s="23"/>
      <c r="KS188" s="23"/>
      <c r="KT188" s="23"/>
      <c r="KU188" s="23"/>
      <c r="KV188" s="23"/>
      <c r="KW188" s="23"/>
      <c r="KX188" s="23"/>
      <c r="KY188" s="23"/>
      <c r="KZ188" s="23"/>
      <c r="LA188" s="23"/>
      <c r="LB188" s="23"/>
      <c r="LC188" s="23"/>
      <c r="LD188" s="23"/>
      <c r="LE188" s="23"/>
      <c r="LF188" s="23"/>
      <c r="LG188" s="23"/>
      <c r="LH188" s="23"/>
      <c r="LI188" s="23"/>
      <c r="LJ188" s="23"/>
      <c r="LK188" s="23"/>
      <c r="LL188" s="23"/>
      <c r="LM188" s="23"/>
      <c r="LN188" s="23"/>
      <c r="LO188" s="23"/>
      <c r="LP188" s="23"/>
      <c r="LQ188" s="23"/>
      <c r="LR188" s="23"/>
      <c r="LS188" s="23"/>
      <c r="LT188" s="23"/>
      <c r="LU188" s="23"/>
      <c r="LV188" s="23"/>
      <c r="LW188" s="23"/>
      <c r="LX188" s="23"/>
      <c r="LY188" s="23"/>
      <c r="LZ188" s="23"/>
      <c r="MA188" s="23"/>
      <c r="MB188" s="23"/>
      <c r="MC188" s="23"/>
      <c r="MD188" s="23"/>
      <c r="ME188" s="23"/>
      <c r="MF188" s="23"/>
      <c r="MG188" s="23"/>
      <c r="MH188" s="23"/>
      <c r="MI188" s="23"/>
      <c r="MJ188" s="23"/>
      <c r="MK188" s="23"/>
      <c r="ML188" s="23"/>
      <c r="MM188" s="23"/>
      <c r="MN188" s="23"/>
      <c r="MO188" s="23"/>
      <c r="MP188" s="23"/>
      <c r="MQ188" s="23"/>
      <c r="MR188" s="23"/>
      <c r="MS188" s="23"/>
      <c r="MT188" s="23"/>
      <c r="MU188" s="23"/>
      <c r="MV188" s="23"/>
      <c r="MW188" s="23"/>
      <c r="MX188" s="23"/>
      <c r="MY188" s="23"/>
      <c r="MZ188" s="23"/>
      <c r="NA188" s="23"/>
      <c r="NB188" s="23"/>
      <c r="NC188" s="23"/>
      <c r="ND188" s="23"/>
      <c r="NE188" s="23"/>
      <c r="NF188" s="23"/>
      <c r="NG188" s="23"/>
      <c r="NH188" s="23"/>
      <c r="NI188" s="23"/>
      <c r="NJ188" s="23"/>
      <c r="NK188" s="23"/>
      <c r="NL188" s="23"/>
      <c r="NM188" s="23"/>
      <c r="NN188" s="23"/>
      <c r="NO188" s="23"/>
      <c r="NP188" s="23"/>
      <c r="NQ188" s="23"/>
      <c r="NR188" s="23"/>
      <c r="NS188" s="23"/>
      <c r="NT188" s="23"/>
      <c r="NU188" s="23"/>
      <c r="NV188" s="23"/>
      <c r="NW188" s="23"/>
      <c r="NX188" s="23"/>
      <c r="NY188" s="23"/>
      <c r="NZ188" s="23"/>
      <c r="OA188" s="23"/>
      <c r="OB188" s="23"/>
      <c r="OC188" s="23"/>
      <c r="OD188" s="23"/>
      <c r="OE188" s="23"/>
      <c r="OF188" s="23"/>
      <c r="OG188" s="23"/>
      <c r="OH188" s="23"/>
      <c r="OI188" s="23"/>
      <c r="OJ188" s="23"/>
      <c r="OK188" s="23"/>
      <c r="OL188" s="23"/>
      <c r="OM188" s="23"/>
      <c r="ON188" s="23"/>
      <c r="OO188" s="23"/>
      <c r="OP188" s="23"/>
      <c r="OQ188" s="23"/>
      <c r="OR188" s="23"/>
      <c r="OS188" s="23"/>
      <c r="OT188" s="23"/>
      <c r="OU188" s="23"/>
      <c r="OV188" s="23"/>
      <c r="OW188" s="23"/>
      <c r="OX188" s="23"/>
      <c r="OY188" s="23"/>
      <c r="OZ188" s="23"/>
      <c r="PA188" s="23"/>
      <c r="PB188" s="23"/>
      <c r="PC188" s="23"/>
      <c r="PD188" s="23"/>
      <c r="PE188" s="23"/>
      <c r="PF188" s="23"/>
      <c r="PG188" s="23"/>
      <c r="PH188" s="23"/>
      <c r="PI188" s="23"/>
      <c r="PJ188" s="23"/>
      <c r="PK188" s="23"/>
      <c r="PL188" s="23"/>
      <c r="PM188" s="23"/>
      <c r="PN188" s="23"/>
      <c r="PO188" s="23"/>
      <c r="PP188" s="23"/>
      <c r="PQ188" s="23"/>
      <c r="PR188" s="23"/>
      <c r="PS188" s="23"/>
      <c r="PT188" s="23"/>
      <c r="PU188" s="23"/>
      <c r="PV188" s="23"/>
      <c r="PW188" s="23"/>
      <c r="PX188" s="23"/>
      <c r="PY188" s="23"/>
      <c r="PZ188" s="23"/>
      <c r="QA188" s="23"/>
      <c r="QB188" s="23"/>
      <c r="QC188" s="23"/>
      <c r="QD188" s="23"/>
      <c r="QE188" s="23"/>
      <c r="QF188" s="23"/>
      <c r="QG188" s="23"/>
      <c r="QH188" s="23"/>
      <c r="QI188" s="23"/>
      <c r="QJ188" s="23"/>
      <c r="QK188" s="23"/>
      <c r="QL188" s="23"/>
      <c r="QM188" s="23"/>
      <c r="QN188" s="23"/>
      <c r="QO188" s="23"/>
      <c r="QP188" s="23"/>
      <c r="QQ188" s="23"/>
      <c r="QR188" s="23"/>
      <c r="QS188" s="23"/>
      <c r="QT188" s="23"/>
      <c r="QU188" s="23"/>
      <c r="QV188" s="23"/>
      <c r="QW188" s="23"/>
      <c r="QX188" s="23"/>
      <c r="QY188" s="23"/>
      <c r="QZ188" s="23"/>
      <c r="RA188" s="23"/>
      <c r="RB188" s="23"/>
      <c r="RC188" s="23"/>
      <c r="RD188" s="23"/>
      <c r="RE188" s="23"/>
      <c r="RF188" s="23"/>
      <c r="RG188" s="23"/>
      <c r="RH188" s="23"/>
      <c r="RI188" s="23"/>
      <c r="RJ188" s="23"/>
      <c r="RK188" s="23"/>
      <c r="RL188" s="23"/>
      <c r="RM188" s="23"/>
      <c r="RN188" s="23"/>
      <c r="RO188" s="23"/>
      <c r="RP188" s="23"/>
      <c r="RQ188" s="23"/>
      <c r="RR188" s="23"/>
      <c r="RS188" s="23"/>
      <c r="RT188" s="23"/>
      <c r="RU188" s="23"/>
      <c r="RV188" s="23"/>
      <c r="RW188" s="23"/>
      <c r="RX188" s="23"/>
      <c r="RY188" s="23"/>
      <c r="RZ188" s="23"/>
      <c r="SA188" s="23"/>
      <c r="SB188" s="23"/>
      <c r="SC188" s="23"/>
      <c r="SD188" s="23"/>
      <c r="SE188" s="23"/>
      <c r="SF188" s="23"/>
      <c r="SG188" s="23"/>
      <c r="SH188" s="23"/>
      <c r="SI188" s="23"/>
      <c r="SJ188" s="23"/>
      <c r="SK188" s="23"/>
      <c r="SL188" s="23"/>
      <c r="SM188" s="23"/>
      <c r="SN188" s="23"/>
      <c r="SO188" s="23"/>
      <c r="SP188" s="23"/>
      <c r="SQ188" s="23"/>
      <c r="SR188" s="23"/>
      <c r="SS188" s="23"/>
      <c r="ST188" s="23"/>
      <c r="SU188" s="23"/>
      <c r="SV188" s="23"/>
      <c r="SW188" s="23"/>
      <c r="SX188" s="23"/>
      <c r="SY188" s="23"/>
      <c r="SZ188" s="23"/>
      <c r="TA188" s="23"/>
      <c r="TB188" s="23"/>
      <c r="TC188" s="23"/>
      <c r="TD188" s="23"/>
      <c r="TE188" s="23"/>
      <c r="TF188" s="23"/>
      <c r="TG188" s="23"/>
    </row>
    <row r="189" spans="1:527" s="22" customFormat="1" ht="34.5" customHeight="1" x14ac:dyDescent="0.25">
      <c r="A189" s="59" t="s">
        <v>187</v>
      </c>
      <c r="B189" s="93" t="str">
        <f>'дод 8'!A130</f>
        <v>3200</v>
      </c>
      <c r="C189" s="93" t="str">
        <f>'дод 8'!B130</f>
        <v>1090</v>
      </c>
      <c r="D189" s="60" t="str">
        <f>'дод 8'!C130</f>
        <v>Забезпечення обробки інформації з нарахування та виплати допомог і компенсацій</v>
      </c>
      <c r="E189" s="99">
        <f t="shared" si="68"/>
        <v>92000</v>
      </c>
      <c r="F189" s="99">
        <v>92000</v>
      </c>
      <c r="G189" s="99"/>
      <c r="H189" s="99"/>
      <c r="I189" s="99"/>
      <c r="J189" s="99">
        <f t="shared" si="70"/>
        <v>0</v>
      </c>
      <c r="K189" s="99"/>
      <c r="L189" s="99"/>
      <c r="M189" s="99"/>
      <c r="N189" s="99"/>
      <c r="O189" s="99"/>
      <c r="P189" s="99">
        <f t="shared" si="69"/>
        <v>92000</v>
      </c>
      <c r="Q189" s="23"/>
      <c r="R189" s="32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  <c r="TF189" s="23"/>
      <c r="TG189" s="23"/>
    </row>
    <row r="190" spans="1:527" s="22" customFormat="1" ht="19.5" customHeight="1" x14ac:dyDescent="0.25">
      <c r="A190" s="103" t="s">
        <v>310</v>
      </c>
      <c r="B190" s="42" t="str">
        <f>'дод 8'!A131</f>
        <v>3210</v>
      </c>
      <c r="C190" s="42" t="str">
        <f>'дод 8'!B131</f>
        <v>1050</v>
      </c>
      <c r="D190" s="36" t="str">
        <f>'дод 8'!C131</f>
        <v>Організація та проведення громадських робіт</v>
      </c>
      <c r="E190" s="99">
        <f t="shared" si="68"/>
        <v>50000</v>
      </c>
      <c r="F190" s="99">
        <v>50000</v>
      </c>
      <c r="G190" s="99">
        <v>40900</v>
      </c>
      <c r="H190" s="99"/>
      <c r="I190" s="99"/>
      <c r="J190" s="99">
        <f t="shared" si="70"/>
        <v>0</v>
      </c>
      <c r="K190" s="99"/>
      <c r="L190" s="99"/>
      <c r="M190" s="99"/>
      <c r="N190" s="99"/>
      <c r="O190" s="99"/>
      <c r="P190" s="99">
        <f t="shared" si="69"/>
        <v>50000</v>
      </c>
      <c r="Q190" s="23"/>
      <c r="R190" s="32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  <c r="SQ190" s="23"/>
      <c r="SR190" s="23"/>
      <c r="SS190" s="23"/>
      <c r="ST190" s="23"/>
      <c r="SU190" s="23"/>
      <c r="SV190" s="23"/>
      <c r="SW190" s="23"/>
      <c r="SX190" s="23"/>
      <c r="SY190" s="23"/>
      <c r="SZ190" s="23"/>
      <c r="TA190" s="23"/>
      <c r="TB190" s="23"/>
      <c r="TC190" s="23"/>
      <c r="TD190" s="23"/>
      <c r="TE190" s="23"/>
      <c r="TF190" s="23"/>
      <c r="TG190" s="23"/>
    </row>
    <row r="191" spans="1:527" s="22" customFormat="1" ht="261" customHeight="1" x14ac:dyDescent="0.25">
      <c r="A191" s="103" t="s">
        <v>441</v>
      </c>
      <c r="B191" s="42">
        <v>3221</v>
      </c>
      <c r="C191" s="103" t="s">
        <v>53</v>
      </c>
      <c r="D191" s="36" t="s">
        <v>585</v>
      </c>
      <c r="E191" s="99">
        <f t="shared" si="68"/>
        <v>0</v>
      </c>
      <c r="F191" s="116"/>
      <c r="G191" s="99"/>
      <c r="H191" s="99"/>
      <c r="I191" s="99"/>
      <c r="J191" s="99">
        <f t="shared" si="70"/>
        <v>975480.06</v>
      </c>
      <c r="K191" s="99">
        <v>975480.06</v>
      </c>
      <c r="L191" s="99"/>
      <c r="M191" s="99"/>
      <c r="N191" s="99"/>
      <c r="O191" s="99">
        <v>975480.06</v>
      </c>
      <c r="P191" s="99">
        <f t="shared" si="69"/>
        <v>975480.06</v>
      </c>
      <c r="Q191" s="23"/>
      <c r="R191" s="32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  <c r="TF191" s="23"/>
      <c r="TG191" s="23"/>
    </row>
    <row r="192" spans="1:527" s="24" customFormat="1" ht="306.75" customHeight="1" x14ac:dyDescent="0.25">
      <c r="A192" s="105"/>
      <c r="B192" s="88"/>
      <c r="C192" s="105"/>
      <c r="D192" s="87" t="s">
        <v>583</v>
      </c>
      <c r="E192" s="99">
        <f t="shared" si="68"/>
        <v>0</v>
      </c>
      <c r="F192" s="141"/>
      <c r="G192" s="101"/>
      <c r="H192" s="101"/>
      <c r="I192" s="101"/>
      <c r="J192" s="99">
        <f t="shared" si="70"/>
        <v>975480.06</v>
      </c>
      <c r="K192" s="101">
        <v>975480.06</v>
      </c>
      <c r="L192" s="101"/>
      <c r="M192" s="101"/>
      <c r="N192" s="101"/>
      <c r="O192" s="101">
        <v>975480.06</v>
      </c>
      <c r="P192" s="101">
        <f t="shared" si="69"/>
        <v>975480.06</v>
      </c>
      <c r="Q192" s="30"/>
      <c r="R192" s="32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  <c r="FJ192" s="30"/>
      <c r="FK192" s="30"/>
      <c r="FL192" s="30"/>
      <c r="FM192" s="30"/>
      <c r="FN192" s="30"/>
      <c r="FO192" s="30"/>
      <c r="FP192" s="30"/>
      <c r="FQ192" s="30"/>
      <c r="FR192" s="30"/>
      <c r="FS192" s="30"/>
      <c r="FT192" s="30"/>
      <c r="FU192" s="30"/>
      <c r="FV192" s="30"/>
      <c r="FW192" s="30"/>
      <c r="FX192" s="30"/>
      <c r="FY192" s="30"/>
      <c r="FZ192" s="30"/>
      <c r="GA192" s="30"/>
      <c r="GB192" s="30"/>
      <c r="GC192" s="30"/>
      <c r="GD192" s="30"/>
      <c r="GE192" s="30"/>
      <c r="GF192" s="30"/>
      <c r="GG192" s="30"/>
      <c r="GH192" s="30"/>
      <c r="GI192" s="30"/>
      <c r="GJ192" s="30"/>
      <c r="GK192" s="30"/>
      <c r="GL192" s="30"/>
      <c r="GM192" s="30"/>
      <c r="GN192" s="30"/>
      <c r="GO192" s="30"/>
      <c r="GP192" s="30"/>
      <c r="GQ192" s="30"/>
      <c r="GR192" s="30"/>
      <c r="GS192" s="30"/>
      <c r="GT192" s="30"/>
      <c r="GU192" s="30"/>
      <c r="GV192" s="30"/>
      <c r="GW192" s="30"/>
      <c r="GX192" s="30"/>
      <c r="GY192" s="30"/>
      <c r="GZ192" s="30"/>
      <c r="HA192" s="30"/>
      <c r="HB192" s="30"/>
      <c r="HC192" s="30"/>
      <c r="HD192" s="30"/>
      <c r="HE192" s="30"/>
      <c r="HF192" s="30"/>
      <c r="HG192" s="30"/>
      <c r="HH192" s="30"/>
      <c r="HI192" s="30"/>
      <c r="HJ192" s="30"/>
      <c r="HK192" s="30"/>
      <c r="HL192" s="30"/>
      <c r="HM192" s="30"/>
      <c r="HN192" s="30"/>
      <c r="HO192" s="30"/>
      <c r="HP192" s="30"/>
      <c r="HQ192" s="30"/>
      <c r="HR192" s="30"/>
      <c r="HS192" s="30"/>
      <c r="HT192" s="30"/>
      <c r="HU192" s="30"/>
      <c r="HV192" s="30"/>
      <c r="HW192" s="30"/>
      <c r="HX192" s="30"/>
      <c r="HY192" s="30"/>
      <c r="HZ192" s="30"/>
      <c r="IA192" s="30"/>
      <c r="IB192" s="30"/>
      <c r="IC192" s="30"/>
      <c r="ID192" s="30"/>
      <c r="IE192" s="30"/>
      <c r="IF192" s="30"/>
      <c r="IG192" s="30"/>
      <c r="IH192" s="30"/>
      <c r="II192" s="30"/>
      <c r="IJ192" s="30"/>
      <c r="IK192" s="30"/>
      <c r="IL192" s="30"/>
      <c r="IM192" s="30"/>
      <c r="IN192" s="30"/>
      <c r="IO192" s="30"/>
      <c r="IP192" s="30"/>
      <c r="IQ192" s="30"/>
      <c r="IR192" s="30"/>
      <c r="IS192" s="30"/>
      <c r="IT192" s="30"/>
      <c r="IU192" s="30"/>
      <c r="IV192" s="30"/>
      <c r="IW192" s="30"/>
      <c r="IX192" s="30"/>
      <c r="IY192" s="30"/>
      <c r="IZ192" s="30"/>
      <c r="JA192" s="30"/>
      <c r="JB192" s="30"/>
      <c r="JC192" s="30"/>
      <c r="JD192" s="30"/>
      <c r="JE192" s="30"/>
      <c r="JF192" s="30"/>
      <c r="JG192" s="30"/>
      <c r="JH192" s="30"/>
      <c r="JI192" s="30"/>
      <c r="JJ192" s="30"/>
      <c r="JK192" s="30"/>
      <c r="JL192" s="30"/>
      <c r="JM192" s="30"/>
      <c r="JN192" s="30"/>
      <c r="JO192" s="30"/>
      <c r="JP192" s="30"/>
      <c r="JQ192" s="30"/>
      <c r="JR192" s="30"/>
      <c r="JS192" s="30"/>
      <c r="JT192" s="30"/>
      <c r="JU192" s="30"/>
      <c r="JV192" s="30"/>
      <c r="JW192" s="30"/>
      <c r="JX192" s="30"/>
      <c r="JY192" s="30"/>
      <c r="JZ192" s="30"/>
      <c r="KA192" s="30"/>
      <c r="KB192" s="30"/>
      <c r="KC192" s="30"/>
      <c r="KD192" s="30"/>
      <c r="KE192" s="30"/>
      <c r="KF192" s="30"/>
      <c r="KG192" s="30"/>
      <c r="KH192" s="30"/>
      <c r="KI192" s="30"/>
      <c r="KJ192" s="30"/>
      <c r="KK192" s="30"/>
      <c r="KL192" s="30"/>
      <c r="KM192" s="30"/>
      <c r="KN192" s="30"/>
      <c r="KO192" s="30"/>
      <c r="KP192" s="30"/>
      <c r="KQ192" s="30"/>
      <c r="KR192" s="30"/>
      <c r="KS192" s="30"/>
      <c r="KT192" s="30"/>
      <c r="KU192" s="30"/>
      <c r="KV192" s="30"/>
      <c r="KW192" s="30"/>
      <c r="KX192" s="30"/>
      <c r="KY192" s="30"/>
      <c r="KZ192" s="30"/>
      <c r="LA192" s="30"/>
      <c r="LB192" s="30"/>
      <c r="LC192" s="30"/>
      <c r="LD192" s="30"/>
      <c r="LE192" s="30"/>
      <c r="LF192" s="30"/>
      <c r="LG192" s="30"/>
      <c r="LH192" s="30"/>
      <c r="LI192" s="30"/>
      <c r="LJ192" s="30"/>
      <c r="LK192" s="30"/>
      <c r="LL192" s="30"/>
      <c r="LM192" s="30"/>
      <c r="LN192" s="30"/>
      <c r="LO192" s="30"/>
      <c r="LP192" s="30"/>
      <c r="LQ192" s="30"/>
      <c r="LR192" s="30"/>
      <c r="LS192" s="30"/>
      <c r="LT192" s="30"/>
      <c r="LU192" s="30"/>
      <c r="LV192" s="30"/>
      <c r="LW192" s="30"/>
      <c r="LX192" s="30"/>
      <c r="LY192" s="30"/>
      <c r="LZ192" s="30"/>
      <c r="MA192" s="30"/>
      <c r="MB192" s="30"/>
      <c r="MC192" s="30"/>
      <c r="MD192" s="30"/>
      <c r="ME192" s="30"/>
      <c r="MF192" s="30"/>
      <c r="MG192" s="30"/>
      <c r="MH192" s="30"/>
      <c r="MI192" s="30"/>
      <c r="MJ192" s="30"/>
      <c r="MK192" s="30"/>
      <c r="ML192" s="30"/>
      <c r="MM192" s="30"/>
      <c r="MN192" s="30"/>
      <c r="MO192" s="30"/>
      <c r="MP192" s="30"/>
      <c r="MQ192" s="30"/>
      <c r="MR192" s="30"/>
      <c r="MS192" s="30"/>
      <c r="MT192" s="30"/>
      <c r="MU192" s="30"/>
      <c r="MV192" s="30"/>
      <c r="MW192" s="30"/>
      <c r="MX192" s="30"/>
      <c r="MY192" s="30"/>
      <c r="MZ192" s="30"/>
      <c r="NA192" s="30"/>
      <c r="NB192" s="30"/>
      <c r="NC192" s="30"/>
      <c r="ND192" s="30"/>
      <c r="NE192" s="30"/>
      <c r="NF192" s="30"/>
      <c r="NG192" s="30"/>
      <c r="NH192" s="30"/>
      <c r="NI192" s="30"/>
      <c r="NJ192" s="30"/>
      <c r="NK192" s="30"/>
      <c r="NL192" s="30"/>
      <c r="NM192" s="30"/>
      <c r="NN192" s="30"/>
      <c r="NO192" s="30"/>
      <c r="NP192" s="30"/>
      <c r="NQ192" s="30"/>
      <c r="NR192" s="30"/>
      <c r="NS192" s="30"/>
      <c r="NT192" s="30"/>
      <c r="NU192" s="30"/>
      <c r="NV192" s="30"/>
      <c r="NW192" s="30"/>
      <c r="NX192" s="30"/>
      <c r="NY192" s="30"/>
      <c r="NZ192" s="30"/>
      <c r="OA192" s="30"/>
      <c r="OB192" s="30"/>
      <c r="OC192" s="30"/>
      <c r="OD192" s="30"/>
      <c r="OE192" s="30"/>
      <c r="OF192" s="30"/>
      <c r="OG192" s="30"/>
      <c r="OH192" s="30"/>
      <c r="OI192" s="30"/>
      <c r="OJ192" s="30"/>
      <c r="OK192" s="30"/>
      <c r="OL192" s="30"/>
      <c r="OM192" s="30"/>
      <c r="ON192" s="30"/>
      <c r="OO192" s="30"/>
      <c r="OP192" s="30"/>
      <c r="OQ192" s="30"/>
      <c r="OR192" s="30"/>
      <c r="OS192" s="30"/>
      <c r="OT192" s="30"/>
      <c r="OU192" s="30"/>
      <c r="OV192" s="30"/>
      <c r="OW192" s="30"/>
      <c r="OX192" s="30"/>
      <c r="OY192" s="30"/>
      <c r="OZ192" s="30"/>
      <c r="PA192" s="30"/>
      <c r="PB192" s="30"/>
      <c r="PC192" s="30"/>
      <c r="PD192" s="30"/>
      <c r="PE192" s="30"/>
      <c r="PF192" s="30"/>
      <c r="PG192" s="30"/>
      <c r="PH192" s="30"/>
      <c r="PI192" s="30"/>
      <c r="PJ192" s="30"/>
      <c r="PK192" s="30"/>
      <c r="PL192" s="30"/>
      <c r="PM192" s="30"/>
      <c r="PN192" s="30"/>
      <c r="PO192" s="30"/>
      <c r="PP192" s="30"/>
      <c r="PQ192" s="30"/>
      <c r="PR192" s="30"/>
      <c r="PS192" s="30"/>
      <c r="PT192" s="30"/>
      <c r="PU192" s="30"/>
      <c r="PV192" s="30"/>
      <c r="PW192" s="30"/>
      <c r="PX192" s="30"/>
      <c r="PY192" s="30"/>
      <c r="PZ192" s="30"/>
      <c r="QA192" s="30"/>
      <c r="QB192" s="30"/>
      <c r="QC192" s="30"/>
      <c r="QD192" s="30"/>
      <c r="QE192" s="30"/>
      <c r="QF192" s="30"/>
      <c r="QG192" s="30"/>
      <c r="QH192" s="30"/>
      <c r="QI192" s="30"/>
      <c r="QJ192" s="30"/>
      <c r="QK192" s="30"/>
      <c r="QL192" s="30"/>
      <c r="QM192" s="30"/>
      <c r="QN192" s="30"/>
      <c r="QO192" s="30"/>
      <c r="QP192" s="30"/>
      <c r="QQ192" s="30"/>
      <c r="QR192" s="30"/>
      <c r="QS192" s="30"/>
      <c r="QT192" s="30"/>
      <c r="QU192" s="30"/>
      <c r="QV192" s="30"/>
      <c r="QW192" s="30"/>
      <c r="QX192" s="30"/>
      <c r="QY192" s="30"/>
      <c r="QZ192" s="30"/>
      <c r="RA192" s="30"/>
      <c r="RB192" s="30"/>
      <c r="RC192" s="30"/>
      <c r="RD192" s="30"/>
      <c r="RE192" s="30"/>
      <c r="RF192" s="30"/>
      <c r="RG192" s="30"/>
      <c r="RH192" s="30"/>
      <c r="RI192" s="30"/>
      <c r="RJ192" s="30"/>
      <c r="RK192" s="30"/>
      <c r="RL192" s="30"/>
      <c r="RM192" s="30"/>
      <c r="RN192" s="30"/>
      <c r="RO192" s="30"/>
      <c r="RP192" s="30"/>
      <c r="RQ192" s="30"/>
      <c r="RR192" s="30"/>
      <c r="RS192" s="30"/>
      <c r="RT192" s="30"/>
      <c r="RU192" s="30"/>
      <c r="RV192" s="30"/>
      <c r="RW192" s="30"/>
      <c r="RX192" s="30"/>
      <c r="RY192" s="30"/>
      <c r="RZ192" s="30"/>
      <c r="SA192" s="30"/>
      <c r="SB192" s="30"/>
      <c r="SC192" s="30"/>
      <c r="SD192" s="30"/>
      <c r="SE192" s="30"/>
      <c r="SF192" s="30"/>
      <c r="SG192" s="30"/>
      <c r="SH192" s="30"/>
      <c r="SI192" s="30"/>
      <c r="SJ192" s="30"/>
      <c r="SK192" s="30"/>
      <c r="SL192" s="30"/>
      <c r="SM192" s="30"/>
      <c r="SN192" s="30"/>
      <c r="SO192" s="30"/>
      <c r="SP192" s="30"/>
      <c r="SQ192" s="30"/>
      <c r="SR192" s="30"/>
      <c r="SS192" s="30"/>
      <c r="ST192" s="30"/>
      <c r="SU192" s="30"/>
      <c r="SV192" s="30"/>
      <c r="SW192" s="30"/>
      <c r="SX192" s="30"/>
      <c r="SY192" s="30"/>
      <c r="SZ192" s="30"/>
      <c r="TA192" s="30"/>
      <c r="TB192" s="30"/>
      <c r="TC192" s="30"/>
      <c r="TD192" s="30"/>
      <c r="TE192" s="30"/>
      <c r="TF192" s="30"/>
      <c r="TG192" s="30"/>
    </row>
    <row r="193" spans="1:527" s="22" customFormat="1" ht="324.75" customHeight="1" x14ac:dyDescent="0.25">
      <c r="A193" s="103" t="s">
        <v>564</v>
      </c>
      <c r="B193" s="42">
        <v>3222</v>
      </c>
      <c r="C193" s="103" t="s">
        <v>53</v>
      </c>
      <c r="D193" s="36" t="s">
        <v>608</v>
      </c>
      <c r="E193" s="99">
        <f t="shared" ref="E193:E194" si="71">F193+I193</f>
        <v>0</v>
      </c>
      <c r="F193" s="142"/>
      <c r="G193" s="99"/>
      <c r="H193" s="99"/>
      <c r="I193" s="99"/>
      <c r="J193" s="99">
        <f t="shared" ref="J193:J194" si="72">L193+O193</f>
        <v>1176130.99</v>
      </c>
      <c r="K193" s="99">
        <v>1176130.99</v>
      </c>
      <c r="L193" s="99"/>
      <c r="M193" s="99"/>
      <c r="N193" s="99"/>
      <c r="O193" s="99">
        <v>1176130.99</v>
      </c>
      <c r="P193" s="99">
        <f t="shared" si="69"/>
        <v>1176130.99</v>
      </c>
      <c r="Q193" s="23"/>
      <c r="R193" s="32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  <c r="SQ193" s="23"/>
      <c r="SR193" s="23"/>
      <c r="SS193" s="23"/>
      <c r="ST193" s="23"/>
      <c r="SU193" s="23"/>
      <c r="SV193" s="23"/>
      <c r="SW193" s="23"/>
      <c r="SX193" s="23"/>
      <c r="SY193" s="23"/>
      <c r="SZ193" s="23"/>
      <c r="TA193" s="23"/>
      <c r="TB193" s="23"/>
      <c r="TC193" s="23"/>
      <c r="TD193" s="23"/>
      <c r="TE193" s="23"/>
      <c r="TF193" s="23"/>
      <c r="TG193" s="23"/>
    </row>
    <row r="194" spans="1:527" s="24" customFormat="1" ht="332.25" customHeight="1" x14ac:dyDescent="0.25">
      <c r="A194" s="105"/>
      <c r="B194" s="88"/>
      <c r="C194" s="105"/>
      <c r="D194" s="87" t="s">
        <v>609</v>
      </c>
      <c r="E194" s="101">
        <f t="shared" si="71"/>
        <v>0</v>
      </c>
      <c r="F194" s="141"/>
      <c r="G194" s="101"/>
      <c r="H194" s="101"/>
      <c r="I194" s="101"/>
      <c r="J194" s="101">
        <f t="shared" si="72"/>
        <v>1176130.99</v>
      </c>
      <c r="K194" s="101">
        <v>1176130.99</v>
      </c>
      <c r="L194" s="101"/>
      <c r="M194" s="101"/>
      <c r="N194" s="101"/>
      <c r="O194" s="101">
        <v>1176130.99</v>
      </c>
      <c r="P194" s="101">
        <f t="shared" si="69"/>
        <v>1176130.99</v>
      </c>
      <c r="Q194" s="30"/>
      <c r="R194" s="32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30"/>
      <c r="FK194" s="30"/>
      <c r="FL194" s="30"/>
      <c r="FM194" s="30"/>
      <c r="FN194" s="30"/>
      <c r="FO194" s="30"/>
      <c r="FP194" s="30"/>
      <c r="FQ194" s="30"/>
      <c r="FR194" s="30"/>
      <c r="FS194" s="30"/>
      <c r="FT194" s="30"/>
      <c r="FU194" s="30"/>
      <c r="FV194" s="30"/>
      <c r="FW194" s="30"/>
      <c r="FX194" s="30"/>
      <c r="FY194" s="30"/>
      <c r="FZ194" s="30"/>
      <c r="GA194" s="30"/>
      <c r="GB194" s="30"/>
      <c r="GC194" s="30"/>
      <c r="GD194" s="30"/>
      <c r="GE194" s="30"/>
      <c r="GF194" s="30"/>
      <c r="GG194" s="30"/>
      <c r="GH194" s="30"/>
      <c r="GI194" s="30"/>
      <c r="GJ194" s="30"/>
      <c r="GK194" s="30"/>
      <c r="GL194" s="30"/>
      <c r="GM194" s="30"/>
      <c r="GN194" s="30"/>
      <c r="GO194" s="30"/>
      <c r="GP194" s="30"/>
      <c r="GQ194" s="30"/>
      <c r="GR194" s="30"/>
      <c r="GS194" s="30"/>
      <c r="GT194" s="30"/>
      <c r="GU194" s="30"/>
      <c r="GV194" s="30"/>
      <c r="GW194" s="30"/>
      <c r="GX194" s="30"/>
      <c r="GY194" s="30"/>
      <c r="GZ194" s="30"/>
      <c r="HA194" s="30"/>
      <c r="HB194" s="30"/>
      <c r="HC194" s="30"/>
      <c r="HD194" s="30"/>
      <c r="HE194" s="30"/>
      <c r="HF194" s="30"/>
      <c r="HG194" s="30"/>
      <c r="HH194" s="30"/>
      <c r="HI194" s="30"/>
      <c r="HJ194" s="30"/>
      <c r="HK194" s="30"/>
      <c r="HL194" s="30"/>
      <c r="HM194" s="30"/>
      <c r="HN194" s="30"/>
      <c r="HO194" s="30"/>
      <c r="HP194" s="30"/>
      <c r="HQ194" s="30"/>
      <c r="HR194" s="30"/>
      <c r="HS194" s="30"/>
      <c r="HT194" s="30"/>
      <c r="HU194" s="30"/>
      <c r="HV194" s="30"/>
      <c r="HW194" s="30"/>
      <c r="HX194" s="30"/>
      <c r="HY194" s="30"/>
      <c r="HZ194" s="30"/>
      <c r="IA194" s="30"/>
      <c r="IB194" s="30"/>
      <c r="IC194" s="30"/>
      <c r="ID194" s="30"/>
      <c r="IE194" s="30"/>
      <c r="IF194" s="30"/>
      <c r="IG194" s="30"/>
      <c r="IH194" s="30"/>
      <c r="II194" s="30"/>
      <c r="IJ194" s="30"/>
      <c r="IK194" s="30"/>
      <c r="IL194" s="30"/>
      <c r="IM194" s="30"/>
      <c r="IN194" s="30"/>
      <c r="IO194" s="30"/>
      <c r="IP194" s="30"/>
      <c r="IQ194" s="30"/>
      <c r="IR194" s="30"/>
      <c r="IS194" s="30"/>
      <c r="IT194" s="30"/>
      <c r="IU194" s="30"/>
      <c r="IV194" s="30"/>
      <c r="IW194" s="30"/>
      <c r="IX194" s="30"/>
      <c r="IY194" s="30"/>
      <c r="IZ194" s="30"/>
      <c r="JA194" s="30"/>
      <c r="JB194" s="30"/>
      <c r="JC194" s="30"/>
      <c r="JD194" s="30"/>
      <c r="JE194" s="30"/>
      <c r="JF194" s="30"/>
      <c r="JG194" s="30"/>
      <c r="JH194" s="30"/>
      <c r="JI194" s="30"/>
      <c r="JJ194" s="30"/>
      <c r="JK194" s="30"/>
      <c r="JL194" s="30"/>
      <c r="JM194" s="30"/>
      <c r="JN194" s="30"/>
      <c r="JO194" s="30"/>
      <c r="JP194" s="30"/>
      <c r="JQ194" s="30"/>
      <c r="JR194" s="30"/>
      <c r="JS194" s="30"/>
      <c r="JT194" s="30"/>
      <c r="JU194" s="30"/>
      <c r="JV194" s="30"/>
      <c r="JW194" s="30"/>
      <c r="JX194" s="30"/>
      <c r="JY194" s="30"/>
      <c r="JZ194" s="30"/>
      <c r="KA194" s="30"/>
      <c r="KB194" s="30"/>
      <c r="KC194" s="30"/>
      <c r="KD194" s="30"/>
      <c r="KE194" s="30"/>
      <c r="KF194" s="30"/>
      <c r="KG194" s="30"/>
      <c r="KH194" s="30"/>
      <c r="KI194" s="30"/>
      <c r="KJ194" s="30"/>
      <c r="KK194" s="30"/>
      <c r="KL194" s="30"/>
      <c r="KM194" s="30"/>
      <c r="KN194" s="30"/>
      <c r="KO194" s="30"/>
      <c r="KP194" s="30"/>
      <c r="KQ194" s="30"/>
      <c r="KR194" s="30"/>
      <c r="KS194" s="30"/>
      <c r="KT194" s="30"/>
      <c r="KU194" s="30"/>
      <c r="KV194" s="30"/>
      <c r="KW194" s="30"/>
      <c r="KX194" s="30"/>
      <c r="KY194" s="30"/>
      <c r="KZ194" s="30"/>
      <c r="LA194" s="30"/>
      <c r="LB194" s="30"/>
      <c r="LC194" s="30"/>
      <c r="LD194" s="30"/>
      <c r="LE194" s="30"/>
      <c r="LF194" s="30"/>
      <c r="LG194" s="30"/>
      <c r="LH194" s="30"/>
      <c r="LI194" s="30"/>
      <c r="LJ194" s="30"/>
      <c r="LK194" s="30"/>
      <c r="LL194" s="30"/>
      <c r="LM194" s="30"/>
      <c r="LN194" s="30"/>
      <c r="LO194" s="30"/>
      <c r="LP194" s="30"/>
      <c r="LQ194" s="30"/>
      <c r="LR194" s="30"/>
      <c r="LS194" s="30"/>
      <c r="LT194" s="30"/>
      <c r="LU194" s="30"/>
      <c r="LV194" s="30"/>
      <c r="LW194" s="30"/>
      <c r="LX194" s="30"/>
      <c r="LY194" s="30"/>
      <c r="LZ194" s="30"/>
      <c r="MA194" s="30"/>
      <c r="MB194" s="30"/>
      <c r="MC194" s="30"/>
      <c r="MD194" s="30"/>
      <c r="ME194" s="30"/>
      <c r="MF194" s="30"/>
      <c r="MG194" s="30"/>
      <c r="MH194" s="30"/>
      <c r="MI194" s="30"/>
      <c r="MJ194" s="30"/>
      <c r="MK194" s="30"/>
      <c r="ML194" s="30"/>
      <c r="MM194" s="30"/>
      <c r="MN194" s="30"/>
      <c r="MO194" s="30"/>
      <c r="MP194" s="30"/>
      <c r="MQ194" s="30"/>
      <c r="MR194" s="30"/>
      <c r="MS194" s="30"/>
      <c r="MT194" s="30"/>
      <c r="MU194" s="30"/>
      <c r="MV194" s="30"/>
      <c r="MW194" s="30"/>
      <c r="MX194" s="30"/>
      <c r="MY194" s="30"/>
      <c r="MZ194" s="30"/>
      <c r="NA194" s="30"/>
      <c r="NB194" s="30"/>
      <c r="NC194" s="30"/>
      <c r="ND194" s="30"/>
      <c r="NE194" s="30"/>
      <c r="NF194" s="30"/>
      <c r="NG194" s="30"/>
      <c r="NH194" s="30"/>
      <c r="NI194" s="30"/>
      <c r="NJ194" s="30"/>
      <c r="NK194" s="30"/>
      <c r="NL194" s="30"/>
      <c r="NM194" s="30"/>
      <c r="NN194" s="30"/>
      <c r="NO194" s="30"/>
      <c r="NP194" s="30"/>
      <c r="NQ194" s="30"/>
      <c r="NR194" s="30"/>
      <c r="NS194" s="30"/>
      <c r="NT194" s="30"/>
      <c r="NU194" s="30"/>
      <c r="NV194" s="30"/>
      <c r="NW194" s="30"/>
      <c r="NX194" s="30"/>
      <c r="NY194" s="30"/>
      <c r="NZ194" s="30"/>
      <c r="OA194" s="30"/>
      <c r="OB194" s="30"/>
      <c r="OC194" s="30"/>
      <c r="OD194" s="30"/>
      <c r="OE194" s="30"/>
      <c r="OF194" s="30"/>
      <c r="OG194" s="30"/>
      <c r="OH194" s="30"/>
      <c r="OI194" s="30"/>
      <c r="OJ194" s="30"/>
      <c r="OK194" s="30"/>
      <c r="OL194" s="30"/>
      <c r="OM194" s="30"/>
      <c r="ON194" s="30"/>
      <c r="OO194" s="30"/>
      <c r="OP194" s="30"/>
      <c r="OQ194" s="30"/>
      <c r="OR194" s="30"/>
      <c r="OS194" s="30"/>
      <c r="OT194" s="30"/>
      <c r="OU194" s="30"/>
      <c r="OV194" s="30"/>
      <c r="OW194" s="30"/>
      <c r="OX194" s="30"/>
      <c r="OY194" s="30"/>
      <c r="OZ194" s="30"/>
      <c r="PA194" s="30"/>
      <c r="PB194" s="30"/>
      <c r="PC194" s="30"/>
      <c r="PD194" s="30"/>
      <c r="PE194" s="30"/>
      <c r="PF194" s="30"/>
      <c r="PG194" s="30"/>
      <c r="PH194" s="30"/>
      <c r="PI194" s="30"/>
      <c r="PJ194" s="30"/>
      <c r="PK194" s="30"/>
      <c r="PL194" s="30"/>
      <c r="PM194" s="30"/>
      <c r="PN194" s="30"/>
      <c r="PO194" s="30"/>
      <c r="PP194" s="30"/>
      <c r="PQ194" s="30"/>
      <c r="PR194" s="30"/>
      <c r="PS194" s="30"/>
      <c r="PT194" s="30"/>
      <c r="PU194" s="30"/>
      <c r="PV194" s="30"/>
      <c r="PW194" s="30"/>
      <c r="PX194" s="30"/>
      <c r="PY194" s="30"/>
      <c r="PZ194" s="30"/>
      <c r="QA194" s="30"/>
      <c r="QB194" s="30"/>
      <c r="QC194" s="30"/>
      <c r="QD194" s="30"/>
      <c r="QE194" s="30"/>
      <c r="QF194" s="30"/>
      <c r="QG194" s="30"/>
      <c r="QH194" s="30"/>
      <c r="QI194" s="30"/>
      <c r="QJ194" s="30"/>
      <c r="QK194" s="30"/>
      <c r="QL194" s="30"/>
      <c r="QM194" s="30"/>
      <c r="QN194" s="30"/>
      <c r="QO194" s="30"/>
      <c r="QP194" s="30"/>
      <c r="QQ194" s="30"/>
      <c r="QR194" s="30"/>
      <c r="QS194" s="30"/>
      <c r="QT194" s="30"/>
      <c r="QU194" s="30"/>
      <c r="QV194" s="30"/>
      <c r="QW194" s="30"/>
      <c r="QX194" s="30"/>
      <c r="QY194" s="30"/>
      <c r="QZ194" s="30"/>
      <c r="RA194" s="30"/>
      <c r="RB194" s="30"/>
      <c r="RC194" s="30"/>
      <c r="RD194" s="30"/>
      <c r="RE194" s="30"/>
      <c r="RF194" s="30"/>
      <c r="RG194" s="30"/>
      <c r="RH194" s="30"/>
      <c r="RI194" s="30"/>
      <c r="RJ194" s="30"/>
      <c r="RK194" s="30"/>
      <c r="RL194" s="30"/>
      <c r="RM194" s="30"/>
      <c r="RN194" s="30"/>
      <c r="RO194" s="30"/>
      <c r="RP194" s="30"/>
      <c r="RQ194" s="30"/>
      <c r="RR194" s="30"/>
      <c r="RS194" s="30"/>
      <c r="RT194" s="30"/>
      <c r="RU194" s="30"/>
      <c r="RV194" s="30"/>
      <c r="RW194" s="30"/>
      <c r="RX194" s="30"/>
      <c r="RY194" s="30"/>
      <c r="RZ194" s="30"/>
      <c r="SA194" s="30"/>
      <c r="SB194" s="30"/>
      <c r="SC194" s="30"/>
      <c r="SD194" s="30"/>
      <c r="SE194" s="30"/>
      <c r="SF194" s="30"/>
      <c r="SG194" s="30"/>
      <c r="SH194" s="30"/>
      <c r="SI194" s="30"/>
      <c r="SJ194" s="30"/>
      <c r="SK194" s="30"/>
      <c r="SL194" s="30"/>
      <c r="SM194" s="30"/>
      <c r="SN194" s="30"/>
      <c r="SO194" s="30"/>
      <c r="SP194" s="30"/>
      <c r="SQ194" s="30"/>
      <c r="SR194" s="30"/>
      <c r="SS194" s="30"/>
      <c r="ST194" s="30"/>
      <c r="SU194" s="30"/>
      <c r="SV194" s="30"/>
      <c r="SW194" s="30"/>
      <c r="SX194" s="30"/>
      <c r="SY194" s="30"/>
      <c r="SZ194" s="30"/>
      <c r="TA194" s="30"/>
      <c r="TB194" s="30"/>
      <c r="TC194" s="30"/>
      <c r="TD194" s="30"/>
      <c r="TE194" s="30"/>
      <c r="TF194" s="30"/>
      <c r="TG194" s="30"/>
    </row>
    <row r="195" spans="1:527" s="22" customFormat="1" ht="220.5" hidden="1" x14ac:dyDescent="0.25">
      <c r="A195" s="103" t="s">
        <v>440</v>
      </c>
      <c r="B195" s="42">
        <v>3223</v>
      </c>
      <c r="C195" s="103" t="s">
        <v>53</v>
      </c>
      <c r="D195" s="36" t="str">
        <f>'дод 8'!C136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95" s="99">
        <f t="shared" si="68"/>
        <v>0</v>
      </c>
      <c r="F195" s="99"/>
      <c r="G195" s="99"/>
      <c r="H195" s="99"/>
      <c r="I195" s="99"/>
      <c r="J195" s="99">
        <f t="shared" si="70"/>
        <v>0</v>
      </c>
      <c r="K195" s="99"/>
      <c r="L195" s="99"/>
      <c r="M195" s="99"/>
      <c r="N195" s="99"/>
      <c r="O195" s="99"/>
      <c r="P195" s="99">
        <f t="shared" si="69"/>
        <v>0</v>
      </c>
      <c r="Q195" s="23"/>
      <c r="R195" s="32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  <c r="TF195" s="23"/>
      <c r="TG195" s="23"/>
    </row>
    <row r="196" spans="1:527" s="24" customFormat="1" ht="267.75" hidden="1" x14ac:dyDescent="0.25">
      <c r="A196" s="105"/>
      <c r="B196" s="88"/>
      <c r="C196" s="105"/>
      <c r="D196" s="87" t="str">
        <f>'дод 8'!C137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96" s="101">
        <f t="shared" si="68"/>
        <v>0</v>
      </c>
      <c r="F196" s="101"/>
      <c r="G196" s="101"/>
      <c r="H196" s="101"/>
      <c r="I196" s="101"/>
      <c r="J196" s="101">
        <f t="shared" si="70"/>
        <v>0</v>
      </c>
      <c r="K196" s="101"/>
      <c r="L196" s="101"/>
      <c r="M196" s="101"/>
      <c r="N196" s="101"/>
      <c r="O196" s="101"/>
      <c r="P196" s="101">
        <f t="shared" si="69"/>
        <v>0</v>
      </c>
      <c r="Q196" s="30"/>
      <c r="R196" s="32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  <c r="GD196" s="30"/>
      <c r="GE196" s="30"/>
      <c r="GF196" s="30"/>
      <c r="GG196" s="30"/>
      <c r="GH196" s="30"/>
      <c r="GI196" s="30"/>
      <c r="GJ196" s="30"/>
      <c r="GK196" s="30"/>
      <c r="GL196" s="30"/>
      <c r="GM196" s="30"/>
      <c r="GN196" s="30"/>
      <c r="GO196" s="30"/>
      <c r="GP196" s="30"/>
      <c r="GQ196" s="30"/>
      <c r="GR196" s="30"/>
      <c r="GS196" s="30"/>
      <c r="GT196" s="30"/>
      <c r="GU196" s="30"/>
      <c r="GV196" s="30"/>
      <c r="GW196" s="30"/>
      <c r="GX196" s="30"/>
      <c r="GY196" s="30"/>
      <c r="GZ196" s="30"/>
      <c r="HA196" s="30"/>
      <c r="HB196" s="30"/>
      <c r="HC196" s="30"/>
      <c r="HD196" s="30"/>
      <c r="HE196" s="30"/>
      <c r="HF196" s="30"/>
      <c r="HG196" s="30"/>
      <c r="HH196" s="30"/>
      <c r="HI196" s="30"/>
      <c r="HJ196" s="30"/>
      <c r="HK196" s="30"/>
      <c r="HL196" s="30"/>
      <c r="HM196" s="30"/>
      <c r="HN196" s="30"/>
      <c r="HO196" s="30"/>
      <c r="HP196" s="30"/>
      <c r="HQ196" s="30"/>
      <c r="HR196" s="30"/>
      <c r="HS196" s="30"/>
      <c r="HT196" s="30"/>
      <c r="HU196" s="30"/>
      <c r="HV196" s="30"/>
      <c r="HW196" s="30"/>
      <c r="HX196" s="30"/>
      <c r="HY196" s="30"/>
      <c r="HZ196" s="30"/>
      <c r="IA196" s="30"/>
      <c r="IB196" s="30"/>
      <c r="IC196" s="30"/>
      <c r="ID196" s="30"/>
      <c r="IE196" s="30"/>
      <c r="IF196" s="30"/>
      <c r="IG196" s="30"/>
      <c r="IH196" s="30"/>
      <c r="II196" s="30"/>
      <c r="IJ196" s="30"/>
      <c r="IK196" s="30"/>
      <c r="IL196" s="30"/>
      <c r="IM196" s="30"/>
      <c r="IN196" s="30"/>
      <c r="IO196" s="30"/>
      <c r="IP196" s="30"/>
      <c r="IQ196" s="30"/>
      <c r="IR196" s="30"/>
      <c r="IS196" s="30"/>
      <c r="IT196" s="30"/>
      <c r="IU196" s="30"/>
      <c r="IV196" s="30"/>
      <c r="IW196" s="30"/>
      <c r="IX196" s="30"/>
      <c r="IY196" s="30"/>
      <c r="IZ196" s="30"/>
      <c r="JA196" s="30"/>
      <c r="JB196" s="30"/>
      <c r="JC196" s="30"/>
      <c r="JD196" s="30"/>
      <c r="JE196" s="30"/>
      <c r="JF196" s="30"/>
      <c r="JG196" s="30"/>
      <c r="JH196" s="30"/>
      <c r="JI196" s="30"/>
      <c r="JJ196" s="30"/>
      <c r="JK196" s="30"/>
      <c r="JL196" s="30"/>
      <c r="JM196" s="30"/>
      <c r="JN196" s="30"/>
      <c r="JO196" s="30"/>
      <c r="JP196" s="30"/>
      <c r="JQ196" s="30"/>
      <c r="JR196" s="30"/>
      <c r="JS196" s="30"/>
      <c r="JT196" s="30"/>
      <c r="JU196" s="30"/>
      <c r="JV196" s="30"/>
      <c r="JW196" s="30"/>
      <c r="JX196" s="30"/>
      <c r="JY196" s="30"/>
      <c r="JZ196" s="30"/>
      <c r="KA196" s="30"/>
      <c r="KB196" s="30"/>
      <c r="KC196" s="30"/>
      <c r="KD196" s="30"/>
      <c r="KE196" s="30"/>
      <c r="KF196" s="30"/>
      <c r="KG196" s="30"/>
      <c r="KH196" s="30"/>
      <c r="KI196" s="30"/>
      <c r="KJ196" s="30"/>
      <c r="KK196" s="30"/>
      <c r="KL196" s="30"/>
      <c r="KM196" s="30"/>
      <c r="KN196" s="30"/>
      <c r="KO196" s="30"/>
      <c r="KP196" s="30"/>
      <c r="KQ196" s="30"/>
      <c r="KR196" s="30"/>
      <c r="KS196" s="30"/>
      <c r="KT196" s="30"/>
      <c r="KU196" s="30"/>
      <c r="KV196" s="30"/>
      <c r="KW196" s="30"/>
      <c r="KX196" s="30"/>
      <c r="KY196" s="30"/>
      <c r="KZ196" s="30"/>
      <c r="LA196" s="30"/>
      <c r="LB196" s="30"/>
      <c r="LC196" s="30"/>
      <c r="LD196" s="30"/>
      <c r="LE196" s="30"/>
      <c r="LF196" s="30"/>
      <c r="LG196" s="30"/>
      <c r="LH196" s="30"/>
      <c r="LI196" s="30"/>
      <c r="LJ196" s="30"/>
      <c r="LK196" s="30"/>
      <c r="LL196" s="30"/>
      <c r="LM196" s="30"/>
      <c r="LN196" s="30"/>
      <c r="LO196" s="30"/>
      <c r="LP196" s="30"/>
      <c r="LQ196" s="30"/>
      <c r="LR196" s="30"/>
      <c r="LS196" s="30"/>
      <c r="LT196" s="30"/>
      <c r="LU196" s="30"/>
      <c r="LV196" s="30"/>
      <c r="LW196" s="30"/>
      <c r="LX196" s="30"/>
      <c r="LY196" s="30"/>
      <c r="LZ196" s="30"/>
      <c r="MA196" s="30"/>
      <c r="MB196" s="30"/>
      <c r="MC196" s="30"/>
      <c r="MD196" s="30"/>
      <c r="ME196" s="30"/>
      <c r="MF196" s="30"/>
      <c r="MG196" s="30"/>
      <c r="MH196" s="30"/>
      <c r="MI196" s="30"/>
      <c r="MJ196" s="30"/>
      <c r="MK196" s="30"/>
      <c r="ML196" s="30"/>
      <c r="MM196" s="30"/>
      <c r="MN196" s="30"/>
      <c r="MO196" s="30"/>
      <c r="MP196" s="30"/>
      <c r="MQ196" s="30"/>
      <c r="MR196" s="30"/>
      <c r="MS196" s="30"/>
      <c r="MT196" s="30"/>
      <c r="MU196" s="30"/>
      <c r="MV196" s="30"/>
      <c r="MW196" s="30"/>
      <c r="MX196" s="30"/>
      <c r="MY196" s="30"/>
      <c r="MZ196" s="30"/>
      <c r="NA196" s="30"/>
      <c r="NB196" s="30"/>
      <c r="NC196" s="30"/>
      <c r="ND196" s="30"/>
      <c r="NE196" s="30"/>
      <c r="NF196" s="30"/>
      <c r="NG196" s="30"/>
      <c r="NH196" s="30"/>
      <c r="NI196" s="30"/>
      <c r="NJ196" s="30"/>
      <c r="NK196" s="30"/>
      <c r="NL196" s="30"/>
      <c r="NM196" s="30"/>
      <c r="NN196" s="30"/>
      <c r="NO196" s="30"/>
      <c r="NP196" s="30"/>
      <c r="NQ196" s="30"/>
      <c r="NR196" s="30"/>
      <c r="NS196" s="30"/>
      <c r="NT196" s="30"/>
      <c r="NU196" s="30"/>
      <c r="NV196" s="30"/>
      <c r="NW196" s="30"/>
      <c r="NX196" s="30"/>
      <c r="NY196" s="30"/>
      <c r="NZ196" s="30"/>
      <c r="OA196" s="30"/>
      <c r="OB196" s="30"/>
      <c r="OC196" s="30"/>
      <c r="OD196" s="30"/>
      <c r="OE196" s="30"/>
      <c r="OF196" s="30"/>
      <c r="OG196" s="30"/>
      <c r="OH196" s="30"/>
      <c r="OI196" s="30"/>
      <c r="OJ196" s="30"/>
      <c r="OK196" s="30"/>
      <c r="OL196" s="30"/>
      <c r="OM196" s="30"/>
      <c r="ON196" s="30"/>
      <c r="OO196" s="30"/>
      <c r="OP196" s="30"/>
      <c r="OQ196" s="30"/>
      <c r="OR196" s="30"/>
      <c r="OS196" s="30"/>
      <c r="OT196" s="30"/>
      <c r="OU196" s="30"/>
      <c r="OV196" s="30"/>
      <c r="OW196" s="30"/>
      <c r="OX196" s="30"/>
      <c r="OY196" s="30"/>
      <c r="OZ196" s="30"/>
      <c r="PA196" s="30"/>
      <c r="PB196" s="30"/>
      <c r="PC196" s="30"/>
      <c r="PD196" s="30"/>
      <c r="PE196" s="30"/>
      <c r="PF196" s="30"/>
      <c r="PG196" s="30"/>
      <c r="PH196" s="30"/>
      <c r="PI196" s="30"/>
      <c r="PJ196" s="30"/>
      <c r="PK196" s="30"/>
      <c r="PL196" s="30"/>
      <c r="PM196" s="30"/>
      <c r="PN196" s="30"/>
      <c r="PO196" s="30"/>
      <c r="PP196" s="30"/>
      <c r="PQ196" s="30"/>
      <c r="PR196" s="30"/>
      <c r="PS196" s="30"/>
      <c r="PT196" s="30"/>
      <c r="PU196" s="30"/>
      <c r="PV196" s="30"/>
      <c r="PW196" s="30"/>
      <c r="PX196" s="30"/>
      <c r="PY196" s="30"/>
      <c r="PZ196" s="30"/>
      <c r="QA196" s="30"/>
      <c r="QB196" s="30"/>
      <c r="QC196" s="30"/>
      <c r="QD196" s="30"/>
      <c r="QE196" s="30"/>
      <c r="QF196" s="30"/>
      <c r="QG196" s="30"/>
      <c r="QH196" s="30"/>
      <c r="QI196" s="30"/>
      <c r="QJ196" s="30"/>
      <c r="QK196" s="30"/>
      <c r="QL196" s="30"/>
      <c r="QM196" s="30"/>
      <c r="QN196" s="30"/>
      <c r="QO196" s="30"/>
      <c r="QP196" s="30"/>
      <c r="QQ196" s="30"/>
      <c r="QR196" s="30"/>
      <c r="QS196" s="30"/>
      <c r="QT196" s="30"/>
      <c r="QU196" s="30"/>
      <c r="QV196" s="30"/>
      <c r="QW196" s="30"/>
      <c r="QX196" s="30"/>
      <c r="QY196" s="30"/>
      <c r="QZ196" s="30"/>
      <c r="RA196" s="30"/>
      <c r="RB196" s="30"/>
      <c r="RC196" s="30"/>
      <c r="RD196" s="30"/>
      <c r="RE196" s="30"/>
      <c r="RF196" s="30"/>
      <c r="RG196" s="30"/>
      <c r="RH196" s="30"/>
      <c r="RI196" s="30"/>
      <c r="RJ196" s="30"/>
      <c r="RK196" s="30"/>
      <c r="RL196" s="30"/>
      <c r="RM196" s="30"/>
      <c r="RN196" s="30"/>
      <c r="RO196" s="30"/>
      <c r="RP196" s="30"/>
      <c r="RQ196" s="30"/>
      <c r="RR196" s="30"/>
      <c r="RS196" s="30"/>
      <c r="RT196" s="30"/>
      <c r="RU196" s="30"/>
      <c r="RV196" s="30"/>
      <c r="RW196" s="30"/>
      <c r="RX196" s="30"/>
      <c r="RY196" s="30"/>
      <c r="RZ196" s="30"/>
      <c r="SA196" s="30"/>
      <c r="SB196" s="30"/>
      <c r="SC196" s="30"/>
      <c r="SD196" s="30"/>
      <c r="SE196" s="30"/>
      <c r="SF196" s="30"/>
      <c r="SG196" s="30"/>
      <c r="SH196" s="30"/>
      <c r="SI196" s="30"/>
      <c r="SJ196" s="30"/>
      <c r="SK196" s="30"/>
      <c r="SL196" s="30"/>
      <c r="SM196" s="30"/>
      <c r="SN196" s="30"/>
      <c r="SO196" s="30"/>
      <c r="SP196" s="30"/>
      <c r="SQ196" s="30"/>
      <c r="SR196" s="30"/>
      <c r="SS196" s="30"/>
      <c r="ST196" s="30"/>
      <c r="SU196" s="30"/>
      <c r="SV196" s="30"/>
      <c r="SW196" s="30"/>
      <c r="SX196" s="30"/>
      <c r="SY196" s="30"/>
      <c r="SZ196" s="30"/>
      <c r="TA196" s="30"/>
      <c r="TB196" s="30"/>
      <c r="TC196" s="30"/>
      <c r="TD196" s="30"/>
      <c r="TE196" s="30"/>
      <c r="TF196" s="30"/>
      <c r="TG196" s="30"/>
    </row>
    <row r="197" spans="1:527" s="22" customFormat="1" ht="31.5" customHeight="1" x14ac:dyDescent="0.25">
      <c r="A197" s="59" t="s">
        <v>307</v>
      </c>
      <c r="B197" s="93" t="str">
        <f>'дод 8'!A138</f>
        <v>3241</v>
      </c>
      <c r="C197" s="93" t="str">
        <f>'дод 8'!B138</f>
        <v>1090</v>
      </c>
      <c r="D197" s="60" t="str">
        <f>'дод 8'!C138</f>
        <v>Забезпечення діяльності інших закладів у сфері соціального захисту і соціального забезпечення</v>
      </c>
      <c r="E197" s="99">
        <f t="shared" si="68"/>
        <v>6171670.0800000001</v>
      </c>
      <c r="F197" s="99">
        <f>6615708.56+38000+199000+75614-795852.48+39200</f>
        <v>6171670.0800000001</v>
      </c>
      <c r="G197" s="99">
        <f>4074650-476164.66</f>
        <v>3598485.34</v>
      </c>
      <c r="H197" s="99">
        <f>333300+75614-74659.4+39200</f>
        <v>373454.6</v>
      </c>
      <c r="I197" s="99"/>
      <c r="J197" s="99">
        <f t="shared" ref="J197:J201" si="73">L197+O197</f>
        <v>160800</v>
      </c>
      <c r="K197" s="99">
        <f>360000-199000-200</f>
        <v>160800</v>
      </c>
      <c r="L197" s="99"/>
      <c r="M197" s="99"/>
      <c r="N197" s="99"/>
      <c r="O197" s="99">
        <f>360000-199000-200</f>
        <v>160800</v>
      </c>
      <c r="P197" s="99">
        <f t="shared" si="69"/>
        <v>6332470.0800000001</v>
      </c>
      <c r="Q197" s="23"/>
      <c r="R197" s="32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  <c r="TF197" s="23"/>
      <c r="TG197" s="23"/>
    </row>
    <row r="198" spans="1:527" s="22" customFormat="1" ht="33" customHeight="1" x14ac:dyDescent="0.25">
      <c r="A198" s="59" t="s">
        <v>355</v>
      </c>
      <c r="B198" s="93" t="str">
        <f>'дод 8'!A139</f>
        <v>3242</v>
      </c>
      <c r="C198" s="93" t="str">
        <f>'дод 8'!B139</f>
        <v>1090</v>
      </c>
      <c r="D198" s="60" t="s">
        <v>516</v>
      </c>
      <c r="E198" s="99">
        <f t="shared" si="68"/>
        <v>39515549.549999997</v>
      </c>
      <c r="F198" s="99">
        <f>34325670+76000+12000+250000+1652252.55+881000+791200+57000+20770+189500+106000+5000+5000+10000+25000+47000+1000+45000+69500+38800+125610-12000+90000+148000+100000+78747+27500+350000</f>
        <v>39515549.549999997</v>
      </c>
      <c r="G198" s="99"/>
      <c r="H198" s="99"/>
      <c r="I198" s="99"/>
      <c r="J198" s="99">
        <f t="shared" si="73"/>
        <v>57000</v>
      </c>
      <c r="K198" s="99">
        <f>45000+12000</f>
        <v>57000</v>
      </c>
      <c r="L198" s="99"/>
      <c r="M198" s="99"/>
      <c r="N198" s="99"/>
      <c r="O198" s="99">
        <f>45000+12000</f>
        <v>57000</v>
      </c>
      <c r="P198" s="99">
        <f t="shared" si="69"/>
        <v>39572549.549999997</v>
      </c>
      <c r="Q198" s="23"/>
      <c r="R198" s="32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  <c r="IW198" s="23"/>
      <c r="IX198" s="23"/>
      <c r="IY198" s="23"/>
      <c r="IZ198" s="23"/>
      <c r="JA198" s="23"/>
      <c r="JB198" s="23"/>
      <c r="JC198" s="23"/>
      <c r="JD198" s="23"/>
      <c r="JE198" s="23"/>
      <c r="JF198" s="23"/>
      <c r="JG198" s="23"/>
      <c r="JH198" s="23"/>
      <c r="JI198" s="23"/>
      <c r="JJ198" s="23"/>
      <c r="JK198" s="23"/>
      <c r="JL198" s="23"/>
      <c r="JM198" s="23"/>
      <c r="JN198" s="23"/>
      <c r="JO198" s="23"/>
      <c r="JP198" s="23"/>
      <c r="JQ198" s="23"/>
      <c r="JR198" s="23"/>
      <c r="JS198" s="23"/>
      <c r="JT198" s="23"/>
      <c r="JU198" s="23"/>
      <c r="JV198" s="23"/>
      <c r="JW198" s="23"/>
      <c r="JX198" s="23"/>
      <c r="JY198" s="23"/>
      <c r="JZ198" s="23"/>
      <c r="KA198" s="23"/>
      <c r="KB198" s="23"/>
      <c r="KC198" s="23"/>
      <c r="KD198" s="23"/>
      <c r="KE198" s="23"/>
      <c r="KF198" s="23"/>
      <c r="KG198" s="23"/>
      <c r="KH198" s="23"/>
      <c r="KI198" s="23"/>
      <c r="KJ198" s="23"/>
      <c r="KK198" s="23"/>
      <c r="KL198" s="23"/>
      <c r="KM198" s="23"/>
      <c r="KN198" s="23"/>
      <c r="KO198" s="23"/>
      <c r="KP198" s="23"/>
      <c r="KQ198" s="23"/>
      <c r="KR198" s="23"/>
      <c r="KS198" s="23"/>
      <c r="KT198" s="23"/>
      <c r="KU198" s="23"/>
      <c r="KV198" s="23"/>
      <c r="KW198" s="23"/>
      <c r="KX198" s="23"/>
      <c r="KY198" s="23"/>
      <c r="KZ198" s="23"/>
      <c r="LA198" s="23"/>
      <c r="LB198" s="23"/>
      <c r="LC198" s="23"/>
      <c r="LD198" s="23"/>
      <c r="LE198" s="23"/>
      <c r="LF198" s="23"/>
      <c r="LG198" s="23"/>
      <c r="LH198" s="23"/>
      <c r="LI198" s="23"/>
      <c r="LJ198" s="23"/>
      <c r="LK198" s="23"/>
      <c r="LL198" s="23"/>
      <c r="LM198" s="23"/>
      <c r="LN198" s="23"/>
      <c r="LO198" s="23"/>
      <c r="LP198" s="23"/>
      <c r="LQ198" s="23"/>
      <c r="LR198" s="23"/>
      <c r="LS198" s="23"/>
      <c r="LT198" s="23"/>
      <c r="LU198" s="23"/>
      <c r="LV198" s="23"/>
      <c r="LW198" s="23"/>
      <c r="LX198" s="23"/>
      <c r="LY198" s="23"/>
      <c r="LZ198" s="23"/>
      <c r="MA198" s="23"/>
      <c r="MB198" s="23"/>
      <c r="MC198" s="23"/>
      <c r="MD198" s="23"/>
      <c r="ME198" s="23"/>
      <c r="MF198" s="23"/>
      <c r="MG198" s="23"/>
      <c r="MH198" s="23"/>
      <c r="MI198" s="23"/>
      <c r="MJ198" s="23"/>
      <c r="MK198" s="23"/>
      <c r="ML198" s="23"/>
      <c r="MM198" s="23"/>
      <c r="MN198" s="23"/>
      <c r="MO198" s="23"/>
      <c r="MP198" s="23"/>
      <c r="MQ198" s="23"/>
      <c r="MR198" s="23"/>
      <c r="MS198" s="23"/>
      <c r="MT198" s="23"/>
      <c r="MU198" s="23"/>
      <c r="MV198" s="23"/>
      <c r="MW198" s="23"/>
      <c r="MX198" s="23"/>
      <c r="MY198" s="23"/>
      <c r="MZ198" s="23"/>
      <c r="NA198" s="23"/>
      <c r="NB198" s="23"/>
      <c r="NC198" s="23"/>
      <c r="ND198" s="23"/>
      <c r="NE198" s="23"/>
      <c r="NF198" s="23"/>
      <c r="NG198" s="23"/>
      <c r="NH198" s="23"/>
      <c r="NI198" s="23"/>
      <c r="NJ198" s="23"/>
      <c r="NK198" s="23"/>
      <c r="NL198" s="23"/>
      <c r="NM198" s="23"/>
      <c r="NN198" s="23"/>
      <c r="NO198" s="23"/>
      <c r="NP198" s="23"/>
      <c r="NQ198" s="23"/>
      <c r="NR198" s="23"/>
      <c r="NS198" s="23"/>
      <c r="NT198" s="23"/>
      <c r="NU198" s="23"/>
      <c r="NV198" s="23"/>
      <c r="NW198" s="23"/>
      <c r="NX198" s="23"/>
      <c r="NY198" s="23"/>
      <c r="NZ198" s="23"/>
      <c r="OA198" s="23"/>
      <c r="OB198" s="23"/>
      <c r="OC198" s="23"/>
      <c r="OD198" s="23"/>
      <c r="OE198" s="23"/>
      <c r="OF198" s="23"/>
      <c r="OG198" s="23"/>
      <c r="OH198" s="23"/>
      <c r="OI198" s="23"/>
      <c r="OJ198" s="23"/>
      <c r="OK198" s="23"/>
      <c r="OL198" s="23"/>
      <c r="OM198" s="23"/>
      <c r="ON198" s="23"/>
      <c r="OO198" s="23"/>
      <c r="OP198" s="23"/>
      <c r="OQ198" s="23"/>
      <c r="OR198" s="23"/>
      <c r="OS198" s="23"/>
      <c r="OT198" s="23"/>
      <c r="OU198" s="23"/>
      <c r="OV198" s="23"/>
      <c r="OW198" s="23"/>
      <c r="OX198" s="23"/>
      <c r="OY198" s="23"/>
      <c r="OZ198" s="23"/>
      <c r="PA198" s="23"/>
      <c r="PB198" s="23"/>
      <c r="PC198" s="23"/>
      <c r="PD198" s="23"/>
      <c r="PE198" s="23"/>
      <c r="PF198" s="23"/>
      <c r="PG198" s="23"/>
      <c r="PH198" s="23"/>
      <c r="PI198" s="23"/>
      <c r="PJ198" s="23"/>
      <c r="PK198" s="23"/>
      <c r="PL198" s="23"/>
      <c r="PM198" s="23"/>
      <c r="PN198" s="23"/>
      <c r="PO198" s="23"/>
      <c r="PP198" s="23"/>
      <c r="PQ198" s="23"/>
      <c r="PR198" s="23"/>
      <c r="PS198" s="23"/>
      <c r="PT198" s="23"/>
      <c r="PU198" s="23"/>
      <c r="PV198" s="23"/>
      <c r="PW198" s="23"/>
      <c r="PX198" s="23"/>
      <c r="PY198" s="23"/>
      <c r="PZ198" s="23"/>
      <c r="QA198" s="23"/>
      <c r="QB198" s="23"/>
      <c r="QC198" s="23"/>
      <c r="QD198" s="23"/>
      <c r="QE198" s="23"/>
      <c r="QF198" s="23"/>
      <c r="QG198" s="23"/>
      <c r="QH198" s="23"/>
      <c r="QI198" s="23"/>
      <c r="QJ198" s="23"/>
      <c r="QK198" s="23"/>
      <c r="QL198" s="23"/>
      <c r="QM198" s="23"/>
      <c r="QN198" s="23"/>
      <c r="QO198" s="23"/>
      <c r="QP198" s="23"/>
      <c r="QQ198" s="23"/>
      <c r="QR198" s="23"/>
      <c r="QS198" s="23"/>
      <c r="QT198" s="23"/>
      <c r="QU198" s="23"/>
      <c r="QV198" s="23"/>
      <c r="QW198" s="23"/>
      <c r="QX198" s="23"/>
      <c r="QY198" s="23"/>
      <c r="QZ198" s="23"/>
      <c r="RA198" s="23"/>
      <c r="RB198" s="23"/>
      <c r="RC198" s="23"/>
      <c r="RD198" s="23"/>
      <c r="RE198" s="23"/>
      <c r="RF198" s="23"/>
      <c r="RG198" s="23"/>
      <c r="RH198" s="23"/>
      <c r="RI198" s="23"/>
      <c r="RJ198" s="23"/>
      <c r="RK198" s="23"/>
      <c r="RL198" s="23"/>
      <c r="RM198" s="23"/>
      <c r="RN198" s="23"/>
      <c r="RO198" s="23"/>
      <c r="RP198" s="23"/>
      <c r="RQ198" s="23"/>
      <c r="RR198" s="23"/>
      <c r="RS198" s="23"/>
      <c r="RT198" s="23"/>
      <c r="RU198" s="23"/>
      <c r="RV198" s="23"/>
      <c r="RW198" s="23"/>
      <c r="RX198" s="23"/>
      <c r="RY198" s="23"/>
      <c r="RZ198" s="23"/>
      <c r="SA198" s="23"/>
      <c r="SB198" s="23"/>
      <c r="SC198" s="23"/>
      <c r="SD198" s="23"/>
      <c r="SE198" s="23"/>
      <c r="SF198" s="23"/>
      <c r="SG198" s="23"/>
      <c r="SH198" s="23"/>
      <c r="SI198" s="23"/>
      <c r="SJ198" s="23"/>
      <c r="SK198" s="23"/>
      <c r="SL198" s="23"/>
      <c r="SM198" s="23"/>
      <c r="SN198" s="23"/>
      <c r="SO198" s="23"/>
      <c r="SP198" s="23"/>
      <c r="SQ198" s="23"/>
      <c r="SR198" s="23"/>
      <c r="SS198" s="23"/>
      <c r="ST198" s="23"/>
      <c r="SU198" s="23"/>
      <c r="SV198" s="23"/>
      <c r="SW198" s="23"/>
      <c r="SX198" s="23"/>
      <c r="SY198" s="23"/>
      <c r="SZ198" s="23"/>
      <c r="TA198" s="23"/>
      <c r="TB198" s="23"/>
      <c r="TC198" s="23"/>
      <c r="TD198" s="23"/>
      <c r="TE198" s="23"/>
      <c r="TF198" s="23"/>
      <c r="TG198" s="23"/>
    </row>
    <row r="199" spans="1:527" s="24" customFormat="1" ht="15" customHeight="1" x14ac:dyDescent="0.25">
      <c r="A199" s="84"/>
      <c r="B199" s="111"/>
      <c r="C199" s="111"/>
      <c r="D199" s="85" t="s">
        <v>393</v>
      </c>
      <c r="E199" s="101">
        <f t="shared" si="68"/>
        <v>348000</v>
      </c>
      <c r="F199" s="101">
        <f>336000+12000</f>
        <v>348000</v>
      </c>
      <c r="G199" s="101"/>
      <c r="H199" s="101"/>
      <c r="I199" s="101"/>
      <c r="J199" s="101">
        <f t="shared" si="73"/>
        <v>0</v>
      </c>
      <c r="K199" s="101"/>
      <c r="L199" s="101"/>
      <c r="M199" s="101"/>
      <c r="N199" s="101"/>
      <c r="O199" s="101"/>
      <c r="P199" s="101">
        <f t="shared" si="69"/>
        <v>348000</v>
      </c>
      <c r="Q199" s="30"/>
      <c r="R199" s="32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/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  <c r="IW199" s="30"/>
      <c r="IX199" s="30"/>
      <c r="IY199" s="30"/>
      <c r="IZ199" s="30"/>
      <c r="JA199" s="30"/>
      <c r="JB199" s="30"/>
      <c r="JC199" s="30"/>
      <c r="JD199" s="30"/>
      <c r="JE199" s="30"/>
      <c r="JF199" s="30"/>
      <c r="JG199" s="30"/>
      <c r="JH199" s="30"/>
      <c r="JI199" s="30"/>
      <c r="JJ199" s="30"/>
      <c r="JK199" s="30"/>
      <c r="JL199" s="30"/>
      <c r="JM199" s="30"/>
      <c r="JN199" s="30"/>
      <c r="JO199" s="30"/>
      <c r="JP199" s="30"/>
      <c r="JQ199" s="30"/>
      <c r="JR199" s="30"/>
      <c r="JS199" s="30"/>
      <c r="JT199" s="30"/>
      <c r="JU199" s="30"/>
      <c r="JV199" s="30"/>
      <c r="JW199" s="30"/>
      <c r="JX199" s="30"/>
      <c r="JY199" s="30"/>
      <c r="JZ199" s="30"/>
      <c r="KA199" s="30"/>
      <c r="KB199" s="30"/>
      <c r="KC199" s="30"/>
      <c r="KD199" s="30"/>
      <c r="KE199" s="30"/>
      <c r="KF199" s="30"/>
      <c r="KG199" s="30"/>
      <c r="KH199" s="30"/>
      <c r="KI199" s="30"/>
      <c r="KJ199" s="30"/>
      <c r="KK199" s="30"/>
      <c r="KL199" s="30"/>
      <c r="KM199" s="30"/>
      <c r="KN199" s="30"/>
      <c r="KO199" s="30"/>
      <c r="KP199" s="30"/>
      <c r="KQ199" s="30"/>
      <c r="KR199" s="30"/>
      <c r="KS199" s="30"/>
      <c r="KT199" s="30"/>
      <c r="KU199" s="30"/>
      <c r="KV199" s="30"/>
      <c r="KW199" s="30"/>
      <c r="KX199" s="30"/>
      <c r="KY199" s="30"/>
      <c r="KZ199" s="30"/>
      <c r="LA199" s="30"/>
      <c r="LB199" s="30"/>
      <c r="LC199" s="30"/>
      <c r="LD199" s="30"/>
      <c r="LE199" s="30"/>
      <c r="LF199" s="30"/>
      <c r="LG199" s="30"/>
      <c r="LH199" s="30"/>
      <c r="LI199" s="30"/>
      <c r="LJ199" s="30"/>
      <c r="LK199" s="30"/>
      <c r="LL199" s="30"/>
      <c r="LM199" s="30"/>
      <c r="LN199" s="30"/>
      <c r="LO199" s="30"/>
      <c r="LP199" s="30"/>
      <c r="LQ199" s="30"/>
      <c r="LR199" s="30"/>
      <c r="LS199" s="30"/>
      <c r="LT199" s="30"/>
      <c r="LU199" s="30"/>
      <c r="LV199" s="30"/>
      <c r="LW199" s="30"/>
      <c r="LX199" s="30"/>
      <c r="LY199" s="30"/>
      <c r="LZ199" s="30"/>
      <c r="MA199" s="30"/>
      <c r="MB199" s="30"/>
      <c r="MC199" s="30"/>
      <c r="MD199" s="30"/>
      <c r="ME199" s="30"/>
      <c r="MF199" s="30"/>
      <c r="MG199" s="30"/>
      <c r="MH199" s="30"/>
      <c r="MI199" s="30"/>
      <c r="MJ199" s="30"/>
      <c r="MK199" s="30"/>
      <c r="ML199" s="30"/>
      <c r="MM199" s="30"/>
      <c r="MN199" s="30"/>
      <c r="MO199" s="30"/>
      <c r="MP199" s="30"/>
      <c r="MQ199" s="30"/>
      <c r="MR199" s="30"/>
      <c r="MS199" s="30"/>
      <c r="MT199" s="30"/>
      <c r="MU199" s="30"/>
      <c r="MV199" s="30"/>
      <c r="MW199" s="30"/>
      <c r="MX199" s="30"/>
      <c r="MY199" s="30"/>
      <c r="MZ199" s="30"/>
      <c r="NA199" s="30"/>
      <c r="NB199" s="30"/>
      <c r="NC199" s="30"/>
      <c r="ND199" s="30"/>
      <c r="NE199" s="30"/>
      <c r="NF199" s="30"/>
      <c r="NG199" s="30"/>
      <c r="NH199" s="30"/>
      <c r="NI199" s="30"/>
      <c r="NJ199" s="30"/>
      <c r="NK199" s="30"/>
      <c r="NL199" s="30"/>
      <c r="NM199" s="30"/>
      <c r="NN199" s="30"/>
      <c r="NO199" s="30"/>
      <c r="NP199" s="30"/>
      <c r="NQ199" s="30"/>
      <c r="NR199" s="30"/>
      <c r="NS199" s="30"/>
      <c r="NT199" s="30"/>
      <c r="NU199" s="30"/>
      <c r="NV199" s="30"/>
      <c r="NW199" s="30"/>
      <c r="NX199" s="30"/>
      <c r="NY199" s="30"/>
      <c r="NZ199" s="30"/>
      <c r="OA199" s="30"/>
      <c r="OB199" s="30"/>
      <c r="OC199" s="30"/>
      <c r="OD199" s="30"/>
      <c r="OE199" s="30"/>
      <c r="OF199" s="30"/>
      <c r="OG199" s="30"/>
      <c r="OH199" s="30"/>
      <c r="OI199" s="30"/>
      <c r="OJ199" s="30"/>
      <c r="OK199" s="30"/>
      <c r="OL199" s="30"/>
      <c r="OM199" s="30"/>
      <c r="ON199" s="30"/>
      <c r="OO199" s="30"/>
      <c r="OP199" s="30"/>
      <c r="OQ199" s="30"/>
      <c r="OR199" s="30"/>
      <c r="OS199" s="30"/>
      <c r="OT199" s="30"/>
      <c r="OU199" s="30"/>
      <c r="OV199" s="30"/>
      <c r="OW199" s="30"/>
      <c r="OX199" s="30"/>
      <c r="OY199" s="30"/>
      <c r="OZ199" s="30"/>
      <c r="PA199" s="30"/>
      <c r="PB199" s="30"/>
      <c r="PC199" s="30"/>
      <c r="PD199" s="30"/>
      <c r="PE199" s="30"/>
      <c r="PF199" s="30"/>
      <c r="PG199" s="30"/>
      <c r="PH199" s="30"/>
      <c r="PI199" s="30"/>
      <c r="PJ199" s="30"/>
      <c r="PK199" s="30"/>
      <c r="PL199" s="30"/>
      <c r="PM199" s="30"/>
      <c r="PN199" s="30"/>
      <c r="PO199" s="30"/>
      <c r="PP199" s="30"/>
      <c r="PQ199" s="30"/>
      <c r="PR199" s="30"/>
      <c r="PS199" s="30"/>
      <c r="PT199" s="30"/>
      <c r="PU199" s="30"/>
      <c r="PV199" s="30"/>
      <c r="PW199" s="30"/>
      <c r="PX199" s="30"/>
      <c r="PY199" s="30"/>
      <c r="PZ199" s="30"/>
      <c r="QA199" s="30"/>
      <c r="QB199" s="30"/>
      <c r="QC199" s="30"/>
      <c r="QD199" s="30"/>
      <c r="QE199" s="30"/>
      <c r="QF199" s="30"/>
      <c r="QG199" s="30"/>
      <c r="QH199" s="30"/>
      <c r="QI199" s="30"/>
      <c r="QJ199" s="30"/>
      <c r="QK199" s="30"/>
      <c r="QL199" s="30"/>
      <c r="QM199" s="30"/>
      <c r="QN199" s="30"/>
      <c r="QO199" s="30"/>
      <c r="QP199" s="30"/>
      <c r="QQ199" s="30"/>
      <c r="QR199" s="30"/>
      <c r="QS199" s="30"/>
      <c r="QT199" s="30"/>
      <c r="QU199" s="30"/>
      <c r="QV199" s="30"/>
      <c r="QW199" s="30"/>
      <c r="QX199" s="30"/>
      <c r="QY199" s="30"/>
      <c r="QZ199" s="30"/>
      <c r="RA199" s="30"/>
      <c r="RB199" s="30"/>
      <c r="RC199" s="30"/>
      <c r="RD199" s="30"/>
      <c r="RE199" s="30"/>
      <c r="RF199" s="30"/>
      <c r="RG199" s="30"/>
      <c r="RH199" s="30"/>
      <c r="RI199" s="30"/>
      <c r="RJ199" s="30"/>
      <c r="RK199" s="30"/>
      <c r="RL199" s="30"/>
      <c r="RM199" s="30"/>
      <c r="RN199" s="30"/>
      <c r="RO199" s="30"/>
      <c r="RP199" s="30"/>
      <c r="RQ199" s="30"/>
      <c r="RR199" s="30"/>
      <c r="RS199" s="30"/>
      <c r="RT199" s="30"/>
      <c r="RU199" s="30"/>
      <c r="RV199" s="30"/>
      <c r="RW199" s="30"/>
      <c r="RX199" s="30"/>
      <c r="RY199" s="30"/>
      <c r="RZ199" s="30"/>
      <c r="SA199" s="30"/>
      <c r="SB199" s="30"/>
      <c r="SC199" s="30"/>
      <c r="SD199" s="30"/>
      <c r="SE199" s="30"/>
      <c r="SF199" s="30"/>
      <c r="SG199" s="30"/>
      <c r="SH199" s="30"/>
      <c r="SI199" s="30"/>
      <c r="SJ199" s="30"/>
      <c r="SK199" s="30"/>
      <c r="SL199" s="30"/>
      <c r="SM199" s="30"/>
      <c r="SN199" s="30"/>
      <c r="SO199" s="30"/>
      <c r="SP199" s="30"/>
      <c r="SQ199" s="30"/>
      <c r="SR199" s="30"/>
      <c r="SS199" s="30"/>
      <c r="ST199" s="30"/>
      <c r="SU199" s="30"/>
      <c r="SV199" s="30"/>
      <c r="SW199" s="30"/>
      <c r="SX199" s="30"/>
      <c r="SY199" s="30"/>
      <c r="SZ199" s="30"/>
      <c r="TA199" s="30"/>
      <c r="TB199" s="30"/>
      <c r="TC199" s="30"/>
      <c r="TD199" s="30"/>
      <c r="TE199" s="30"/>
      <c r="TF199" s="30"/>
      <c r="TG199" s="30"/>
    </row>
    <row r="200" spans="1:527" s="22" customFormat="1" ht="18.75" x14ac:dyDescent="0.25">
      <c r="A200" s="59" t="s">
        <v>417</v>
      </c>
      <c r="B200" s="93">
        <v>7323</v>
      </c>
      <c r="C200" s="59" t="s">
        <v>111</v>
      </c>
      <c r="D200" s="134" t="s">
        <v>550</v>
      </c>
      <c r="E200" s="99">
        <f t="shared" si="68"/>
        <v>0</v>
      </c>
      <c r="F200" s="99"/>
      <c r="G200" s="99"/>
      <c r="H200" s="99"/>
      <c r="I200" s="99"/>
      <c r="J200" s="99">
        <f t="shared" si="73"/>
        <v>473213</v>
      </c>
      <c r="K200" s="99">
        <f>400000+73213</f>
        <v>473213</v>
      </c>
      <c r="L200" s="99"/>
      <c r="M200" s="99"/>
      <c r="N200" s="99"/>
      <c r="O200" s="99">
        <f>400000+73213</f>
        <v>473213</v>
      </c>
      <c r="P200" s="99">
        <f t="shared" si="69"/>
        <v>473213</v>
      </c>
      <c r="Q200" s="23"/>
      <c r="R200" s="32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  <c r="TF200" s="23"/>
      <c r="TG200" s="23"/>
    </row>
    <row r="201" spans="1:527" s="22" customFormat="1" ht="22.5" customHeight="1" x14ac:dyDescent="0.25">
      <c r="A201" s="59" t="s">
        <v>265</v>
      </c>
      <c r="B201" s="93" t="str">
        <f>'дод 8'!A253</f>
        <v>9770</v>
      </c>
      <c r="C201" s="93" t="str">
        <f>'дод 8'!B253</f>
        <v>0180</v>
      </c>
      <c r="D201" s="60" t="str">
        <f>'дод 8'!C253</f>
        <v>Інші субвенції з місцевого бюджету</v>
      </c>
      <c r="E201" s="99">
        <f t="shared" si="68"/>
        <v>5230784</v>
      </c>
      <c r="F201" s="99">
        <f>2500000+1145344+1585440</f>
        <v>5230784</v>
      </c>
      <c r="G201" s="99"/>
      <c r="H201" s="99"/>
      <c r="I201" s="99"/>
      <c r="J201" s="99">
        <f t="shared" si="73"/>
        <v>0</v>
      </c>
      <c r="K201" s="99"/>
      <c r="L201" s="99"/>
      <c r="M201" s="99"/>
      <c r="N201" s="99"/>
      <c r="O201" s="99"/>
      <c r="P201" s="99">
        <f t="shared" si="69"/>
        <v>5230784</v>
      </c>
      <c r="Q201" s="23"/>
      <c r="R201" s="32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  <c r="SQ201" s="23"/>
      <c r="SR201" s="23"/>
      <c r="SS201" s="23"/>
      <c r="ST201" s="23"/>
      <c r="SU201" s="23"/>
      <c r="SV201" s="23"/>
      <c r="SW201" s="23"/>
      <c r="SX201" s="23"/>
      <c r="SY201" s="23"/>
      <c r="SZ201" s="23"/>
      <c r="TA201" s="23"/>
      <c r="TB201" s="23"/>
      <c r="TC201" s="23"/>
      <c r="TD201" s="23"/>
      <c r="TE201" s="23"/>
      <c r="TF201" s="23"/>
      <c r="TG201" s="23"/>
    </row>
    <row r="202" spans="1:527" s="27" customFormat="1" ht="31.5" x14ac:dyDescent="0.25">
      <c r="A202" s="106" t="s">
        <v>188</v>
      </c>
      <c r="B202" s="39"/>
      <c r="C202" s="39"/>
      <c r="D202" s="107" t="s">
        <v>363</v>
      </c>
      <c r="E202" s="95">
        <f>E203</f>
        <v>5902461</v>
      </c>
      <c r="F202" s="95">
        <f t="shared" ref="F202:J202" si="74">F203</f>
        <v>5902461</v>
      </c>
      <c r="G202" s="95">
        <f t="shared" si="74"/>
        <v>4491300</v>
      </c>
      <c r="H202" s="95">
        <f t="shared" si="74"/>
        <v>68181</v>
      </c>
      <c r="I202" s="95">
        <f t="shared" si="74"/>
        <v>0</v>
      </c>
      <c r="J202" s="95">
        <f t="shared" si="74"/>
        <v>10322698</v>
      </c>
      <c r="K202" s="95">
        <f t="shared" ref="K202" si="75">K203</f>
        <v>10322698</v>
      </c>
      <c r="L202" s="95">
        <f t="shared" ref="L202" si="76">L203</f>
        <v>0</v>
      </c>
      <c r="M202" s="95">
        <f t="shared" ref="M202" si="77">M203</f>
        <v>0</v>
      </c>
      <c r="N202" s="95">
        <f t="shared" ref="N202" si="78">N203</f>
        <v>0</v>
      </c>
      <c r="O202" s="95">
        <f t="shared" ref="O202:P202" si="79">O203</f>
        <v>10322698</v>
      </c>
      <c r="P202" s="95">
        <f t="shared" si="79"/>
        <v>16225159</v>
      </c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  <c r="CU202" s="32"/>
      <c r="CV202" s="32"/>
      <c r="CW202" s="32"/>
      <c r="CX202" s="32"/>
      <c r="CY202" s="32"/>
      <c r="CZ202" s="32"/>
      <c r="DA202" s="32"/>
      <c r="DB202" s="32"/>
      <c r="DC202" s="32"/>
      <c r="DD202" s="32"/>
      <c r="DE202" s="32"/>
      <c r="DF202" s="32"/>
      <c r="DG202" s="32"/>
      <c r="DH202" s="32"/>
      <c r="DI202" s="32"/>
      <c r="DJ202" s="32"/>
      <c r="DK202" s="32"/>
      <c r="DL202" s="32"/>
      <c r="DM202" s="32"/>
      <c r="DN202" s="32"/>
      <c r="DO202" s="32"/>
      <c r="DP202" s="32"/>
      <c r="DQ202" s="32"/>
      <c r="DR202" s="32"/>
      <c r="DS202" s="32"/>
      <c r="DT202" s="32"/>
      <c r="DU202" s="32"/>
      <c r="DV202" s="32"/>
      <c r="DW202" s="32"/>
      <c r="DX202" s="32"/>
      <c r="DY202" s="32"/>
      <c r="DZ202" s="32"/>
      <c r="EA202" s="32"/>
      <c r="EB202" s="32"/>
      <c r="EC202" s="32"/>
      <c r="ED202" s="32"/>
      <c r="EE202" s="32"/>
      <c r="EF202" s="32"/>
      <c r="EG202" s="32"/>
      <c r="EH202" s="32"/>
      <c r="EI202" s="32"/>
      <c r="EJ202" s="32"/>
      <c r="EK202" s="32"/>
      <c r="EL202" s="32"/>
      <c r="EM202" s="32"/>
      <c r="EN202" s="32"/>
      <c r="EO202" s="32"/>
      <c r="EP202" s="32"/>
      <c r="EQ202" s="32"/>
      <c r="ER202" s="32"/>
      <c r="ES202" s="32"/>
      <c r="ET202" s="32"/>
      <c r="EU202" s="32"/>
      <c r="EV202" s="32"/>
      <c r="EW202" s="32"/>
      <c r="EX202" s="32"/>
      <c r="EY202" s="32"/>
      <c r="EZ202" s="32"/>
      <c r="FA202" s="32"/>
      <c r="FB202" s="32"/>
      <c r="FC202" s="32"/>
      <c r="FD202" s="32"/>
      <c r="FE202" s="32"/>
      <c r="FF202" s="32"/>
      <c r="FG202" s="32"/>
      <c r="FH202" s="32"/>
      <c r="FI202" s="32"/>
      <c r="FJ202" s="32"/>
      <c r="FK202" s="32"/>
      <c r="FL202" s="32"/>
      <c r="FM202" s="32"/>
      <c r="FN202" s="32"/>
      <c r="FO202" s="32"/>
      <c r="FP202" s="32"/>
      <c r="FQ202" s="32"/>
      <c r="FR202" s="32"/>
      <c r="FS202" s="32"/>
      <c r="FT202" s="32"/>
      <c r="FU202" s="32"/>
      <c r="FV202" s="32"/>
      <c r="FW202" s="32"/>
      <c r="FX202" s="32"/>
      <c r="FY202" s="32"/>
      <c r="FZ202" s="32"/>
      <c r="GA202" s="32"/>
      <c r="GB202" s="32"/>
      <c r="GC202" s="32"/>
      <c r="GD202" s="32"/>
      <c r="GE202" s="32"/>
      <c r="GF202" s="32"/>
      <c r="GG202" s="32"/>
      <c r="GH202" s="32"/>
      <c r="GI202" s="32"/>
      <c r="GJ202" s="32"/>
      <c r="GK202" s="32"/>
      <c r="GL202" s="32"/>
      <c r="GM202" s="32"/>
      <c r="GN202" s="32"/>
      <c r="GO202" s="32"/>
      <c r="GP202" s="32"/>
      <c r="GQ202" s="32"/>
      <c r="GR202" s="32"/>
      <c r="GS202" s="32"/>
      <c r="GT202" s="32"/>
      <c r="GU202" s="32"/>
      <c r="GV202" s="32"/>
      <c r="GW202" s="32"/>
      <c r="GX202" s="32"/>
      <c r="GY202" s="32"/>
      <c r="GZ202" s="32"/>
      <c r="HA202" s="32"/>
      <c r="HB202" s="32"/>
      <c r="HC202" s="32"/>
      <c r="HD202" s="32"/>
      <c r="HE202" s="32"/>
      <c r="HF202" s="32"/>
      <c r="HG202" s="32"/>
      <c r="HH202" s="32"/>
      <c r="HI202" s="32"/>
      <c r="HJ202" s="32"/>
      <c r="HK202" s="32"/>
      <c r="HL202" s="32"/>
      <c r="HM202" s="32"/>
      <c r="HN202" s="32"/>
      <c r="HO202" s="32"/>
      <c r="HP202" s="32"/>
      <c r="HQ202" s="32"/>
      <c r="HR202" s="32"/>
      <c r="HS202" s="32"/>
      <c r="HT202" s="32"/>
      <c r="HU202" s="32"/>
      <c r="HV202" s="32"/>
      <c r="HW202" s="32"/>
      <c r="HX202" s="32"/>
      <c r="HY202" s="32"/>
      <c r="HZ202" s="32"/>
      <c r="IA202" s="32"/>
      <c r="IB202" s="32"/>
      <c r="IC202" s="32"/>
      <c r="ID202" s="32"/>
      <c r="IE202" s="32"/>
      <c r="IF202" s="32"/>
      <c r="IG202" s="32"/>
      <c r="IH202" s="32"/>
      <c r="II202" s="32"/>
      <c r="IJ202" s="32"/>
      <c r="IK202" s="32"/>
      <c r="IL202" s="32"/>
      <c r="IM202" s="32"/>
      <c r="IN202" s="32"/>
      <c r="IO202" s="32"/>
      <c r="IP202" s="32"/>
      <c r="IQ202" s="32"/>
      <c r="IR202" s="32"/>
      <c r="IS202" s="32"/>
      <c r="IT202" s="32"/>
      <c r="IU202" s="32"/>
      <c r="IV202" s="32"/>
      <c r="IW202" s="32"/>
      <c r="IX202" s="32"/>
      <c r="IY202" s="32"/>
      <c r="IZ202" s="32"/>
      <c r="JA202" s="32"/>
      <c r="JB202" s="32"/>
      <c r="JC202" s="32"/>
      <c r="JD202" s="32"/>
      <c r="JE202" s="32"/>
      <c r="JF202" s="32"/>
      <c r="JG202" s="32"/>
      <c r="JH202" s="32"/>
      <c r="JI202" s="32"/>
      <c r="JJ202" s="32"/>
      <c r="JK202" s="32"/>
      <c r="JL202" s="32"/>
      <c r="JM202" s="32"/>
      <c r="JN202" s="32"/>
      <c r="JO202" s="32"/>
      <c r="JP202" s="32"/>
      <c r="JQ202" s="32"/>
      <c r="JR202" s="32"/>
      <c r="JS202" s="32"/>
      <c r="JT202" s="32"/>
      <c r="JU202" s="32"/>
      <c r="JV202" s="32"/>
      <c r="JW202" s="32"/>
      <c r="JX202" s="32"/>
      <c r="JY202" s="32"/>
      <c r="JZ202" s="32"/>
      <c r="KA202" s="32"/>
      <c r="KB202" s="32"/>
      <c r="KC202" s="32"/>
      <c r="KD202" s="32"/>
      <c r="KE202" s="32"/>
      <c r="KF202" s="32"/>
      <c r="KG202" s="32"/>
      <c r="KH202" s="32"/>
      <c r="KI202" s="32"/>
      <c r="KJ202" s="32"/>
      <c r="KK202" s="32"/>
      <c r="KL202" s="32"/>
      <c r="KM202" s="32"/>
      <c r="KN202" s="32"/>
      <c r="KO202" s="32"/>
      <c r="KP202" s="32"/>
      <c r="KQ202" s="32"/>
      <c r="KR202" s="32"/>
      <c r="KS202" s="32"/>
      <c r="KT202" s="32"/>
      <c r="KU202" s="32"/>
      <c r="KV202" s="32"/>
      <c r="KW202" s="32"/>
      <c r="KX202" s="32"/>
      <c r="KY202" s="32"/>
      <c r="KZ202" s="32"/>
      <c r="LA202" s="32"/>
      <c r="LB202" s="32"/>
      <c r="LC202" s="32"/>
      <c r="LD202" s="32"/>
      <c r="LE202" s="32"/>
      <c r="LF202" s="32"/>
      <c r="LG202" s="32"/>
      <c r="LH202" s="32"/>
      <c r="LI202" s="32"/>
      <c r="LJ202" s="32"/>
      <c r="LK202" s="32"/>
      <c r="LL202" s="32"/>
      <c r="LM202" s="32"/>
      <c r="LN202" s="32"/>
      <c r="LO202" s="32"/>
      <c r="LP202" s="32"/>
      <c r="LQ202" s="32"/>
      <c r="LR202" s="32"/>
      <c r="LS202" s="32"/>
      <c r="LT202" s="32"/>
      <c r="LU202" s="32"/>
      <c r="LV202" s="32"/>
      <c r="LW202" s="32"/>
      <c r="LX202" s="32"/>
      <c r="LY202" s="32"/>
      <c r="LZ202" s="32"/>
      <c r="MA202" s="32"/>
      <c r="MB202" s="32"/>
      <c r="MC202" s="32"/>
      <c r="MD202" s="32"/>
      <c r="ME202" s="32"/>
      <c r="MF202" s="32"/>
      <c r="MG202" s="32"/>
      <c r="MH202" s="32"/>
      <c r="MI202" s="32"/>
      <c r="MJ202" s="32"/>
      <c r="MK202" s="32"/>
      <c r="ML202" s="32"/>
      <c r="MM202" s="32"/>
      <c r="MN202" s="32"/>
      <c r="MO202" s="32"/>
      <c r="MP202" s="32"/>
      <c r="MQ202" s="32"/>
      <c r="MR202" s="32"/>
      <c r="MS202" s="32"/>
      <c r="MT202" s="32"/>
      <c r="MU202" s="32"/>
      <c r="MV202" s="32"/>
      <c r="MW202" s="32"/>
      <c r="MX202" s="32"/>
      <c r="MY202" s="32"/>
      <c r="MZ202" s="32"/>
      <c r="NA202" s="32"/>
      <c r="NB202" s="32"/>
      <c r="NC202" s="32"/>
      <c r="ND202" s="32"/>
      <c r="NE202" s="32"/>
      <c r="NF202" s="32"/>
      <c r="NG202" s="32"/>
      <c r="NH202" s="32"/>
      <c r="NI202" s="32"/>
      <c r="NJ202" s="32"/>
      <c r="NK202" s="32"/>
      <c r="NL202" s="32"/>
      <c r="NM202" s="32"/>
      <c r="NN202" s="32"/>
      <c r="NO202" s="32"/>
      <c r="NP202" s="32"/>
      <c r="NQ202" s="32"/>
      <c r="NR202" s="32"/>
      <c r="NS202" s="32"/>
      <c r="NT202" s="32"/>
      <c r="NU202" s="32"/>
      <c r="NV202" s="32"/>
      <c r="NW202" s="32"/>
      <c r="NX202" s="32"/>
      <c r="NY202" s="32"/>
      <c r="NZ202" s="32"/>
      <c r="OA202" s="32"/>
      <c r="OB202" s="32"/>
      <c r="OC202" s="32"/>
      <c r="OD202" s="32"/>
      <c r="OE202" s="32"/>
      <c r="OF202" s="32"/>
      <c r="OG202" s="32"/>
      <c r="OH202" s="32"/>
      <c r="OI202" s="32"/>
      <c r="OJ202" s="32"/>
      <c r="OK202" s="32"/>
      <c r="OL202" s="32"/>
      <c r="OM202" s="32"/>
      <c r="ON202" s="32"/>
      <c r="OO202" s="32"/>
      <c r="OP202" s="32"/>
      <c r="OQ202" s="32"/>
      <c r="OR202" s="32"/>
      <c r="OS202" s="32"/>
      <c r="OT202" s="32"/>
      <c r="OU202" s="32"/>
      <c r="OV202" s="32"/>
      <c r="OW202" s="32"/>
      <c r="OX202" s="32"/>
      <c r="OY202" s="32"/>
      <c r="OZ202" s="32"/>
      <c r="PA202" s="32"/>
      <c r="PB202" s="32"/>
      <c r="PC202" s="32"/>
      <c r="PD202" s="32"/>
      <c r="PE202" s="32"/>
      <c r="PF202" s="32"/>
      <c r="PG202" s="32"/>
      <c r="PH202" s="32"/>
      <c r="PI202" s="32"/>
      <c r="PJ202" s="32"/>
      <c r="PK202" s="32"/>
      <c r="PL202" s="32"/>
      <c r="PM202" s="32"/>
      <c r="PN202" s="32"/>
      <c r="PO202" s="32"/>
      <c r="PP202" s="32"/>
      <c r="PQ202" s="32"/>
      <c r="PR202" s="32"/>
      <c r="PS202" s="32"/>
      <c r="PT202" s="32"/>
      <c r="PU202" s="32"/>
      <c r="PV202" s="32"/>
      <c r="PW202" s="32"/>
      <c r="PX202" s="32"/>
      <c r="PY202" s="32"/>
      <c r="PZ202" s="32"/>
      <c r="QA202" s="32"/>
      <c r="QB202" s="32"/>
      <c r="QC202" s="32"/>
      <c r="QD202" s="32"/>
      <c r="QE202" s="32"/>
      <c r="QF202" s="32"/>
      <c r="QG202" s="32"/>
      <c r="QH202" s="32"/>
      <c r="QI202" s="32"/>
      <c r="QJ202" s="32"/>
      <c r="QK202" s="32"/>
      <c r="QL202" s="32"/>
      <c r="QM202" s="32"/>
      <c r="QN202" s="32"/>
      <c r="QO202" s="32"/>
      <c r="QP202" s="32"/>
      <c r="QQ202" s="32"/>
      <c r="QR202" s="32"/>
      <c r="QS202" s="32"/>
      <c r="QT202" s="32"/>
      <c r="QU202" s="32"/>
      <c r="QV202" s="32"/>
      <c r="QW202" s="32"/>
      <c r="QX202" s="32"/>
      <c r="QY202" s="32"/>
      <c r="QZ202" s="32"/>
      <c r="RA202" s="32"/>
      <c r="RB202" s="32"/>
      <c r="RC202" s="32"/>
      <c r="RD202" s="32"/>
      <c r="RE202" s="32"/>
      <c r="RF202" s="32"/>
      <c r="RG202" s="32"/>
      <c r="RH202" s="32"/>
      <c r="RI202" s="32"/>
      <c r="RJ202" s="32"/>
      <c r="RK202" s="32"/>
      <c r="RL202" s="32"/>
      <c r="RM202" s="32"/>
      <c r="RN202" s="32"/>
      <c r="RO202" s="32"/>
      <c r="RP202" s="32"/>
      <c r="RQ202" s="32"/>
      <c r="RR202" s="32"/>
      <c r="RS202" s="32"/>
      <c r="RT202" s="32"/>
      <c r="RU202" s="32"/>
      <c r="RV202" s="32"/>
      <c r="RW202" s="32"/>
      <c r="RX202" s="32"/>
      <c r="RY202" s="32"/>
      <c r="RZ202" s="32"/>
      <c r="SA202" s="32"/>
      <c r="SB202" s="32"/>
      <c r="SC202" s="32"/>
      <c r="SD202" s="32"/>
      <c r="SE202" s="32"/>
      <c r="SF202" s="32"/>
      <c r="SG202" s="32"/>
      <c r="SH202" s="32"/>
      <c r="SI202" s="32"/>
      <c r="SJ202" s="32"/>
      <c r="SK202" s="32"/>
      <c r="SL202" s="32"/>
      <c r="SM202" s="32"/>
      <c r="SN202" s="32"/>
      <c r="SO202" s="32"/>
      <c r="SP202" s="32"/>
      <c r="SQ202" s="32"/>
      <c r="SR202" s="32"/>
      <c r="SS202" s="32"/>
      <c r="ST202" s="32"/>
      <c r="SU202" s="32"/>
      <c r="SV202" s="32"/>
      <c r="SW202" s="32"/>
      <c r="SX202" s="32"/>
      <c r="SY202" s="32"/>
      <c r="SZ202" s="32"/>
      <c r="TA202" s="32"/>
      <c r="TB202" s="32"/>
      <c r="TC202" s="32"/>
      <c r="TD202" s="32"/>
      <c r="TE202" s="32"/>
      <c r="TF202" s="32"/>
      <c r="TG202" s="32"/>
    </row>
    <row r="203" spans="1:527" s="34" customFormat="1" ht="31.5" x14ac:dyDescent="0.25">
      <c r="A203" s="108" t="s">
        <v>189</v>
      </c>
      <c r="B203" s="74"/>
      <c r="C203" s="74"/>
      <c r="D203" s="77" t="s">
        <v>363</v>
      </c>
      <c r="E203" s="98">
        <f>E205+E206+E207+E208</f>
        <v>5902461</v>
      </c>
      <c r="F203" s="98">
        <f t="shared" ref="F203:P203" si="80">F205+F206+F207+F208</f>
        <v>5902461</v>
      </c>
      <c r="G203" s="98">
        <f t="shared" si="80"/>
        <v>4491300</v>
      </c>
      <c r="H203" s="98">
        <f t="shared" si="80"/>
        <v>68181</v>
      </c>
      <c r="I203" s="98">
        <f t="shared" si="80"/>
        <v>0</v>
      </c>
      <c r="J203" s="98">
        <f t="shared" si="80"/>
        <v>10322698</v>
      </c>
      <c r="K203" s="98">
        <f>K205+K206+K207+K208</f>
        <v>10322698</v>
      </c>
      <c r="L203" s="98">
        <f t="shared" si="80"/>
        <v>0</v>
      </c>
      <c r="M203" s="98">
        <f t="shared" si="80"/>
        <v>0</v>
      </c>
      <c r="N203" s="98">
        <f t="shared" si="80"/>
        <v>0</v>
      </c>
      <c r="O203" s="98">
        <f t="shared" si="80"/>
        <v>10322698</v>
      </c>
      <c r="P203" s="98">
        <f t="shared" si="80"/>
        <v>16225159</v>
      </c>
      <c r="Q203" s="33"/>
      <c r="R203" s="32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  <c r="DH203" s="33"/>
      <c r="DI203" s="33"/>
      <c r="DJ203" s="33"/>
      <c r="DK203" s="33"/>
      <c r="DL203" s="33"/>
      <c r="DM203" s="33"/>
      <c r="DN203" s="33"/>
      <c r="DO203" s="33"/>
      <c r="DP203" s="33"/>
      <c r="DQ203" s="33"/>
      <c r="DR203" s="33"/>
      <c r="DS203" s="33"/>
      <c r="DT203" s="33"/>
      <c r="DU203" s="33"/>
      <c r="DV203" s="33"/>
      <c r="DW203" s="33"/>
      <c r="DX203" s="33"/>
      <c r="DY203" s="33"/>
      <c r="DZ203" s="33"/>
      <c r="EA203" s="33"/>
      <c r="EB203" s="33"/>
      <c r="EC203" s="33"/>
      <c r="ED203" s="33"/>
      <c r="EE203" s="33"/>
      <c r="EF203" s="33"/>
      <c r="EG203" s="33"/>
      <c r="EH203" s="33"/>
      <c r="EI203" s="33"/>
      <c r="EJ203" s="33"/>
      <c r="EK203" s="33"/>
      <c r="EL203" s="33"/>
      <c r="EM203" s="33"/>
      <c r="EN203" s="33"/>
      <c r="EO203" s="33"/>
      <c r="EP203" s="33"/>
      <c r="EQ203" s="33"/>
      <c r="ER203" s="33"/>
      <c r="ES203" s="33"/>
      <c r="ET203" s="33"/>
      <c r="EU203" s="33"/>
      <c r="EV203" s="33"/>
      <c r="EW203" s="33"/>
      <c r="EX203" s="33"/>
      <c r="EY203" s="33"/>
      <c r="EZ203" s="33"/>
      <c r="FA203" s="33"/>
      <c r="FB203" s="33"/>
      <c r="FC203" s="33"/>
      <c r="FD203" s="33"/>
      <c r="FE203" s="33"/>
      <c r="FF203" s="33"/>
      <c r="FG203" s="33"/>
      <c r="FH203" s="33"/>
      <c r="FI203" s="33"/>
      <c r="FJ203" s="33"/>
      <c r="FK203" s="33"/>
      <c r="FL203" s="33"/>
      <c r="FM203" s="33"/>
      <c r="FN203" s="33"/>
      <c r="FO203" s="33"/>
      <c r="FP203" s="33"/>
      <c r="FQ203" s="33"/>
      <c r="FR203" s="33"/>
      <c r="FS203" s="33"/>
      <c r="FT203" s="33"/>
      <c r="FU203" s="33"/>
      <c r="FV203" s="33"/>
      <c r="FW203" s="33"/>
      <c r="FX203" s="33"/>
      <c r="FY203" s="33"/>
      <c r="FZ203" s="33"/>
      <c r="GA203" s="33"/>
      <c r="GB203" s="33"/>
      <c r="GC203" s="33"/>
      <c r="GD203" s="33"/>
      <c r="GE203" s="33"/>
      <c r="GF203" s="33"/>
      <c r="GG203" s="33"/>
      <c r="GH203" s="33"/>
      <c r="GI203" s="33"/>
      <c r="GJ203" s="33"/>
      <c r="GK203" s="33"/>
      <c r="GL203" s="33"/>
      <c r="GM203" s="33"/>
      <c r="GN203" s="33"/>
      <c r="GO203" s="33"/>
      <c r="GP203" s="33"/>
      <c r="GQ203" s="33"/>
      <c r="GR203" s="33"/>
      <c r="GS203" s="33"/>
      <c r="GT203" s="33"/>
      <c r="GU203" s="33"/>
      <c r="GV203" s="33"/>
      <c r="GW203" s="33"/>
      <c r="GX203" s="33"/>
      <c r="GY203" s="33"/>
      <c r="GZ203" s="33"/>
      <c r="HA203" s="33"/>
      <c r="HB203" s="33"/>
      <c r="HC203" s="33"/>
      <c r="HD203" s="33"/>
      <c r="HE203" s="33"/>
      <c r="HF203" s="33"/>
      <c r="HG203" s="33"/>
      <c r="HH203" s="33"/>
      <c r="HI203" s="33"/>
      <c r="HJ203" s="33"/>
      <c r="HK203" s="33"/>
      <c r="HL203" s="33"/>
      <c r="HM203" s="33"/>
      <c r="HN203" s="33"/>
      <c r="HO203" s="33"/>
      <c r="HP203" s="33"/>
      <c r="HQ203" s="33"/>
      <c r="HR203" s="33"/>
      <c r="HS203" s="33"/>
      <c r="HT203" s="33"/>
      <c r="HU203" s="33"/>
      <c r="HV203" s="33"/>
      <c r="HW203" s="33"/>
      <c r="HX203" s="33"/>
      <c r="HY203" s="33"/>
      <c r="HZ203" s="33"/>
      <c r="IA203" s="33"/>
      <c r="IB203" s="33"/>
      <c r="IC203" s="33"/>
      <c r="ID203" s="33"/>
      <c r="IE203" s="33"/>
      <c r="IF203" s="33"/>
      <c r="IG203" s="33"/>
      <c r="IH203" s="33"/>
      <c r="II203" s="33"/>
      <c r="IJ203" s="33"/>
      <c r="IK203" s="33"/>
      <c r="IL203" s="33"/>
      <c r="IM203" s="33"/>
      <c r="IN203" s="33"/>
      <c r="IO203" s="33"/>
      <c r="IP203" s="33"/>
      <c r="IQ203" s="33"/>
      <c r="IR203" s="33"/>
      <c r="IS203" s="33"/>
      <c r="IT203" s="33"/>
      <c r="IU203" s="33"/>
      <c r="IV203" s="33"/>
      <c r="IW203" s="33"/>
      <c r="IX203" s="33"/>
      <c r="IY203" s="33"/>
      <c r="IZ203" s="33"/>
      <c r="JA203" s="33"/>
      <c r="JB203" s="33"/>
      <c r="JC203" s="33"/>
      <c r="JD203" s="33"/>
      <c r="JE203" s="33"/>
      <c r="JF203" s="33"/>
      <c r="JG203" s="33"/>
      <c r="JH203" s="33"/>
      <c r="JI203" s="33"/>
      <c r="JJ203" s="33"/>
      <c r="JK203" s="33"/>
      <c r="JL203" s="33"/>
      <c r="JM203" s="33"/>
      <c r="JN203" s="33"/>
      <c r="JO203" s="33"/>
      <c r="JP203" s="33"/>
      <c r="JQ203" s="33"/>
      <c r="JR203" s="33"/>
      <c r="JS203" s="33"/>
      <c r="JT203" s="33"/>
      <c r="JU203" s="33"/>
      <c r="JV203" s="33"/>
      <c r="JW203" s="33"/>
      <c r="JX203" s="33"/>
      <c r="JY203" s="33"/>
      <c r="JZ203" s="33"/>
      <c r="KA203" s="33"/>
      <c r="KB203" s="33"/>
      <c r="KC203" s="33"/>
      <c r="KD203" s="33"/>
      <c r="KE203" s="33"/>
      <c r="KF203" s="33"/>
      <c r="KG203" s="33"/>
      <c r="KH203" s="33"/>
      <c r="KI203" s="33"/>
      <c r="KJ203" s="33"/>
      <c r="KK203" s="33"/>
      <c r="KL203" s="33"/>
      <c r="KM203" s="33"/>
      <c r="KN203" s="33"/>
      <c r="KO203" s="33"/>
      <c r="KP203" s="33"/>
      <c r="KQ203" s="33"/>
      <c r="KR203" s="33"/>
      <c r="KS203" s="33"/>
      <c r="KT203" s="33"/>
      <c r="KU203" s="33"/>
      <c r="KV203" s="33"/>
      <c r="KW203" s="33"/>
      <c r="KX203" s="33"/>
      <c r="KY203" s="33"/>
      <c r="KZ203" s="33"/>
      <c r="LA203" s="33"/>
      <c r="LB203" s="33"/>
      <c r="LC203" s="33"/>
      <c r="LD203" s="33"/>
      <c r="LE203" s="33"/>
      <c r="LF203" s="33"/>
      <c r="LG203" s="33"/>
      <c r="LH203" s="33"/>
      <c r="LI203" s="33"/>
      <c r="LJ203" s="33"/>
      <c r="LK203" s="33"/>
      <c r="LL203" s="33"/>
      <c r="LM203" s="33"/>
      <c r="LN203" s="33"/>
      <c r="LO203" s="33"/>
      <c r="LP203" s="33"/>
      <c r="LQ203" s="33"/>
      <c r="LR203" s="33"/>
      <c r="LS203" s="33"/>
      <c r="LT203" s="33"/>
      <c r="LU203" s="33"/>
      <c r="LV203" s="33"/>
      <c r="LW203" s="33"/>
      <c r="LX203" s="33"/>
      <c r="LY203" s="33"/>
      <c r="LZ203" s="33"/>
      <c r="MA203" s="33"/>
      <c r="MB203" s="33"/>
      <c r="MC203" s="33"/>
      <c r="MD203" s="33"/>
      <c r="ME203" s="33"/>
      <c r="MF203" s="33"/>
      <c r="MG203" s="33"/>
      <c r="MH203" s="33"/>
      <c r="MI203" s="33"/>
      <c r="MJ203" s="33"/>
      <c r="MK203" s="33"/>
      <c r="ML203" s="33"/>
      <c r="MM203" s="33"/>
      <c r="MN203" s="33"/>
      <c r="MO203" s="33"/>
      <c r="MP203" s="33"/>
      <c r="MQ203" s="33"/>
      <c r="MR203" s="33"/>
      <c r="MS203" s="33"/>
      <c r="MT203" s="33"/>
      <c r="MU203" s="33"/>
      <c r="MV203" s="33"/>
      <c r="MW203" s="33"/>
      <c r="MX203" s="33"/>
      <c r="MY203" s="33"/>
      <c r="MZ203" s="33"/>
      <c r="NA203" s="33"/>
      <c r="NB203" s="33"/>
      <c r="NC203" s="33"/>
      <c r="ND203" s="33"/>
      <c r="NE203" s="33"/>
      <c r="NF203" s="33"/>
      <c r="NG203" s="33"/>
      <c r="NH203" s="33"/>
      <c r="NI203" s="33"/>
      <c r="NJ203" s="33"/>
      <c r="NK203" s="33"/>
      <c r="NL203" s="33"/>
      <c r="NM203" s="33"/>
      <c r="NN203" s="33"/>
      <c r="NO203" s="33"/>
      <c r="NP203" s="33"/>
      <c r="NQ203" s="33"/>
      <c r="NR203" s="33"/>
      <c r="NS203" s="33"/>
      <c r="NT203" s="33"/>
      <c r="NU203" s="33"/>
      <c r="NV203" s="33"/>
      <c r="NW203" s="33"/>
      <c r="NX203" s="33"/>
      <c r="NY203" s="33"/>
      <c r="NZ203" s="33"/>
      <c r="OA203" s="33"/>
      <c r="OB203" s="33"/>
      <c r="OC203" s="33"/>
      <c r="OD203" s="33"/>
      <c r="OE203" s="33"/>
      <c r="OF203" s="33"/>
      <c r="OG203" s="33"/>
      <c r="OH203" s="33"/>
      <c r="OI203" s="33"/>
      <c r="OJ203" s="33"/>
      <c r="OK203" s="33"/>
      <c r="OL203" s="33"/>
      <c r="OM203" s="33"/>
      <c r="ON203" s="33"/>
      <c r="OO203" s="33"/>
      <c r="OP203" s="33"/>
      <c r="OQ203" s="33"/>
      <c r="OR203" s="33"/>
      <c r="OS203" s="33"/>
      <c r="OT203" s="33"/>
      <c r="OU203" s="33"/>
      <c r="OV203" s="33"/>
      <c r="OW203" s="33"/>
      <c r="OX203" s="33"/>
      <c r="OY203" s="33"/>
      <c r="OZ203" s="33"/>
      <c r="PA203" s="33"/>
      <c r="PB203" s="33"/>
      <c r="PC203" s="33"/>
      <c r="PD203" s="33"/>
      <c r="PE203" s="33"/>
      <c r="PF203" s="33"/>
      <c r="PG203" s="33"/>
      <c r="PH203" s="33"/>
      <c r="PI203" s="33"/>
      <c r="PJ203" s="33"/>
      <c r="PK203" s="33"/>
      <c r="PL203" s="33"/>
      <c r="PM203" s="33"/>
      <c r="PN203" s="33"/>
      <c r="PO203" s="33"/>
      <c r="PP203" s="33"/>
      <c r="PQ203" s="33"/>
      <c r="PR203" s="33"/>
      <c r="PS203" s="33"/>
      <c r="PT203" s="33"/>
      <c r="PU203" s="33"/>
      <c r="PV203" s="33"/>
      <c r="PW203" s="33"/>
      <c r="PX203" s="33"/>
      <c r="PY203" s="33"/>
      <c r="PZ203" s="33"/>
      <c r="QA203" s="33"/>
      <c r="QB203" s="33"/>
      <c r="QC203" s="33"/>
      <c r="QD203" s="33"/>
      <c r="QE203" s="33"/>
      <c r="QF203" s="33"/>
      <c r="QG203" s="33"/>
      <c r="QH203" s="33"/>
      <c r="QI203" s="33"/>
      <c r="QJ203" s="33"/>
      <c r="QK203" s="33"/>
      <c r="QL203" s="33"/>
      <c r="QM203" s="33"/>
      <c r="QN203" s="33"/>
      <c r="QO203" s="33"/>
      <c r="QP203" s="33"/>
      <c r="QQ203" s="33"/>
      <c r="QR203" s="33"/>
      <c r="QS203" s="33"/>
      <c r="QT203" s="33"/>
      <c r="QU203" s="33"/>
      <c r="QV203" s="33"/>
      <c r="QW203" s="33"/>
      <c r="QX203" s="33"/>
      <c r="QY203" s="33"/>
      <c r="QZ203" s="33"/>
      <c r="RA203" s="33"/>
      <c r="RB203" s="33"/>
      <c r="RC203" s="33"/>
      <c r="RD203" s="33"/>
      <c r="RE203" s="33"/>
      <c r="RF203" s="33"/>
      <c r="RG203" s="33"/>
      <c r="RH203" s="33"/>
      <c r="RI203" s="33"/>
      <c r="RJ203" s="33"/>
      <c r="RK203" s="33"/>
      <c r="RL203" s="33"/>
      <c r="RM203" s="33"/>
      <c r="RN203" s="33"/>
      <c r="RO203" s="33"/>
      <c r="RP203" s="33"/>
      <c r="RQ203" s="33"/>
      <c r="RR203" s="33"/>
      <c r="RS203" s="33"/>
      <c r="RT203" s="33"/>
      <c r="RU203" s="33"/>
      <c r="RV203" s="33"/>
      <c r="RW203" s="33"/>
      <c r="RX203" s="33"/>
      <c r="RY203" s="33"/>
      <c r="RZ203" s="33"/>
      <c r="SA203" s="33"/>
      <c r="SB203" s="33"/>
      <c r="SC203" s="33"/>
      <c r="SD203" s="33"/>
      <c r="SE203" s="33"/>
      <c r="SF203" s="33"/>
      <c r="SG203" s="33"/>
      <c r="SH203" s="33"/>
      <c r="SI203" s="33"/>
      <c r="SJ203" s="33"/>
      <c r="SK203" s="33"/>
      <c r="SL203" s="33"/>
      <c r="SM203" s="33"/>
      <c r="SN203" s="33"/>
      <c r="SO203" s="33"/>
      <c r="SP203" s="33"/>
      <c r="SQ203" s="33"/>
      <c r="SR203" s="33"/>
      <c r="SS203" s="33"/>
      <c r="ST203" s="33"/>
      <c r="SU203" s="33"/>
      <c r="SV203" s="33"/>
      <c r="SW203" s="33"/>
      <c r="SX203" s="33"/>
      <c r="SY203" s="33"/>
      <c r="SZ203" s="33"/>
      <c r="TA203" s="33"/>
      <c r="TB203" s="33"/>
      <c r="TC203" s="33"/>
      <c r="TD203" s="33"/>
      <c r="TE203" s="33"/>
      <c r="TF203" s="33"/>
      <c r="TG203" s="33"/>
    </row>
    <row r="204" spans="1:527" s="34" customFormat="1" ht="126" x14ac:dyDescent="0.25">
      <c r="A204" s="108"/>
      <c r="B204" s="74"/>
      <c r="C204" s="74"/>
      <c r="D204" s="77" t="s">
        <v>445</v>
      </c>
      <c r="E204" s="98">
        <f>E209</f>
        <v>0</v>
      </c>
      <c r="F204" s="98">
        <f t="shared" ref="F204:P204" si="81">F209</f>
        <v>0</v>
      </c>
      <c r="G204" s="98">
        <f t="shared" si="81"/>
        <v>0</v>
      </c>
      <c r="H204" s="98">
        <f t="shared" si="81"/>
        <v>0</v>
      </c>
      <c r="I204" s="98">
        <f t="shared" si="81"/>
        <v>0</v>
      </c>
      <c r="J204" s="98">
        <f t="shared" si="81"/>
        <v>8984154</v>
      </c>
      <c r="K204" s="98">
        <f t="shared" si="81"/>
        <v>8984154</v>
      </c>
      <c r="L204" s="98">
        <f t="shared" si="81"/>
        <v>0</v>
      </c>
      <c r="M204" s="98">
        <f t="shared" si="81"/>
        <v>0</v>
      </c>
      <c r="N204" s="98">
        <f t="shared" si="81"/>
        <v>0</v>
      </c>
      <c r="O204" s="98">
        <f t="shared" si="81"/>
        <v>8984154</v>
      </c>
      <c r="P204" s="98">
        <f t="shared" si="81"/>
        <v>8984154</v>
      </c>
      <c r="Q204" s="33"/>
      <c r="R204" s="32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33"/>
      <c r="DJ204" s="33"/>
      <c r="DK204" s="33"/>
      <c r="DL204" s="33"/>
      <c r="DM204" s="33"/>
      <c r="DN204" s="33"/>
      <c r="DO204" s="33"/>
      <c r="DP204" s="33"/>
      <c r="DQ204" s="33"/>
      <c r="DR204" s="33"/>
      <c r="DS204" s="33"/>
      <c r="DT204" s="33"/>
      <c r="DU204" s="33"/>
      <c r="DV204" s="33"/>
      <c r="DW204" s="33"/>
      <c r="DX204" s="33"/>
      <c r="DY204" s="33"/>
      <c r="DZ204" s="33"/>
      <c r="EA204" s="33"/>
      <c r="EB204" s="33"/>
      <c r="EC204" s="33"/>
      <c r="ED204" s="33"/>
      <c r="EE204" s="33"/>
      <c r="EF204" s="33"/>
      <c r="EG204" s="33"/>
      <c r="EH204" s="33"/>
      <c r="EI204" s="33"/>
      <c r="EJ204" s="33"/>
      <c r="EK204" s="33"/>
      <c r="EL204" s="33"/>
      <c r="EM204" s="33"/>
      <c r="EN204" s="33"/>
      <c r="EO204" s="33"/>
      <c r="EP204" s="33"/>
      <c r="EQ204" s="33"/>
      <c r="ER204" s="33"/>
      <c r="ES204" s="33"/>
      <c r="ET204" s="33"/>
      <c r="EU204" s="33"/>
      <c r="EV204" s="33"/>
      <c r="EW204" s="33"/>
      <c r="EX204" s="33"/>
      <c r="EY204" s="33"/>
      <c r="EZ204" s="33"/>
      <c r="FA204" s="33"/>
      <c r="FB204" s="33"/>
      <c r="FC204" s="33"/>
      <c r="FD204" s="33"/>
      <c r="FE204" s="33"/>
      <c r="FF204" s="33"/>
      <c r="FG204" s="33"/>
      <c r="FH204" s="33"/>
      <c r="FI204" s="33"/>
      <c r="FJ204" s="33"/>
      <c r="FK204" s="33"/>
      <c r="FL204" s="33"/>
      <c r="FM204" s="33"/>
      <c r="FN204" s="33"/>
      <c r="FO204" s="33"/>
      <c r="FP204" s="33"/>
      <c r="FQ204" s="33"/>
      <c r="FR204" s="33"/>
      <c r="FS204" s="33"/>
      <c r="FT204" s="33"/>
      <c r="FU204" s="33"/>
      <c r="FV204" s="33"/>
      <c r="FW204" s="33"/>
      <c r="FX204" s="33"/>
      <c r="FY204" s="33"/>
      <c r="FZ204" s="33"/>
      <c r="GA204" s="33"/>
      <c r="GB204" s="33"/>
      <c r="GC204" s="33"/>
      <c r="GD204" s="33"/>
      <c r="GE204" s="33"/>
      <c r="GF204" s="33"/>
      <c r="GG204" s="33"/>
      <c r="GH204" s="33"/>
      <c r="GI204" s="33"/>
      <c r="GJ204" s="33"/>
      <c r="GK204" s="33"/>
      <c r="GL204" s="33"/>
      <c r="GM204" s="33"/>
      <c r="GN204" s="33"/>
      <c r="GO204" s="33"/>
      <c r="GP204" s="33"/>
      <c r="GQ204" s="33"/>
      <c r="GR204" s="33"/>
      <c r="GS204" s="33"/>
      <c r="GT204" s="33"/>
      <c r="GU204" s="33"/>
      <c r="GV204" s="33"/>
      <c r="GW204" s="33"/>
      <c r="GX204" s="33"/>
      <c r="GY204" s="33"/>
      <c r="GZ204" s="33"/>
      <c r="HA204" s="33"/>
      <c r="HB204" s="33"/>
      <c r="HC204" s="33"/>
      <c r="HD204" s="33"/>
      <c r="HE204" s="33"/>
      <c r="HF204" s="33"/>
      <c r="HG204" s="33"/>
      <c r="HH204" s="33"/>
      <c r="HI204" s="33"/>
      <c r="HJ204" s="33"/>
      <c r="HK204" s="33"/>
      <c r="HL204" s="33"/>
      <c r="HM204" s="33"/>
      <c r="HN204" s="33"/>
      <c r="HO204" s="33"/>
      <c r="HP204" s="33"/>
      <c r="HQ204" s="33"/>
      <c r="HR204" s="33"/>
      <c r="HS204" s="33"/>
      <c r="HT204" s="33"/>
      <c r="HU204" s="33"/>
      <c r="HV204" s="33"/>
      <c r="HW204" s="33"/>
      <c r="HX204" s="33"/>
      <c r="HY204" s="33"/>
      <c r="HZ204" s="33"/>
      <c r="IA204" s="33"/>
      <c r="IB204" s="33"/>
      <c r="IC204" s="33"/>
      <c r="ID204" s="33"/>
      <c r="IE204" s="33"/>
      <c r="IF204" s="33"/>
      <c r="IG204" s="33"/>
      <c r="IH204" s="33"/>
      <c r="II204" s="33"/>
      <c r="IJ204" s="33"/>
      <c r="IK204" s="33"/>
      <c r="IL204" s="33"/>
      <c r="IM204" s="33"/>
      <c r="IN204" s="33"/>
      <c r="IO204" s="33"/>
      <c r="IP204" s="33"/>
      <c r="IQ204" s="33"/>
      <c r="IR204" s="33"/>
      <c r="IS204" s="33"/>
      <c r="IT204" s="33"/>
      <c r="IU204" s="33"/>
      <c r="IV204" s="33"/>
      <c r="IW204" s="33"/>
      <c r="IX204" s="33"/>
      <c r="IY204" s="33"/>
      <c r="IZ204" s="33"/>
      <c r="JA204" s="33"/>
      <c r="JB204" s="33"/>
      <c r="JC204" s="33"/>
      <c r="JD204" s="33"/>
      <c r="JE204" s="33"/>
      <c r="JF204" s="33"/>
      <c r="JG204" s="33"/>
      <c r="JH204" s="33"/>
      <c r="JI204" s="33"/>
      <c r="JJ204" s="33"/>
      <c r="JK204" s="33"/>
      <c r="JL204" s="33"/>
      <c r="JM204" s="33"/>
      <c r="JN204" s="33"/>
      <c r="JO204" s="33"/>
      <c r="JP204" s="33"/>
      <c r="JQ204" s="33"/>
      <c r="JR204" s="33"/>
      <c r="JS204" s="33"/>
      <c r="JT204" s="33"/>
      <c r="JU204" s="33"/>
      <c r="JV204" s="33"/>
      <c r="JW204" s="33"/>
      <c r="JX204" s="33"/>
      <c r="JY204" s="33"/>
      <c r="JZ204" s="33"/>
      <c r="KA204" s="33"/>
      <c r="KB204" s="33"/>
      <c r="KC204" s="33"/>
      <c r="KD204" s="33"/>
      <c r="KE204" s="33"/>
      <c r="KF204" s="33"/>
      <c r="KG204" s="33"/>
      <c r="KH204" s="33"/>
      <c r="KI204" s="33"/>
      <c r="KJ204" s="33"/>
      <c r="KK204" s="33"/>
      <c r="KL204" s="33"/>
      <c r="KM204" s="33"/>
      <c r="KN204" s="33"/>
      <c r="KO204" s="33"/>
      <c r="KP204" s="33"/>
      <c r="KQ204" s="33"/>
      <c r="KR204" s="33"/>
      <c r="KS204" s="33"/>
      <c r="KT204" s="33"/>
      <c r="KU204" s="33"/>
      <c r="KV204" s="33"/>
      <c r="KW204" s="33"/>
      <c r="KX204" s="33"/>
      <c r="KY204" s="33"/>
      <c r="KZ204" s="33"/>
      <c r="LA204" s="33"/>
      <c r="LB204" s="33"/>
      <c r="LC204" s="33"/>
      <c r="LD204" s="33"/>
      <c r="LE204" s="33"/>
      <c r="LF204" s="33"/>
      <c r="LG204" s="33"/>
      <c r="LH204" s="33"/>
      <c r="LI204" s="33"/>
      <c r="LJ204" s="33"/>
      <c r="LK204" s="33"/>
      <c r="LL204" s="33"/>
      <c r="LM204" s="33"/>
      <c r="LN204" s="33"/>
      <c r="LO204" s="33"/>
      <c r="LP204" s="33"/>
      <c r="LQ204" s="33"/>
      <c r="LR204" s="33"/>
      <c r="LS204" s="33"/>
      <c r="LT204" s="33"/>
      <c r="LU204" s="33"/>
      <c r="LV204" s="33"/>
      <c r="LW204" s="33"/>
      <c r="LX204" s="33"/>
      <c r="LY204" s="33"/>
      <c r="LZ204" s="33"/>
      <c r="MA204" s="33"/>
      <c r="MB204" s="33"/>
      <c r="MC204" s="33"/>
      <c r="MD204" s="33"/>
      <c r="ME204" s="33"/>
      <c r="MF204" s="33"/>
      <c r="MG204" s="33"/>
      <c r="MH204" s="33"/>
      <c r="MI204" s="33"/>
      <c r="MJ204" s="33"/>
      <c r="MK204" s="33"/>
      <c r="ML204" s="33"/>
      <c r="MM204" s="33"/>
      <c r="MN204" s="33"/>
      <c r="MO204" s="33"/>
      <c r="MP204" s="33"/>
      <c r="MQ204" s="33"/>
      <c r="MR204" s="33"/>
      <c r="MS204" s="33"/>
      <c r="MT204" s="33"/>
      <c r="MU204" s="33"/>
      <c r="MV204" s="33"/>
      <c r="MW204" s="33"/>
      <c r="MX204" s="33"/>
      <c r="MY204" s="33"/>
      <c r="MZ204" s="33"/>
      <c r="NA204" s="33"/>
      <c r="NB204" s="33"/>
      <c r="NC204" s="33"/>
      <c r="ND204" s="33"/>
      <c r="NE204" s="33"/>
      <c r="NF204" s="33"/>
      <c r="NG204" s="33"/>
      <c r="NH204" s="33"/>
      <c r="NI204" s="33"/>
      <c r="NJ204" s="33"/>
      <c r="NK204" s="33"/>
      <c r="NL204" s="33"/>
      <c r="NM204" s="33"/>
      <c r="NN204" s="33"/>
      <c r="NO204" s="33"/>
      <c r="NP204" s="33"/>
      <c r="NQ204" s="33"/>
      <c r="NR204" s="33"/>
      <c r="NS204" s="33"/>
      <c r="NT204" s="33"/>
      <c r="NU204" s="33"/>
      <c r="NV204" s="33"/>
      <c r="NW204" s="33"/>
      <c r="NX204" s="33"/>
      <c r="NY204" s="33"/>
      <c r="NZ204" s="33"/>
      <c r="OA204" s="33"/>
      <c r="OB204" s="33"/>
      <c r="OC204" s="33"/>
      <c r="OD204" s="33"/>
      <c r="OE204" s="33"/>
      <c r="OF204" s="33"/>
      <c r="OG204" s="33"/>
      <c r="OH204" s="33"/>
      <c r="OI204" s="33"/>
      <c r="OJ204" s="33"/>
      <c r="OK204" s="33"/>
      <c r="OL204" s="33"/>
      <c r="OM204" s="33"/>
      <c r="ON204" s="33"/>
      <c r="OO204" s="33"/>
      <c r="OP204" s="33"/>
      <c r="OQ204" s="33"/>
      <c r="OR204" s="33"/>
      <c r="OS204" s="33"/>
      <c r="OT204" s="33"/>
      <c r="OU204" s="33"/>
      <c r="OV204" s="33"/>
      <c r="OW204" s="33"/>
      <c r="OX204" s="33"/>
      <c r="OY204" s="33"/>
      <c r="OZ204" s="33"/>
      <c r="PA204" s="33"/>
      <c r="PB204" s="33"/>
      <c r="PC204" s="33"/>
      <c r="PD204" s="33"/>
      <c r="PE204" s="33"/>
      <c r="PF204" s="33"/>
      <c r="PG204" s="33"/>
      <c r="PH204" s="33"/>
      <c r="PI204" s="33"/>
      <c r="PJ204" s="33"/>
      <c r="PK204" s="33"/>
      <c r="PL204" s="33"/>
      <c r="PM204" s="33"/>
      <c r="PN204" s="33"/>
      <c r="PO204" s="33"/>
      <c r="PP204" s="33"/>
      <c r="PQ204" s="33"/>
      <c r="PR204" s="33"/>
      <c r="PS204" s="33"/>
      <c r="PT204" s="33"/>
      <c r="PU204" s="33"/>
      <c r="PV204" s="33"/>
      <c r="PW204" s="33"/>
      <c r="PX204" s="33"/>
      <c r="PY204" s="33"/>
      <c r="PZ204" s="33"/>
      <c r="QA204" s="33"/>
      <c r="QB204" s="33"/>
      <c r="QC204" s="33"/>
      <c r="QD204" s="33"/>
      <c r="QE204" s="33"/>
      <c r="QF204" s="33"/>
      <c r="QG204" s="33"/>
      <c r="QH204" s="33"/>
      <c r="QI204" s="33"/>
      <c r="QJ204" s="33"/>
      <c r="QK204" s="33"/>
      <c r="QL204" s="33"/>
      <c r="QM204" s="33"/>
      <c r="QN204" s="33"/>
      <c r="QO204" s="33"/>
      <c r="QP204" s="33"/>
      <c r="QQ204" s="33"/>
      <c r="QR204" s="33"/>
      <c r="QS204" s="33"/>
      <c r="QT204" s="33"/>
      <c r="QU204" s="33"/>
      <c r="QV204" s="33"/>
      <c r="QW204" s="33"/>
      <c r="QX204" s="33"/>
      <c r="QY204" s="33"/>
      <c r="QZ204" s="33"/>
      <c r="RA204" s="33"/>
      <c r="RB204" s="33"/>
      <c r="RC204" s="33"/>
      <c r="RD204" s="33"/>
      <c r="RE204" s="33"/>
      <c r="RF204" s="33"/>
      <c r="RG204" s="33"/>
      <c r="RH204" s="33"/>
      <c r="RI204" s="33"/>
      <c r="RJ204" s="33"/>
      <c r="RK204" s="33"/>
      <c r="RL204" s="33"/>
      <c r="RM204" s="33"/>
      <c r="RN204" s="33"/>
      <c r="RO204" s="33"/>
      <c r="RP204" s="33"/>
      <c r="RQ204" s="33"/>
      <c r="RR204" s="33"/>
      <c r="RS204" s="33"/>
      <c r="RT204" s="33"/>
      <c r="RU204" s="33"/>
      <c r="RV204" s="33"/>
      <c r="RW204" s="33"/>
      <c r="RX204" s="33"/>
      <c r="RY204" s="33"/>
      <c r="RZ204" s="33"/>
      <c r="SA204" s="33"/>
      <c r="SB204" s="33"/>
      <c r="SC204" s="33"/>
      <c r="SD204" s="33"/>
      <c r="SE204" s="33"/>
      <c r="SF204" s="33"/>
      <c r="SG204" s="33"/>
      <c r="SH204" s="33"/>
      <c r="SI204" s="33"/>
      <c r="SJ204" s="33"/>
      <c r="SK204" s="33"/>
      <c r="SL204" s="33"/>
      <c r="SM204" s="33"/>
      <c r="SN204" s="33"/>
      <c r="SO204" s="33"/>
      <c r="SP204" s="33"/>
      <c r="SQ204" s="33"/>
      <c r="SR204" s="33"/>
      <c r="SS204" s="33"/>
      <c r="ST204" s="33"/>
      <c r="SU204" s="33"/>
      <c r="SV204" s="33"/>
      <c r="SW204" s="33"/>
      <c r="SX204" s="33"/>
      <c r="SY204" s="33"/>
      <c r="SZ204" s="33"/>
      <c r="TA204" s="33"/>
      <c r="TB204" s="33"/>
      <c r="TC204" s="33"/>
      <c r="TD204" s="33"/>
      <c r="TE204" s="33"/>
      <c r="TF204" s="33"/>
      <c r="TG204" s="33"/>
    </row>
    <row r="205" spans="1:527" s="22" customFormat="1" ht="47.25" x14ac:dyDescent="0.25">
      <c r="A205" s="59" t="s">
        <v>190</v>
      </c>
      <c r="B205" s="93" t="str">
        <f>'дод 8'!A19</f>
        <v>0160</v>
      </c>
      <c r="C205" s="93" t="str">
        <f>'дод 8'!B19</f>
        <v>0111</v>
      </c>
      <c r="D205" s="36" t="s">
        <v>494</v>
      </c>
      <c r="E205" s="99">
        <f>F205+I205</f>
        <v>5718281</v>
      </c>
      <c r="F205" s="99">
        <f>5689700+12000+4281+12300</f>
        <v>5718281</v>
      </c>
      <c r="G205" s="99">
        <v>4491300</v>
      </c>
      <c r="H205" s="99">
        <f>51600+4281+12300</f>
        <v>68181</v>
      </c>
      <c r="I205" s="99"/>
      <c r="J205" s="99">
        <f>L205+O205</f>
        <v>0</v>
      </c>
      <c r="K205" s="99">
        <f>12000-12000</f>
        <v>0</v>
      </c>
      <c r="L205" s="99"/>
      <c r="M205" s="99"/>
      <c r="N205" s="99"/>
      <c r="O205" s="99">
        <f>12000-12000</f>
        <v>0</v>
      </c>
      <c r="P205" s="99">
        <f>E205+J205</f>
        <v>5718281</v>
      </c>
      <c r="Q205" s="23"/>
      <c r="R205" s="32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  <c r="IW205" s="23"/>
      <c r="IX205" s="23"/>
      <c r="IY205" s="23"/>
      <c r="IZ205" s="23"/>
      <c r="JA205" s="23"/>
      <c r="JB205" s="23"/>
      <c r="JC205" s="23"/>
      <c r="JD205" s="23"/>
      <c r="JE205" s="23"/>
      <c r="JF205" s="23"/>
      <c r="JG205" s="23"/>
      <c r="JH205" s="23"/>
      <c r="JI205" s="23"/>
      <c r="JJ205" s="23"/>
      <c r="JK205" s="23"/>
      <c r="JL205" s="23"/>
      <c r="JM205" s="23"/>
      <c r="JN205" s="23"/>
      <c r="JO205" s="23"/>
      <c r="JP205" s="23"/>
      <c r="JQ205" s="23"/>
      <c r="JR205" s="23"/>
      <c r="JS205" s="23"/>
      <c r="JT205" s="23"/>
      <c r="JU205" s="23"/>
      <c r="JV205" s="23"/>
      <c r="JW205" s="23"/>
      <c r="JX205" s="23"/>
      <c r="JY205" s="23"/>
      <c r="JZ205" s="23"/>
      <c r="KA205" s="23"/>
      <c r="KB205" s="23"/>
      <c r="KC205" s="23"/>
      <c r="KD205" s="23"/>
      <c r="KE205" s="23"/>
      <c r="KF205" s="23"/>
      <c r="KG205" s="23"/>
      <c r="KH205" s="23"/>
      <c r="KI205" s="23"/>
      <c r="KJ205" s="23"/>
      <c r="KK205" s="23"/>
      <c r="KL205" s="23"/>
      <c r="KM205" s="23"/>
      <c r="KN205" s="23"/>
      <c r="KO205" s="23"/>
      <c r="KP205" s="23"/>
      <c r="KQ205" s="23"/>
      <c r="KR205" s="23"/>
      <c r="KS205" s="23"/>
      <c r="KT205" s="23"/>
      <c r="KU205" s="23"/>
      <c r="KV205" s="23"/>
      <c r="KW205" s="23"/>
      <c r="KX205" s="23"/>
      <c r="KY205" s="23"/>
      <c r="KZ205" s="23"/>
      <c r="LA205" s="23"/>
      <c r="LB205" s="23"/>
      <c r="LC205" s="23"/>
      <c r="LD205" s="23"/>
      <c r="LE205" s="23"/>
      <c r="LF205" s="23"/>
      <c r="LG205" s="23"/>
      <c r="LH205" s="23"/>
      <c r="LI205" s="23"/>
      <c r="LJ205" s="23"/>
      <c r="LK205" s="23"/>
      <c r="LL205" s="23"/>
      <c r="LM205" s="23"/>
      <c r="LN205" s="23"/>
      <c r="LO205" s="23"/>
      <c r="LP205" s="23"/>
      <c r="LQ205" s="23"/>
      <c r="LR205" s="23"/>
      <c r="LS205" s="23"/>
      <c r="LT205" s="23"/>
      <c r="LU205" s="23"/>
      <c r="LV205" s="23"/>
      <c r="LW205" s="23"/>
      <c r="LX205" s="23"/>
      <c r="LY205" s="23"/>
      <c r="LZ205" s="23"/>
      <c r="MA205" s="23"/>
      <c r="MB205" s="23"/>
      <c r="MC205" s="23"/>
      <c r="MD205" s="23"/>
      <c r="ME205" s="23"/>
      <c r="MF205" s="23"/>
      <c r="MG205" s="23"/>
      <c r="MH205" s="23"/>
      <c r="MI205" s="23"/>
      <c r="MJ205" s="23"/>
      <c r="MK205" s="23"/>
      <c r="ML205" s="23"/>
      <c r="MM205" s="23"/>
      <c r="MN205" s="23"/>
      <c r="MO205" s="23"/>
      <c r="MP205" s="23"/>
      <c r="MQ205" s="23"/>
      <c r="MR205" s="23"/>
      <c r="MS205" s="23"/>
      <c r="MT205" s="23"/>
      <c r="MU205" s="23"/>
      <c r="MV205" s="23"/>
      <c r="MW205" s="23"/>
      <c r="MX205" s="23"/>
      <c r="MY205" s="23"/>
      <c r="MZ205" s="23"/>
      <c r="NA205" s="23"/>
      <c r="NB205" s="23"/>
      <c r="NC205" s="23"/>
      <c r="ND205" s="23"/>
      <c r="NE205" s="23"/>
      <c r="NF205" s="23"/>
      <c r="NG205" s="23"/>
      <c r="NH205" s="23"/>
      <c r="NI205" s="23"/>
      <c r="NJ205" s="23"/>
      <c r="NK205" s="23"/>
      <c r="NL205" s="23"/>
      <c r="NM205" s="23"/>
      <c r="NN205" s="23"/>
      <c r="NO205" s="23"/>
      <c r="NP205" s="23"/>
      <c r="NQ205" s="23"/>
      <c r="NR205" s="23"/>
      <c r="NS205" s="23"/>
      <c r="NT205" s="23"/>
      <c r="NU205" s="23"/>
      <c r="NV205" s="23"/>
      <c r="NW205" s="23"/>
      <c r="NX205" s="23"/>
      <c r="NY205" s="23"/>
      <c r="NZ205" s="23"/>
      <c r="OA205" s="23"/>
      <c r="OB205" s="23"/>
      <c r="OC205" s="23"/>
      <c r="OD205" s="23"/>
      <c r="OE205" s="23"/>
      <c r="OF205" s="23"/>
      <c r="OG205" s="23"/>
      <c r="OH205" s="23"/>
      <c r="OI205" s="23"/>
      <c r="OJ205" s="23"/>
      <c r="OK205" s="23"/>
      <c r="OL205" s="23"/>
      <c r="OM205" s="23"/>
      <c r="ON205" s="23"/>
      <c r="OO205" s="23"/>
      <c r="OP205" s="23"/>
      <c r="OQ205" s="23"/>
      <c r="OR205" s="23"/>
      <c r="OS205" s="23"/>
      <c r="OT205" s="23"/>
      <c r="OU205" s="23"/>
      <c r="OV205" s="23"/>
      <c r="OW205" s="23"/>
      <c r="OX205" s="23"/>
      <c r="OY205" s="23"/>
      <c r="OZ205" s="23"/>
      <c r="PA205" s="23"/>
      <c r="PB205" s="23"/>
      <c r="PC205" s="23"/>
      <c r="PD205" s="23"/>
      <c r="PE205" s="23"/>
      <c r="PF205" s="23"/>
      <c r="PG205" s="23"/>
      <c r="PH205" s="23"/>
      <c r="PI205" s="23"/>
      <c r="PJ205" s="23"/>
      <c r="PK205" s="23"/>
      <c r="PL205" s="23"/>
      <c r="PM205" s="23"/>
      <c r="PN205" s="23"/>
      <c r="PO205" s="23"/>
      <c r="PP205" s="23"/>
      <c r="PQ205" s="23"/>
      <c r="PR205" s="23"/>
      <c r="PS205" s="23"/>
      <c r="PT205" s="23"/>
      <c r="PU205" s="23"/>
      <c r="PV205" s="23"/>
      <c r="PW205" s="23"/>
      <c r="PX205" s="23"/>
      <c r="PY205" s="23"/>
      <c r="PZ205" s="23"/>
      <c r="QA205" s="23"/>
      <c r="QB205" s="23"/>
      <c r="QC205" s="23"/>
      <c r="QD205" s="23"/>
      <c r="QE205" s="23"/>
      <c r="QF205" s="23"/>
      <c r="QG205" s="23"/>
      <c r="QH205" s="23"/>
      <c r="QI205" s="23"/>
      <c r="QJ205" s="23"/>
      <c r="QK205" s="23"/>
      <c r="QL205" s="23"/>
      <c r="QM205" s="23"/>
      <c r="QN205" s="23"/>
      <c r="QO205" s="23"/>
      <c r="QP205" s="23"/>
      <c r="QQ205" s="23"/>
      <c r="QR205" s="23"/>
      <c r="QS205" s="23"/>
      <c r="QT205" s="23"/>
      <c r="QU205" s="23"/>
      <c r="QV205" s="23"/>
      <c r="QW205" s="23"/>
      <c r="QX205" s="23"/>
      <c r="QY205" s="23"/>
      <c r="QZ205" s="23"/>
      <c r="RA205" s="23"/>
      <c r="RB205" s="23"/>
      <c r="RC205" s="23"/>
      <c r="RD205" s="23"/>
      <c r="RE205" s="23"/>
      <c r="RF205" s="23"/>
      <c r="RG205" s="23"/>
      <c r="RH205" s="23"/>
      <c r="RI205" s="23"/>
      <c r="RJ205" s="23"/>
      <c r="RK205" s="23"/>
      <c r="RL205" s="23"/>
      <c r="RM205" s="23"/>
      <c r="RN205" s="23"/>
      <c r="RO205" s="23"/>
      <c r="RP205" s="23"/>
      <c r="RQ205" s="23"/>
      <c r="RR205" s="23"/>
      <c r="RS205" s="23"/>
      <c r="RT205" s="23"/>
      <c r="RU205" s="23"/>
      <c r="RV205" s="23"/>
      <c r="RW205" s="23"/>
      <c r="RX205" s="23"/>
      <c r="RY205" s="23"/>
      <c r="RZ205" s="23"/>
      <c r="SA205" s="23"/>
      <c r="SB205" s="23"/>
      <c r="SC205" s="23"/>
      <c r="SD205" s="23"/>
      <c r="SE205" s="23"/>
      <c r="SF205" s="23"/>
      <c r="SG205" s="23"/>
      <c r="SH205" s="23"/>
      <c r="SI205" s="23"/>
      <c r="SJ205" s="23"/>
      <c r="SK205" s="23"/>
      <c r="SL205" s="23"/>
      <c r="SM205" s="23"/>
      <c r="SN205" s="23"/>
      <c r="SO205" s="23"/>
      <c r="SP205" s="23"/>
      <c r="SQ205" s="23"/>
      <c r="SR205" s="23"/>
      <c r="SS205" s="23"/>
      <c r="ST205" s="23"/>
      <c r="SU205" s="23"/>
      <c r="SV205" s="23"/>
      <c r="SW205" s="23"/>
      <c r="SX205" s="23"/>
      <c r="SY205" s="23"/>
      <c r="SZ205" s="23"/>
      <c r="TA205" s="23"/>
      <c r="TB205" s="23"/>
      <c r="TC205" s="23"/>
      <c r="TD205" s="23"/>
      <c r="TE205" s="23"/>
      <c r="TF205" s="23"/>
      <c r="TG205" s="23"/>
    </row>
    <row r="206" spans="1:527" s="22" customFormat="1" ht="63" x14ac:dyDescent="0.25">
      <c r="A206" s="59" t="s">
        <v>334</v>
      </c>
      <c r="B206" s="93">
        <v>3111</v>
      </c>
      <c r="C206" s="93">
        <v>1040</v>
      </c>
      <c r="D206" s="36" t="str">
        <f>'дод 8'!C117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06" s="99">
        <f>F206+I206</f>
        <v>91140</v>
      </c>
      <c r="F206" s="99">
        <f>50000+21140+20000</f>
        <v>91140</v>
      </c>
      <c r="G206" s="99"/>
      <c r="H206" s="99"/>
      <c r="I206" s="99"/>
      <c r="J206" s="99">
        <f t="shared" ref="J206:J209" si="82">L206+O206</f>
        <v>0</v>
      </c>
      <c r="K206" s="99">
        <f>21140-21140</f>
        <v>0</v>
      </c>
      <c r="L206" s="99"/>
      <c r="M206" s="99"/>
      <c r="N206" s="99"/>
      <c r="O206" s="99">
        <f>21140-21140</f>
        <v>0</v>
      </c>
      <c r="P206" s="99">
        <f>E206+J206</f>
        <v>91140</v>
      </c>
      <c r="Q206" s="23"/>
      <c r="R206" s="32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  <c r="IW206" s="23"/>
      <c r="IX206" s="23"/>
      <c r="IY206" s="23"/>
      <c r="IZ206" s="23"/>
      <c r="JA206" s="23"/>
      <c r="JB206" s="23"/>
      <c r="JC206" s="23"/>
      <c r="JD206" s="23"/>
      <c r="JE206" s="23"/>
      <c r="JF206" s="23"/>
      <c r="JG206" s="23"/>
      <c r="JH206" s="23"/>
      <c r="JI206" s="23"/>
      <c r="JJ206" s="23"/>
      <c r="JK206" s="23"/>
      <c r="JL206" s="23"/>
      <c r="JM206" s="23"/>
      <c r="JN206" s="23"/>
      <c r="JO206" s="23"/>
      <c r="JP206" s="23"/>
      <c r="JQ206" s="23"/>
      <c r="JR206" s="23"/>
      <c r="JS206" s="23"/>
      <c r="JT206" s="23"/>
      <c r="JU206" s="23"/>
      <c r="JV206" s="23"/>
      <c r="JW206" s="23"/>
      <c r="JX206" s="23"/>
      <c r="JY206" s="23"/>
      <c r="JZ206" s="23"/>
      <c r="KA206" s="23"/>
      <c r="KB206" s="23"/>
      <c r="KC206" s="23"/>
      <c r="KD206" s="23"/>
      <c r="KE206" s="23"/>
      <c r="KF206" s="23"/>
      <c r="KG206" s="23"/>
      <c r="KH206" s="23"/>
      <c r="KI206" s="23"/>
      <c r="KJ206" s="23"/>
      <c r="KK206" s="23"/>
      <c r="KL206" s="23"/>
      <c r="KM206" s="23"/>
      <c r="KN206" s="23"/>
      <c r="KO206" s="23"/>
      <c r="KP206" s="23"/>
      <c r="KQ206" s="23"/>
      <c r="KR206" s="23"/>
      <c r="KS206" s="23"/>
      <c r="KT206" s="23"/>
      <c r="KU206" s="23"/>
      <c r="KV206" s="23"/>
      <c r="KW206" s="23"/>
      <c r="KX206" s="23"/>
      <c r="KY206" s="23"/>
      <c r="KZ206" s="23"/>
      <c r="LA206" s="23"/>
      <c r="LB206" s="23"/>
      <c r="LC206" s="23"/>
      <c r="LD206" s="23"/>
      <c r="LE206" s="23"/>
      <c r="LF206" s="23"/>
      <c r="LG206" s="23"/>
      <c r="LH206" s="23"/>
      <c r="LI206" s="23"/>
      <c r="LJ206" s="23"/>
      <c r="LK206" s="23"/>
      <c r="LL206" s="23"/>
      <c r="LM206" s="23"/>
      <c r="LN206" s="23"/>
      <c r="LO206" s="23"/>
      <c r="LP206" s="23"/>
      <c r="LQ206" s="23"/>
      <c r="LR206" s="23"/>
      <c r="LS206" s="23"/>
      <c r="LT206" s="23"/>
      <c r="LU206" s="23"/>
      <c r="LV206" s="23"/>
      <c r="LW206" s="23"/>
      <c r="LX206" s="23"/>
      <c r="LY206" s="23"/>
      <c r="LZ206" s="23"/>
      <c r="MA206" s="23"/>
      <c r="MB206" s="23"/>
      <c r="MC206" s="23"/>
      <c r="MD206" s="23"/>
      <c r="ME206" s="23"/>
      <c r="MF206" s="23"/>
      <c r="MG206" s="23"/>
      <c r="MH206" s="23"/>
      <c r="MI206" s="23"/>
      <c r="MJ206" s="23"/>
      <c r="MK206" s="23"/>
      <c r="ML206" s="23"/>
      <c r="MM206" s="23"/>
      <c r="MN206" s="23"/>
      <c r="MO206" s="23"/>
      <c r="MP206" s="23"/>
      <c r="MQ206" s="23"/>
      <c r="MR206" s="23"/>
      <c r="MS206" s="23"/>
      <c r="MT206" s="23"/>
      <c r="MU206" s="23"/>
      <c r="MV206" s="23"/>
      <c r="MW206" s="23"/>
      <c r="MX206" s="23"/>
      <c r="MY206" s="23"/>
      <c r="MZ206" s="23"/>
      <c r="NA206" s="23"/>
      <c r="NB206" s="23"/>
      <c r="NC206" s="23"/>
      <c r="ND206" s="23"/>
      <c r="NE206" s="23"/>
      <c r="NF206" s="23"/>
      <c r="NG206" s="23"/>
      <c r="NH206" s="23"/>
      <c r="NI206" s="23"/>
      <c r="NJ206" s="23"/>
      <c r="NK206" s="23"/>
      <c r="NL206" s="23"/>
      <c r="NM206" s="23"/>
      <c r="NN206" s="23"/>
      <c r="NO206" s="23"/>
      <c r="NP206" s="23"/>
      <c r="NQ206" s="23"/>
      <c r="NR206" s="23"/>
      <c r="NS206" s="23"/>
      <c r="NT206" s="23"/>
      <c r="NU206" s="23"/>
      <c r="NV206" s="23"/>
      <c r="NW206" s="23"/>
      <c r="NX206" s="23"/>
      <c r="NY206" s="23"/>
      <c r="NZ206" s="23"/>
      <c r="OA206" s="23"/>
      <c r="OB206" s="23"/>
      <c r="OC206" s="23"/>
      <c r="OD206" s="23"/>
      <c r="OE206" s="23"/>
      <c r="OF206" s="23"/>
      <c r="OG206" s="23"/>
      <c r="OH206" s="23"/>
      <c r="OI206" s="23"/>
      <c r="OJ206" s="23"/>
      <c r="OK206" s="23"/>
      <c r="OL206" s="23"/>
      <c r="OM206" s="23"/>
      <c r="ON206" s="23"/>
      <c r="OO206" s="23"/>
      <c r="OP206" s="23"/>
      <c r="OQ206" s="23"/>
      <c r="OR206" s="23"/>
      <c r="OS206" s="23"/>
      <c r="OT206" s="23"/>
      <c r="OU206" s="23"/>
      <c r="OV206" s="23"/>
      <c r="OW206" s="23"/>
      <c r="OX206" s="23"/>
      <c r="OY206" s="23"/>
      <c r="OZ206" s="23"/>
      <c r="PA206" s="23"/>
      <c r="PB206" s="23"/>
      <c r="PC206" s="23"/>
      <c r="PD206" s="23"/>
      <c r="PE206" s="23"/>
      <c r="PF206" s="23"/>
      <c r="PG206" s="23"/>
      <c r="PH206" s="23"/>
      <c r="PI206" s="23"/>
      <c r="PJ206" s="23"/>
      <c r="PK206" s="23"/>
      <c r="PL206" s="23"/>
      <c r="PM206" s="23"/>
      <c r="PN206" s="23"/>
      <c r="PO206" s="23"/>
      <c r="PP206" s="23"/>
      <c r="PQ206" s="23"/>
      <c r="PR206" s="23"/>
      <c r="PS206" s="23"/>
      <c r="PT206" s="23"/>
      <c r="PU206" s="23"/>
      <c r="PV206" s="23"/>
      <c r="PW206" s="23"/>
      <c r="PX206" s="23"/>
      <c r="PY206" s="23"/>
      <c r="PZ206" s="23"/>
      <c r="QA206" s="23"/>
      <c r="QB206" s="23"/>
      <c r="QC206" s="23"/>
      <c r="QD206" s="23"/>
      <c r="QE206" s="23"/>
      <c r="QF206" s="23"/>
      <c r="QG206" s="23"/>
      <c r="QH206" s="23"/>
      <c r="QI206" s="23"/>
      <c r="QJ206" s="23"/>
      <c r="QK206" s="23"/>
      <c r="QL206" s="23"/>
      <c r="QM206" s="23"/>
      <c r="QN206" s="23"/>
      <c r="QO206" s="23"/>
      <c r="QP206" s="23"/>
      <c r="QQ206" s="23"/>
      <c r="QR206" s="23"/>
      <c r="QS206" s="23"/>
      <c r="QT206" s="23"/>
      <c r="QU206" s="23"/>
      <c r="QV206" s="23"/>
      <c r="QW206" s="23"/>
      <c r="QX206" s="23"/>
      <c r="QY206" s="23"/>
      <c r="QZ206" s="23"/>
      <c r="RA206" s="23"/>
      <c r="RB206" s="23"/>
      <c r="RC206" s="23"/>
      <c r="RD206" s="23"/>
      <c r="RE206" s="23"/>
      <c r="RF206" s="23"/>
      <c r="RG206" s="23"/>
      <c r="RH206" s="23"/>
      <c r="RI206" s="23"/>
      <c r="RJ206" s="23"/>
      <c r="RK206" s="23"/>
      <c r="RL206" s="23"/>
      <c r="RM206" s="23"/>
      <c r="RN206" s="23"/>
      <c r="RO206" s="23"/>
      <c r="RP206" s="23"/>
      <c r="RQ206" s="23"/>
      <c r="RR206" s="23"/>
      <c r="RS206" s="23"/>
      <c r="RT206" s="23"/>
      <c r="RU206" s="23"/>
      <c r="RV206" s="23"/>
      <c r="RW206" s="23"/>
      <c r="RX206" s="23"/>
      <c r="RY206" s="23"/>
      <c r="RZ206" s="23"/>
      <c r="SA206" s="23"/>
      <c r="SB206" s="23"/>
      <c r="SC206" s="23"/>
      <c r="SD206" s="23"/>
      <c r="SE206" s="23"/>
      <c r="SF206" s="23"/>
      <c r="SG206" s="23"/>
      <c r="SH206" s="23"/>
      <c r="SI206" s="23"/>
      <c r="SJ206" s="23"/>
      <c r="SK206" s="23"/>
      <c r="SL206" s="23"/>
      <c r="SM206" s="23"/>
      <c r="SN206" s="23"/>
      <c r="SO206" s="23"/>
      <c r="SP206" s="23"/>
      <c r="SQ206" s="23"/>
      <c r="SR206" s="23"/>
      <c r="SS206" s="23"/>
      <c r="ST206" s="23"/>
      <c r="SU206" s="23"/>
      <c r="SV206" s="23"/>
      <c r="SW206" s="23"/>
      <c r="SX206" s="23"/>
      <c r="SY206" s="23"/>
      <c r="SZ206" s="23"/>
      <c r="TA206" s="23"/>
      <c r="TB206" s="23"/>
      <c r="TC206" s="23"/>
      <c r="TD206" s="23"/>
      <c r="TE206" s="23"/>
      <c r="TF206" s="23"/>
      <c r="TG206" s="23"/>
    </row>
    <row r="207" spans="1:527" s="22" customFormat="1" ht="31.5" customHeight="1" x14ac:dyDescent="0.25">
      <c r="A207" s="59" t="s">
        <v>191</v>
      </c>
      <c r="B207" s="93" t="str">
        <f>'дод 8'!A118</f>
        <v>3112</v>
      </c>
      <c r="C207" s="93" t="str">
        <f>'дод 8'!B118</f>
        <v>1040</v>
      </c>
      <c r="D207" s="60" t="str">
        <f>'дод 8'!C118</f>
        <v>Заходи державної політики з питань дітей та їх соціального захисту</v>
      </c>
      <c r="E207" s="99">
        <f>F207+I207</f>
        <v>93040</v>
      </c>
      <c r="F207" s="99">
        <f>96240-3200</f>
        <v>93040</v>
      </c>
      <c r="G207" s="99"/>
      <c r="H207" s="99"/>
      <c r="I207" s="99"/>
      <c r="J207" s="99">
        <f t="shared" si="82"/>
        <v>0</v>
      </c>
      <c r="K207" s="99"/>
      <c r="L207" s="99"/>
      <c r="M207" s="99"/>
      <c r="N207" s="99"/>
      <c r="O207" s="99"/>
      <c r="P207" s="99">
        <f>E207+J207</f>
        <v>93040</v>
      </c>
      <c r="Q207" s="23"/>
      <c r="R207" s="32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  <c r="IU207" s="23"/>
      <c r="IV207" s="23"/>
      <c r="IW207" s="23"/>
      <c r="IX207" s="23"/>
      <c r="IY207" s="23"/>
      <c r="IZ207" s="23"/>
      <c r="JA207" s="23"/>
      <c r="JB207" s="23"/>
      <c r="JC207" s="23"/>
      <c r="JD207" s="23"/>
      <c r="JE207" s="23"/>
      <c r="JF207" s="23"/>
      <c r="JG207" s="23"/>
      <c r="JH207" s="23"/>
      <c r="JI207" s="23"/>
      <c r="JJ207" s="23"/>
      <c r="JK207" s="23"/>
      <c r="JL207" s="23"/>
      <c r="JM207" s="23"/>
      <c r="JN207" s="23"/>
      <c r="JO207" s="23"/>
      <c r="JP207" s="23"/>
      <c r="JQ207" s="23"/>
      <c r="JR207" s="23"/>
      <c r="JS207" s="23"/>
      <c r="JT207" s="23"/>
      <c r="JU207" s="23"/>
      <c r="JV207" s="23"/>
      <c r="JW207" s="23"/>
      <c r="JX207" s="23"/>
      <c r="JY207" s="23"/>
      <c r="JZ207" s="23"/>
      <c r="KA207" s="23"/>
      <c r="KB207" s="23"/>
      <c r="KC207" s="23"/>
      <c r="KD207" s="23"/>
      <c r="KE207" s="23"/>
      <c r="KF207" s="23"/>
      <c r="KG207" s="23"/>
      <c r="KH207" s="23"/>
      <c r="KI207" s="23"/>
      <c r="KJ207" s="23"/>
      <c r="KK207" s="23"/>
      <c r="KL207" s="23"/>
      <c r="KM207" s="23"/>
      <c r="KN207" s="23"/>
      <c r="KO207" s="23"/>
      <c r="KP207" s="23"/>
      <c r="KQ207" s="23"/>
      <c r="KR207" s="23"/>
      <c r="KS207" s="23"/>
      <c r="KT207" s="23"/>
      <c r="KU207" s="23"/>
      <c r="KV207" s="23"/>
      <c r="KW207" s="23"/>
      <c r="KX207" s="23"/>
      <c r="KY207" s="23"/>
      <c r="KZ207" s="23"/>
      <c r="LA207" s="23"/>
      <c r="LB207" s="23"/>
      <c r="LC207" s="23"/>
      <c r="LD207" s="23"/>
      <c r="LE207" s="23"/>
      <c r="LF207" s="23"/>
      <c r="LG207" s="23"/>
      <c r="LH207" s="23"/>
      <c r="LI207" s="23"/>
      <c r="LJ207" s="23"/>
      <c r="LK207" s="23"/>
      <c r="LL207" s="23"/>
      <c r="LM207" s="23"/>
      <c r="LN207" s="23"/>
      <c r="LO207" s="23"/>
      <c r="LP207" s="23"/>
      <c r="LQ207" s="23"/>
      <c r="LR207" s="23"/>
      <c r="LS207" s="23"/>
      <c r="LT207" s="23"/>
      <c r="LU207" s="23"/>
      <c r="LV207" s="23"/>
      <c r="LW207" s="23"/>
      <c r="LX207" s="23"/>
      <c r="LY207" s="23"/>
      <c r="LZ207" s="23"/>
      <c r="MA207" s="23"/>
      <c r="MB207" s="23"/>
      <c r="MC207" s="23"/>
      <c r="MD207" s="23"/>
      <c r="ME207" s="23"/>
      <c r="MF207" s="23"/>
      <c r="MG207" s="23"/>
      <c r="MH207" s="23"/>
      <c r="MI207" s="23"/>
      <c r="MJ207" s="23"/>
      <c r="MK207" s="23"/>
      <c r="ML207" s="23"/>
      <c r="MM207" s="23"/>
      <c r="MN207" s="23"/>
      <c r="MO207" s="23"/>
      <c r="MP207" s="23"/>
      <c r="MQ207" s="23"/>
      <c r="MR207" s="23"/>
      <c r="MS207" s="23"/>
      <c r="MT207" s="23"/>
      <c r="MU207" s="23"/>
      <c r="MV207" s="23"/>
      <c r="MW207" s="23"/>
      <c r="MX207" s="23"/>
      <c r="MY207" s="23"/>
      <c r="MZ207" s="23"/>
      <c r="NA207" s="23"/>
      <c r="NB207" s="23"/>
      <c r="NC207" s="23"/>
      <c r="ND207" s="23"/>
      <c r="NE207" s="23"/>
      <c r="NF207" s="23"/>
      <c r="NG207" s="23"/>
      <c r="NH207" s="23"/>
      <c r="NI207" s="23"/>
      <c r="NJ207" s="23"/>
      <c r="NK207" s="23"/>
      <c r="NL207" s="23"/>
      <c r="NM207" s="23"/>
      <c r="NN207" s="23"/>
      <c r="NO207" s="23"/>
      <c r="NP207" s="23"/>
      <c r="NQ207" s="23"/>
      <c r="NR207" s="23"/>
      <c r="NS207" s="23"/>
      <c r="NT207" s="23"/>
      <c r="NU207" s="23"/>
      <c r="NV207" s="23"/>
      <c r="NW207" s="23"/>
      <c r="NX207" s="23"/>
      <c r="NY207" s="23"/>
      <c r="NZ207" s="23"/>
      <c r="OA207" s="23"/>
      <c r="OB207" s="23"/>
      <c r="OC207" s="23"/>
      <c r="OD207" s="23"/>
      <c r="OE207" s="23"/>
      <c r="OF207" s="23"/>
      <c r="OG207" s="23"/>
      <c r="OH207" s="23"/>
      <c r="OI207" s="23"/>
      <c r="OJ207" s="23"/>
      <c r="OK207" s="23"/>
      <c r="OL207" s="23"/>
      <c r="OM207" s="23"/>
      <c r="ON207" s="23"/>
      <c r="OO207" s="23"/>
      <c r="OP207" s="23"/>
      <c r="OQ207" s="23"/>
      <c r="OR207" s="23"/>
      <c r="OS207" s="23"/>
      <c r="OT207" s="23"/>
      <c r="OU207" s="23"/>
      <c r="OV207" s="23"/>
      <c r="OW207" s="23"/>
      <c r="OX207" s="23"/>
      <c r="OY207" s="23"/>
      <c r="OZ207" s="23"/>
      <c r="PA207" s="23"/>
      <c r="PB207" s="23"/>
      <c r="PC207" s="23"/>
      <c r="PD207" s="23"/>
      <c r="PE207" s="23"/>
      <c r="PF207" s="23"/>
      <c r="PG207" s="23"/>
      <c r="PH207" s="23"/>
      <c r="PI207" s="23"/>
      <c r="PJ207" s="23"/>
      <c r="PK207" s="23"/>
      <c r="PL207" s="23"/>
      <c r="PM207" s="23"/>
      <c r="PN207" s="23"/>
      <c r="PO207" s="23"/>
      <c r="PP207" s="23"/>
      <c r="PQ207" s="23"/>
      <c r="PR207" s="23"/>
      <c r="PS207" s="23"/>
      <c r="PT207" s="23"/>
      <c r="PU207" s="23"/>
      <c r="PV207" s="23"/>
      <c r="PW207" s="23"/>
      <c r="PX207" s="23"/>
      <c r="PY207" s="23"/>
      <c r="PZ207" s="23"/>
      <c r="QA207" s="23"/>
      <c r="QB207" s="23"/>
      <c r="QC207" s="23"/>
      <c r="QD207" s="23"/>
      <c r="QE207" s="23"/>
      <c r="QF207" s="23"/>
      <c r="QG207" s="23"/>
      <c r="QH207" s="23"/>
      <c r="QI207" s="23"/>
      <c r="QJ207" s="23"/>
      <c r="QK207" s="23"/>
      <c r="QL207" s="23"/>
      <c r="QM207" s="23"/>
      <c r="QN207" s="23"/>
      <c r="QO207" s="23"/>
      <c r="QP207" s="23"/>
      <c r="QQ207" s="23"/>
      <c r="QR207" s="23"/>
      <c r="QS207" s="23"/>
      <c r="QT207" s="23"/>
      <c r="QU207" s="23"/>
      <c r="QV207" s="23"/>
      <c r="QW207" s="23"/>
      <c r="QX207" s="23"/>
      <c r="QY207" s="23"/>
      <c r="QZ207" s="23"/>
      <c r="RA207" s="23"/>
      <c r="RB207" s="23"/>
      <c r="RC207" s="23"/>
      <c r="RD207" s="23"/>
      <c r="RE207" s="23"/>
      <c r="RF207" s="23"/>
      <c r="RG207" s="23"/>
      <c r="RH207" s="23"/>
      <c r="RI207" s="23"/>
      <c r="RJ207" s="23"/>
      <c r="RK207" s="23"/>
      <c r="RL207" s="23"/>
      <c r="RM207" s="23"/>
      <c r="RN207" s="23"/>
      <c r="RO207" s="23"/>
      <c r="RP207" s="23"/>
      <c r="RQ207" s="23"/>
      <c r="RR207" s="23"/>
      <c r="RS207" s="23"/>
      <c r="RT207" s="23"/>
      <c r="RU207" s="23"/>
      <c r="RV207" s="23"/>
      <c r="RW207" s="23"/>
      <c r="RX207" s="23"/>
      <c r="RY207" s="23"/>
      <c r="RZ207" s="23"/>
      <c r="SA207" s="23"/>
      <c r="SB207" s="23"/>
      <c r="SC207" s="23"/>
      <c r="SD207" s="23"/>
      <c r="SE207" s="23"/>
      <c r="SF207" s="23"/>
      <c r="SG207" s="23"/>
      <c r="SH207" s="23"/>
      <c r="SI207" s="23"/>
      <c r="SJ207" s="23"/>
      <c r="SK207" s="23"/>
      <c r="SL207" s="23"/>
      <c r="SM207" s="23"/>
      <c r="SN207" s="23"/>
      <c r="SO207" s="23"/>
      <c r="SP207" s="23"/>
      <c r="SQ207" s="23"/>
      <c r="SR207" s="23"/>
      <c r="SS207" s="23"/>
      <c r="ST207" s="23"/>
      <c r="SU207" s="23"/>
      <c r="SV207" s="23"/>
      <c r="SW207" s="23"/>
      <c r="SX207" s="23"/>
      <c r="SY207" s="23"/>
      <c r="SZ207" s="23"/>
      <c r="TA207" s="23"/>
      <c r="TB207" s="23"/>
      <c r="TC207" s="23"/>
      <c r="TD207" s="23"/>
      <c r="TE207" s="23"/>
      <c r="TF207" s="23"/>
      <c r="TG207" s="23"/>
    </row>
    <row r="208" spans="1:527" s="22" customFormat="1" ht="94.5" x14ac:dyDescent="0.25">
      <c r="A208" s="59" t="s">
        <v>437</v>
      </c>
      <c r="B208" s="93">
        <v>6083</v>
      </c>
      <c r="C208" s="59" t="s">
        <v>68</v>
      </c>
      <c r="D208" s="11" t="s">
        <v>438</v>
      </c>
      <c r="E208" s="99">
        <f>F208+I208</f>
        <v>0</v>
      </c>
      <c r="F208" s="99"/>
      <c r="G208" s="99"/>
      <c r="H208" s="99"/>
      <c r="I208" s="99"/>
      <c r="J208" s="99">
        <f t="shared" si="82"/>
        <v>10322698</v>
      </c>
      <c r="K208" s="99">
        <f>30000+3200+11386782-2402628+1305344</f>
        <v>10322698</v>
      </c>
      <c r="L208" s="99"/>
      <c r="M208" s="99"/>
      <c r="N208" s="99"/>
      <c r="O208" s="99">
        <f>30000+3200+11386782-2402628+1305344</f>
        <v>10322698</v>
      </c>
      <c r="P208" s="99">
        <f>E208+J208</f>
        <v>10322698</v>
      </c>
      <c r="Q208" s="23"/>
      <c r="R208" s="32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  <c r="PA208" s="23"/>
      <c r="PB208" s="23"/>
      <c r="PC208" s="23"/>
      <c r="PD208" s="23"/>
      <c r="PE208" s="23"/>
      <c r="PF208" s="23"/>
      <c r="PG208" s="23"/>
      <c r="PH208" s="23"/>
      <c r="PI208" s="23"/>
      <c r="PJ208" s="23"/>
      <c r="PK208" s="23"/>
      <c r="PL208" s="23"/>
      <c r="PM208" s="23"/>
      <c r="PN208" s="23"/>
      <c r="PO208" s="23"/>
      <c r="PP208" s="23"/>
      <c r="PQ208" s="23"/>
      <c r="PR208" s="23"/>
      <c r="PS208" s="23"/>
      <c r="PT208" s="23"/>
      <c r="PU208" s="23"/>
      <c r="PV208" s="23"/>
      <c r="PW208" s="23"/>
      <c r="PX208" s="23"/>
      <c r="PY208" s="23"/>
      <c r="PZ208" s="23"/>
      <c r="QA208" s="23"/>
      <c r="QB208" s="23"/>
      <c r="QC208" s="23"/>
      <c r="QD208" s="23"/>
      <c r="QE208" s="23"/>
      <c r="QF208" s="23"/>
      <c r="QG208" s="23"/>
      <c r="QH208" s="23"/>
      <c r="QI208" s="23"/>
      <c r="QJ208" s="23"/>
      <c r="QK208" s="23"/>
      <c r="QL208" s="23"/>
      <c r="QM208" s="23"/>
      <c r="QN208" s="23"/>
      <c r="QO208" s="23"/>
      <c r="QP208" s="23"/>
      <c r="QQ208" s="23"/>
      <c r="QR208" s="23"/>
      <c r="QS208" s="23"/>
      <c r="QT208" s="23"/>
      <c r="QU208" s="23"/>
      <c r="QV208" s="23"/>
      <c r="QW208" s="23"/>
      <c r="QX208" s="23"/>
      <c r="QY208" s="23"/>
      <c r="QZ208" s="23"/>
      <c r="RA208" s="23"/>
      <c r="RB208" s="23"/>
      <c r="RC208" s="23"/>
      <c r="RD208" s="23"/>
      <c r="RE208" s="23"/>
      <c r="RF208" s="23"/>
      <c r="RG208" s="23"/>
      <c r="RH208" s="23"/>
      <c r="RI208" s="23"/>
      <c r="RJ208" s="23"/>
      <c r="RK208" s="23"/>
      <c r="RL208" s="23"/>
      <c r="RM208" s="23"/>
      <c r="RN208" s="23"/>
      <c r="RO208" s="23"/>
      <c r="RP208" s="23"/>
      <c r="RQ208" s="23"/>
      <c r="RR208" s="23"/>
      <c r="RS208" s="23"/>
      <c r="RT208" s="23"/>
      <c r="RU208" s="23"/>
      <c r="RV208" s="23"/>
      <c r="RW208" s="23"/>
      <c r="RX208" s="23"/>
      <c r="RY208" s="23"/>
      <c r="RZ208" s="23"/>
      <c r="SA208" s="23"/>
      <c r="SB208" s="23"/>
      <c r="SC208" s="23"/>
      <c r="SD208" s="23"/>
      <c r="SE208" s="23"/>
      <c r="SF208" s="23"/>
      <c r="SG208" s="23"/>
      <c r="SH208" s="23"/>
      <c r="SI208" s="23"/>
      <c r="SJ208" s="23"/>
      <c r="SK208" s="23"/>
      <c r="SL208" s="23"/>
      <c r="SM208" s="23"/>
      <c r="SN208" s="23"/>
      <c r="SO208" s="23"/>
      <c r="SP208" s="23"/>
      <c r="SQ208" s="23"/>
      <c r="SR208" s="23"/>
      <c r="SS208" s="23"/>
      <c r="ST208" s="23"/>
      <c r="SU208" s="23"/>
      <c r="SV208" s="23"/>
      <c r="SW208" s="23"/>
      <c r="SX208" s="23"/>
      <c r="SY208" s="23"/>
      <c r="SZ208" s="23"/>
      <c r="TA208" s="23"/>
      <c r="TB208" s="23"/>
      <c r="TC208" s="23"/>
      <c r="TD208" s="23"/>
      <c r="TE208" s="23"/>
      <c r="TF208" s="23"/>
      <c r="TG208" s="23"/>
    </row>
    <row r="209" spans="1:527" s="24" customFormat="1" ht="126" x14ac:dyDescent="0.25">
      <c r="A209" s="84"/>
      <c r="B209" s="111"/>
      <c r="C209" s="84"/>
      <c r="D209" s="90" t="s">
        <v>445</v>
      </c>
      <c r="E209" s="99">
        <f>F209+I209</f>
        <v>0</v>
      </c>
      <c r="F209" s="101"/>
      <c r="G209" s="101"/>
      <c r="H209" s="101"/>
      <c r="I209" s="101"/>
      <c r="J209" s="99">
        <f t="shared" si="82"/>
        <v>8984154</v>
      </c>
      <c r="K209" s="101">
        <f>11386782-2402628</f>
        <v>8984154</v>
      </c>
      <c r="L209" s="101"/>
      <c r="M209" s="101"/>
      <c r="N209" s="101"/>
      <c r="O209" s="101">
        <f>11386782-2402628</f>
        <v>8984154</v>
      </c>
      <c r="P209" s="99">
        <f>E209+J209</f>
        <v>8984154</v>
      </c>
      <c r="Q209" s="30"/>
      <c r="R209" s="32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  <c r="FX209" s="30"/>
      <c r="FY209" s="30"/>
      <c r="FZ209" s="30"/>
      <c r="GA209" s="30"/>
      <c r="GB209" s="30"/>
      <c r="GC209" s="30"/>
      <c r="GD209" s="30"/>
      <c r="GE209" s="30"/>
      <c r="GF209" s="30"/>
      <c r="GG209" s="30"/>
      <c r="GH209" s="30"/>
      <c r="GI209" s="30"/>
      <c r="GJ209" s="30"/>
      <c r="GK209" s="30"/>
      <c r="GL209" s="30"/>
      <c r="GM209" s="30"/>
      <c r="GN209" s="30"/>
      <c r="GO209" s="30"/>
      <c r="GP209" s="30"/>
      <c r="GQ209" s="30"/>
      <c r="GR209" s="30"/>
      <c r="GS209" s="30"/>
      <c r="GT209" s="30"/>
      <c r="GU209" s="30"/>
      <c r="GV209" s="30"/>
      <c r="GW209" s="30"/>
      <c r="GX209" s="30"/>
      <c r="GY209" s="30"/>
      <c r="GZ209" s="30"/>
      <c r="HA209" s="30"/>
      <c r="HB209" s="30"/>
      <c r="HC209" s="30"/>
      <c r="HD209" s="30"/>
      <c r="HE209" s="30"/>
      <c r="HF209" s="30"/>
      <c r="HG209" s="30"/>
      <c r="HH209" s="30"/>
      <c r="HI209" s="30"/>
      <c r="HJ209" s="30"/>
      <c r="HK209" s="30"/>
      <c r="HL209" s="30"/>
      <c r="HM209" s="30"/>
      <c r="HN209" s="30"/>
      <c r="HO209" s="30"/>
      <c r="HP209" s="30"/>
      <c r="HQ209" s="30"/>
      <c r="HR209" s="30"/>
      <c r="HS209" s="30"/>
      <c r="HT209" s="30"/>
      <c r="HU209" s="30"/>
      <c r="HV209" s="30"/>
      <c r="HW209" s="30"/>
      <c r="HX209" s="30"/>
      <c r="HY209" s="30"/>
      <c r="HZ209" s="30"/>
      <c r="IA209" s="30"/>
      <c r="IB209" s="30"/>
      <c r="IC209" s="30"/>
      <c r="ID209" s="30"/>
      <c r="IE209" s="30"/>
      <c r="IF209" s="30"/>
      <c r="IG209" s="30"/>
      <c r="IH209" s="30"/>
      <c r="II209" s="30"/>
      <c r="IJ209" s="30"/>
      <c r="IK209" s="30"/>
      <c r="IL209" s="30"/>
      <c r="IM209" s="30"/>
      <c r="IN209" s="30"/>
      <c r="IO209" s="30"/>
      <c r="IP209" s="30"/>
      <c r="IQ209" s="30"/>
      <c r="IR209" s="30"/>
      <c r="IS209" s="30"/>
      <c r="IT209" s="30"/>
      <c r="IU209" s="30"/>
      <c r="IV209" s="30"/>
      <c r="IW209" s="30"/>
      <c r="IX209" s="30"/>
      <c r="IY209" s="30"/>
      <c r="IZ209" s="30"/>
      <c r="JA209" s="30"/>
      <c r="JB209" s="30"/>
      <c r="JC209" s="30"/>
      <c r="JD209" s="30"/>
      <c r="JE209" s="30"/>
      <c r="JF209" s="30"/>
      <c r="JG209" s="30"/>
      <c r="JH209" s="30"/>
      <c r="JI209" s="30"/>
      <c r="JJ209" s="30"/>
      <c r="JK209" s="30"/>
      <c r="JL209" s="30"/>
      <c r="JM209" s="30"/>
      <c r="JN209" s="30"/>
      <c r="JO209" s="30"/>
      <c r="JP209" s="30"/>
      <c r="JQ209" s="30"/>
      <c r="JR209" s="30"/>
      <c r="JS209" s="30"/>
      <c r="JT209" s="30"/>
      <c r="JU209" s="30"/>
      <c r="JV209" s="30"/>
      <c r="JW209" s="30"/>
      <c r="JX209" s="30"/>
      <c r="JY209" s="30"/>
      <c r="JZ209" s="30"/>
      <c r="KA209" s="30"/>
      <c r="KB209" s="30"/>
      <c r="KC209" s="30"/>
      <c r="KD209" s="30"/>
      <c r="KE209" s="30"/>
      <c r="KF209" s="30"/>
      <c r="KG209" s="30"/>
      <c r="KH209" s="30"/>
      <c r="KI209" s="30"/>
      <c r="KJ209" s="30"/>
      <c r="KK209" s="30"/>
      <c r="KL209" s="30"/>
      <c r="KM209" s="30"/>
      <c r="KN209" s="30"/>
      <c r="KO209" s="30"/>
      <c r="KP209" s="30"/>
      <c r="KQ209" s="30"/>
      <c r="KR209" s="30"/>
      <c r="KS209" s="30"/>
      <c r="KT209" s="30"/>
      <c r="KU209" s="30"/>
      <c r="KV209" s="30"/>
      <c r="KW209" s="30"/>
      <c r="KX209" s="30"/>
      <c r="KY209" s="30"/>
      <c r="KZ209" s="30"/>
      <c r="LA209" s="30"/>
      <c r="LB209" s="30"/>
      <c r="LC209" s="30"/>
      <c r="LD209" s="30"/>
      <c r="LE209" s="30"/>
      <c r="LF209" s="30"/>
      <c r="LG209" s="30"/>
      <c r="LH209" s="30"/>
      <c r="LI209" s="30"/>
      <c r="LJ209" s="30"/>
      <c r="LK209" s="30"/>
      <c r="LL209" s="30"/>
      <c r="LM209" s="30"/>
      <c r="LN209" s="30"/>
      <c r="LO209" s="30"/>
      <c r="LP209" s="30"/>
      <c r="LQ209" s="30"/>
      <c r="LR209" s="30"/>
      <c r="LS209" s="30"/>
      <c r="LT209" s="30"/>
      <c r="LU209" s="30"/>
      <c r="LV209" s="30"/>
      <c r="LW209" s="30"/>
      <c r="LX209" s="30"/>
      <c r="LY209" s="30"/>
      <c r="LZ209" s="30"/>
      <c r="MA209" s="30"/>
      <c r="MB209" s="30"/>
      <c r="MC209" s="30"/>
      <c r="MD209" s="30"/>
      <c r="ME209" s="30"/>
      <c r="MF209" s="30"/>
      <c r="MG209" s="30"/>
      <c r="MH209" s="30"/>
      <c r="MI209" s="30"/>
      <c r="MJ209" s="30"/>
      <c r="MK209" s="30"/>
      <c r="ML209" s="30"/>
      <c r="MM209" s="30"/>
      <c r="MN209" s="30"/>
      <c r="MO209" s="30"/>
      <c r="MP209" s="30"/>
      <c r="MQ209" s="30"/>
      <c r="MR209" s="30"/>
      <c r="MS209" s="30"/>
      <c r="MT209" s="30"/>
      <c r="MU209" s="30"/>
      <c r="MV209" s="30"/>
      <c r="MW209" s="30"/>
      <c r="MX209" s="30"/>
      <c r="MY209" s="30"/>
      <c r="MZ209" s="30"/>
      <c r="NA209" s="30"/>
      <c r="NB209" s="30"/>
      <c r="NC209" s="30"/>
      <c r="ND209" s="30"/>
      <c r="NE209" s="30"/>
      <c r="NF209" s="30"/>
      <c r="NG209" s="30"/>
      <c r="NH209" s="30"/>
      <c r="NI209" s="30"/>
      <c r="NJ209" s="30"/>
      <c r="NK209" s="30"/>
      <c r="NL209" s="30"/>
      <c r="NM209" s="30"/>
      <c r="NN209" s="30"/>
      <c r="NO209" s="30"/>
      <c r="NP209" s="30"/>
      <c r="NQ209" s="30"/>
      <c r="NR209" s="30"/>
      <c r="NS209" s="30"/>
      <c r="NT209" s="30"/>
      <c r="NU209" s="30"/>
      <c r="NV209" s="30"/>
      <c r="NW209" s="30"/>
      <c r="NX209" s="30"/>
      <c r="NY209" s="30"/>
      <c r="NZ209" s="30"/>
      <c r="OA209" s="30"/>
      <c r="OB209" s="30"/>
      <c r="OC209" s="30"/>
      <c r="OD209" s="30"/>
      <c r="OE209" s="30"/>
      <c r="OF209" s="30"/>
      <c r="OG209" s="30"/>
      <c r="OH209" s="30"/>
      <c r="OI209" s="30"/>
      <c r="OJ209" s="30"/>
      <c r="OK209" s="30"/>
      <c r="OL209" s="30"/>
      <c r="OM209" s="30"/>
      <c r="ON209" s="30"/>
      <c r="OO209" s="30"/>
      <c r="OP209" s="30"/>
      <c r="OQ209" s="30"/>
      <c r="OR209" s="30"/>
      <c r="OS209" s="30"/>
      <c r="OT209" s="30"/>
      <c r="OU209" s="30"/>
      <c r="OV209" s="30"/>
      <c r="OW209" s="30"/>
      <c r="OX209" s="30"/>
      <c r="OY209" s="30"/>
      <c r="OZ209" s="30"/>
      <c r="PA209" s="30"/>
      <c r="PB209" s="30"/>
      <c r="PC209" s="30"/>
      <c r="PD209" s="30"/>
      <c r="PE209" s="30"/>
      <c r="PF209" s="30"/>
      <c r="PG209" s="30"/>
      <c r="PH209" s="30"/>
      <c r="PI209" s="30"/>
      <c r="PJ209" s="30"/>
      <c r="PK209" s="30"/>
      <c r="PL209" s="30"/>
      <c r="PM209" s="30"/>
      <c r="PN209" s="30"/>
      <c r="PO209" s="30"/>
      <c r="PP209" s="30"/>
      <c r="PQ209" s="30"/>
      <c r="PR209" s="30"/>
      <c r="PS209" s="30"/>
      <c r="PT209" s="30"/>
      <c r="PU209" s="30"/>
      <c r="PV209" s="30"/>
      <c r="PW209" s="30"/>
      <c r="PX209" s="30"/>
      <c r="PY209" s="30"/>
      <c r="PZ209" s="30"/>
      <c r="QA209" s="30"/>
      <c r="QB209" s="30"/>
      <c r="QC209" s="30"/>
      <c r="QD209" s="30"/>
      <c r="QE209" s="30"/>
      <c r="QF209" s="30"/>
      <c r="QG209" s="30"/>
      <c r="QH209" s="30"/>
      <c r="QI209" s="30"/>
      <c r="QJ209" s="30"/>
      <c r="QK209" s="30"/>
      <c r="QL209" s="30"/>
      <c r="QM209" s="30"/>
      <c r="QN209" s="30"/>
      <c r="QO209" s="30"/>
      <c r="QP209" s="30"/>
      <c r="QQ209" s="30"/>
      <c r="QR209" s="30"/>
      <c r="QS209" s="30"/>
      <c r="QT209" s="30"/>
      <c r="QU209" s="30"/>
      <c r="QV209" s="30"/>
      <c r="QW209" s="30"/>
      <c r="QX209" s="30"/>
      <c r="QY209" s="30"/>
      <c r="QZ209" s="30"/>
      <c r="RA209" s="30"/>
      <c r="RB209" s="30"/>
      <c r="RC209" s="30"/>
      <c r="RD209" s="30"/>
      <c r="RE209" s="30"/>
      <c r="RF209" s="30"/>
      <c r="RG209" s="30"/>
      <c r="RH209" s="30"/>
      <c r="RI209" s="30"/>
      <c r="RJ209" s="30"/>
      <c r="RK209" s="30"/>
      <c r="RL209" s="30"/>
      <c r="RM209" s="30"/>
      <c r="RN209" s="30"/>
      <c r="RO209" s="30"/>
      <c r="RP209" s="30"/>
      <c r="RQ209" s="30"/>
      <c r="RR209" s="30"/>
      <c r="RS209" s="30"/>
      <c r="RT209" s="30"/>
      <c r="RU209" s="30"/>
      <c r="RV209" s="30"/>
      <c r="RW209" s="30"/>
      <c r="RX209" s="30"/>
      <c r="RY209" s="30"/>
      <c r="RZ209" s="30"/>
      <c r="SA209" s="30"/>
      <c r="SB209" s="30"/>
      <c r="SC209" s="30"/>
      <c r="SD209" s="30"/>
      <c r="SE209" s="30"/>
      <c r="SF209" s="30"/>
      <c r="SG209" s="30"/>
      <c r="SH209" s="30"/>
      <c r="SI209" s="30"/>
      <c r="SJ209" s="30"/>
      <c r="SK209" s="30"/>
      <c r="SL209" s="30"/>
      <c r="SM209" s="30"/>
      <c r="SN209" s="30"/>
      <c r="SO209" s="30"/>
      <c r="SP209" s="30"/>
      <c r="SQ209" s="30"/>
      <c r="SR209" s="30"/>
      <c r="SS209" s="30"/>
      <c r="ST209" s="30"/>
      <c r="SU209" s="30"/>
      <c r="SV209" s="30"/>
      <c r="SW209" s="30"/>
      <c r="SX209" s="30"/>
      <c r="SY209" s="30"/>
      <c r="SZ209" s="30"/>
      <c r="TA209" s="30"/>
      <c r="TB209" s="30"/>
      <c r="TC209" s="30"/>
      <c r="TD209" s="30"/>
      <c r="TE209" s="30"/>
      <c r="TF209" s="30"/>
      <c r="TG209" s="30"/>
    </row>
    <row r="210" spans="1:527" s="27" customFormat="1" ht="22.5" customHeight="1" x14ac:dyDescent="0.25">
      <c r="A210" s="110" t="s">
        <v>26</v>
      </c>
      <c r="B210" s="112"/>
      <c r="C210" s="112"/>
      <c r="D210" s="107" t="s">
        <v>335</v>
      </c>
      <c r="E210" s="95">
        <f>E211</f>
        <v>82887057</v>
      </c>
      <c r="F210" s="95">
        <f t="shared" ref="F210:J210" si="83">F211</f>
        <v>82887057</v>
      </c>
      <c r="G210" s="95">
        <f t="shared" si="83"/>
        <v>62366800</v>
      </c>
      <c r="H210" s="95">
        <f t="shared" si="83"/>
        <v>2860657</v>
      </c>
      <c r="I210" s="95">
        <f t="shared" si="83"/>
        <v>0</v>
      </c>
      <c r="J210" s="95">
        <f t="shared" si="83"/>
        <v>5080600</v>
      </c>
      <c r="K210" s="95">
        <f t="shared" ref="K210" si="84">K211</f>
        <v>2320500</v>
      </c>
      <c r="L210" s="95">
        <f t="shared" ref="L210" si="85">L211</f>
        <v>2756970</v>
      </c>
      <c r="M210" s="95">
        <f t="shared" ref="M210" si="86">M211</f>
        <v>2239004</v>
      </c>
      <c r="N210" s="95">
        <f t="shared" ref="N210" si="87">N211</f>
        <v>3300</v>
      </c>
      <c r="O210" s="95">
        <f t="shared" ref="O210:P210" si="88">O211</f>
        <v>2323630</v>
      </c>
      <c r="P210" s="95">
        <f t="shared" si="88"/>
        <v>87967657</v>
      </c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  <c r="EC210" s="32"/>
      <c r="ED210" s="32"/>
      <c r="EE210" s="32"/>
      <c r="EF210" s="32"/>
      <c r="EG210" s="32"/>
      <c r="EH210" s="32"/>
      <c r="EI210" s="32"/>
      <c r="EJ210" s="32"/>
      <c r="EK210" s="32"/>
      <c r="EL210" s="32"/>
      <c r="EM210" s="32"/>
      <c r="EN210" s="32"/>
      <c r="EO210" s="32"/>
      <c r="EP210" s="32"/>
      <c r="EQ210" s="32"/>
      <c r="ER210" s="32"/>
      <c r="ES210" s="32"/>
      <c r="ET210" s="32"/>
      <c r="EU210" s="32"/>
      <c r="EV210" s="32"/>
      <c r="EW210" s="32"/>
      <c r="EX210" s="32"/>
      <c r="EY210" s="32"/>
      <c r="EZ210" s="32"/>
      <c r="FA210" s="32"/>
      <c r="FB210" s="32"/>
      <c r="FC210" s="32"/>
      <c r="FD210" s="32"/>
      <c r="FE210" s="32"/>
      <c r="FF210" s="32"/>
      <c r="FG210" s="32"/>
      <c r="FH210" s="32"/>
      <c r="FI210" s="32"/>
      <c r="FJ210" s="32"/>
      <c r="FK210" s="32"/>
      <c r="FL210" s="32"/>
      <c r="FM210" s="32"/>
      <c r="FN210" s="32"/>
      <c r="FO210" s="32"/>
      <c r="FP210" s="32"/>
      <c r="FQ210" s="32"/>
      <c r="FR210" s="32"/>
      <c r="FS210" s="32"/>
      <c r="FT210" s="32"/>
      <c r="FU210" s="32"/>
      <c r="FV210" s="32"/>
      <c r="FW210" s="32"/>
      <c r="FX210" s="32"/>
      <c r="FY210" s="32"/>
      <c r="FZ210" s="32"/>
      <c r="GA210" s="32"/>
      <c r="GB210" s="32"/>
      <c r="GC210" s="32"/>
      <c r="GD210" s="32"/>
      <c r="GE210" s="32"/>
      <c r="GF210" s="32"/>
      <c r="GG210" s="32"/>
      <c r="GH210" s="32"/>
      <c r="GI210" s="32"/>
      <c r="GJ210" s="32"/>
      <c r="GK210" s="32"/>
      <c r="GL210" s="32"/>
      <c r="GM210" s="32"/>
      <c r="GN210" s="32"/>
      <c r="GO210" s="32"/>
      <c r="GP210" s="32"/>
      <c r="GQ210" s="32"/>
      <c r="GR210" s="32"/>
      <c r="GS210" s="32"/>
      <c r="GT210" s="32"/>
      <c r="GU210" s="32"/>
      <c r="GV210" s="32"/>
      <c r="GW210" s="32"/>
      <c r="GX210" s="32"/>
      <c r="GY210" s="32"/>
      <c r="GZ210" s="32"/>
      <c r="HA210" s="32"/>
      <c r="HB210" s="32"/>
      <c r="HC210" s="32"/>
      <c r="HD210" s="32"/>
      <c r="HE210" s="32"/>
      <c r="HF210" s="32"/>
      <c r="HG210" s="32"/>
      <c r="HH210" s="32"/>
      <c r="HI210" s="32"/>
      <c r="HJ210" s="32"/>
      <c r="HK210" s="32"/>
      <c r="HL210" s="32"/>
      <c r="HM210" s="32"/>
      <c r="HN210" s="32"/>
      <c r="HO210" s="32"/>
      <c r="HP210" s="32"/>
      <c r="HQ210" s="32"/>
      <c r="HR210" s="32"/>
      <c r="HS210" s="32"/>
      <c r="HT210" s="32"/>
      <c r="HU210" s="32"/>
      <c r="HV210" s="32"/>
      <c r="HW210" s="32"/>
      <c r="HX210" s="32"/>
      <c r="HY210" s="32"/>
      <c r="HZ210" s="32"/>
      <c r="IA210" s="32"/>
      <c r="IB210" s="32"/>
      <c r="IC210" s="32"/>
      <c r="ID210" s="32"/>
      <c r="IE210" s="32"/>
      <c r="IF210" s="32"/>
      <c r="IG210" s="32"/>
      <c r="IH210" s="32"/>
      <c r="II210" s="32"/>
      <c r="IJ210" s="32"/>
      <c r="IK210" s="32"/>
      <c r="IL210" s="32"/>
      <c r="IM210" s="32"/>
      <c r="IN210" s="32"/>
      <c r="IO210" s="32"/>
      <c r="IP210" s="32"/>
      <c r="IQ210" s="32"/>
      <c r="IR210" s="32"/>
      <c r="IS210" s="32"/>
      <c r="IT210" s="32"/>
      <c r="IU210" s="32"/>
      <c r="IV210" s="32"/>
      <c r="IW210" s="32"/>
      <c r="IX210" s="32"/>
      <c r="IY210" s="32"/>
      <c r="IZ210" s="32"/>
      <c r="JA210" s="32"/>
      <c r="JB210" s="32"/>
      <c r="JC210" s="32"/>
      <c r="JD210" s="32"/>
      <c r="JE210" s="32"/>
      <c r="JF210" s="32"/>
      <c r="JG210" s="32"/>
      <c r="JH210" s="32"/>
      <c r="JI210" s="32"/>
      <c r="JJ210" s="32"/>
      <c r="JK210" s="32"/>
      <c r="JL210" s="32"/>
      <c r="JM210" s="32"/>
      <c r="JN210" s="32"/>
      <c r="JO210" s="32"/>
      <c r="JP210" s="32"/>
      <c r="JQ210" s="32"/>
      <c r="JR210" s="32"/>
      <c r="JS210" s="32"/>
      <c r="JT210" s="32"/>
      <c r="JU210" s="32"/>
      <c r="JV210" s="32"/>
      <c r="JW210" s="32"/>
      <c r="JX210" s="32"/>
      <c r="JY210" s="32"/>
      <c r="JZ210" s="32"/>
      <c r="KA210" s="32"/>
      <c r="KB210" s="32"/>
      <c r="KC210" s="32"/>
      <c r="KD210" s="32"/>
      <c r="KE210" s="32"/>
      <c r="KF210" s="32"/>
      <c r="KG210" s="32"/>
      <c r="KH210" s="32"/>
      <c r="KI210" s="32"/>
      <c r="KJ210" s="32"/>
      <c r="KK210" s="32"/>
      <c r="KL210" s="32"/>
      <c r="KM210" s="32"/>
      <c r="KN210" s="32"/>
      <c r="KO210" s="32"/>
      <c r="KP210" s="32"/>
      <c r="KQ210" s="32"/>
      <c r="KR210" s="32"/>
      <c r="KS210" s="32"/>
      <c r="KT210" s="32"/>
      <c r="KU210" s="32"/>
      <c r="KV210" s="32"/>
      <c r="KW210" s="32"/>
      <c r="KX210" s="32"/>
      <c r="KY210" s="32"/>
      <c r="KZ210" s="32"/>
      <c r="LA210" s="32"/>
      <c r="LB210" s="32"/>
      <c r="LC210" s="32"/>
      <c r="LD210" s="32"/>
      <c r="LE210" s="32"/>
      <c r="LF210" s="32"/>
      <c r="LG210" s="32"/>
      <c r="LH210" s="32"/>
      <c r="LI210" s="32"/>
      <c r="LJ210" s="32"/>
      <c r="LK210" s="32"/>
      <c r="LL210" s="32"/>
      <c r="LM210" s="32"/>
      <c r="LN210" s="32"/>
      <c r="LO210" s="32"/>
      <c r="LP210" s="32"/>
      <c r="LQ210" s="32"/>
      <c r="LR210" s="32"/>
      <c r="LS210" s="32"/>
      <c r="LT210" s="32"/>
      <c r="LU210" s="32"/>
      <c r="LV210" s="32"/>
      <c r="LW210" s="32"/>
      <c r="LX210" s="32"/>
      <c r="LY210" s="32"/>
      <c r="LZ210" s="32"/>
      <c r="MA210" s="32"/>
      <c r="MB210" s="32"/>
      <c r="MC210" s="32"/>
      <c r="MD210" s="32"/>
      <c r="ME210" s="32"/>
      <c r="MF210" s="32"/>
      <c r="MG210" s="32"/>
      <c r="MH210" s="32"/>
      <c r="MI210" s="32"/>
      <c r="MJ210" s="32"/>
      <c r="MK210" s="32"/>
      <c r="ML210" s="32"/>
      <c r="MM210" s="32"/>
      <c r="MN210" s="32"/>
      <c r="MO210" s="32"/>
      <c r="MP210" s="32"/>
      <c r="MQ210" s="32"/>
      <c r="MR210" s="32"/>
      <c r="MS210" s="32"/>
      <c r="MT210" s="32"/>
      <c r="MU210" s="32"/>
      <c r="MV210" s="32"/>
      <c r="MW210" s="32"/>
      <c r="MX210" s="32"/>
      <c r="MY210" s="32"/>
      <c r="MZ210" s="32"/>
      <c r="NA210" s="32"/>
      <c r="NB210" s="32"/>
      <c r="NC210" s="32"/>
      <c r="ND210" s="32"/>
      <c r="NE210" s="32"/>
      <c r="NF210" s="32"/>
      <c r="NG210" s="32"/>
      <c r="NH210" s="32"/>
      <c r="NI210" s="32"/>
      <c r="NJ210" s="32"/>
      <c r="NK210" s="32"/>
      <c r="NL210" s="32"/>
      <c r="NM210" s="32"/>
      <c r="NN210" s="32"/>
      <c r="NO210" s="32"/>
      <c r="NP210" s="32"/>
      <c r="NQ210" s="32"/>
      <c r="NR210" s="32"/>
      <c r="NS210" s="32"/>
      <c r="NT210" s="32"/>
      <c r="NU210" s="32"/>
      <c r="NV210" s="32"/>
      <c r="NW210" s="32"/>
      <c r="NX210" s="32"/>
      <c r="NY210" s="32"/>
      <c r="NZ210" s="32"/>
      <c r="OA210" s="32"/>
      <c r="OB210" s="32"/>
      <c r="OC210" s="32"/>
      <c r="OD210" s="32"/>
      <c r="OE210" s="32"/>
      <c r="OF210" s="32"/>
      <c r="OG210" s="32"/>
      <c r="OH210" s="32"/>
      <c r="OI210" s="32"/>
      <c r="OJ210" s="32"/>
      <c r="OK210" s="32"/>
      <c r="OL210" s="32"/>
      <c r="OM210" s="32"/>
      <c r="ON210" s="32"/>
      <c r="OO210" s="32"/>
      <c r="OP210" s="32"/>
      <c r="OQ210" s="32"/>
      <c r="OR210" s="32"/>
      <c r="OS210" s="32"/>
      <c r="OT210" s="32"/>
      <c r="OU210" s="32"/>
      <c r="OV210" s="32"/>
      <c r="OW210" s="32"/>
      <c r="OX210" s="32"/>
      <c r="OY210" s="32"/>
      <c r="OZ210" s="32"/>
      <c r="PA210" s="32"/>
      <c r="PB210" s="32"/>
      <c r="PC210" s="32"/>
      <c r="PD210" s="32"/>
      <c r="PE210" s="32"/>
      <c r="PF210" s="32"/>
      <c r="PG210" s="32"/>
      <c r="PH210" s="32"/>
      <c r="PI210" s="32"/>
      <c r="PJ210" s="32"/>
      <c r="PK210" s="32"/>
      <c r="PL210" s="32"/>
      <c r="PM210" s="32"/>
      <c r="PN210" s="32"/>
      <c r="PO210" s="32"/>
      <c r="PP210" s="32"/>
      <c r="PQ210" s="32"/>
      <c r="PR210" s="32"/>
      <c r="PS210" s="32"/>
      <c r="PT210" s="32"/>
      <c r="PU210" s="32"/>
      <c r="PV210" s="32"/>
      <c r="PW210" s="32"/>
      <c r="PX210" s="32"/>
      <c r="PY210" s="32"/>
      <c r="PZ210" s="32"/>
      <c r="QA210" s="32"/>
      <c r="QB210" s="32"/>
      <c r="QC210" s="32"/>
      <c r="QD210" s="32"/>
      <c r="QE210" s="32"/>
      <c r="QF210" s="32"/>
      <c r="QG210" s="32"/>
      <c r="QH210" s="32"/>
      <c r="QI210" s="32"/>
      <c r="QJ210" s="32"/>
      <c r="QK210" s="32"/>
      <c r="QL210" s="32"/>
      <c r="QM210" s="32"/>
      <c r="QN210" s="32"/>
      <c r="QO210" s="32"/>
      <c r="QP210" s="32"/>
      <c r="QQ210" s="32"/>
      <c r="QR210" s="32"/>
      <c r="QS210" s="32"/>
      <c r="QT210" s="32"/>
      <c r="QU210" s="32"/>
      <c r="QV210" s="32"/>
      <c r="QW210" s="32"/>
      <c r="QX210" s="32"/>
      <c r="QY210" s="32"/>
      <c r="QZ210" s="32"/>
      <c r="RA210" s="32"/>
      <c r="RB210" s="32"/>
      <c r="RC210" s="32"/>
      <c r="RD210" s="32"/>
      <c r="RE210" s="32"/>
      <c r="RF210" s="32"/>
      <c r="RG210" s="32"/>
      <c r="RH210" s="32"/>
      <c r="RI210" s="32"/>
      <c r="RJ210" s="32"/>
      <c r="RK210" s="32"/>
      <c r="RL210" s="32"/>
      <c r="RM210" s="32"/>
      <c r="RN210" s="32"/>
      <c r="RO210" s="32"/>
      <c r="RP210" s="32"/>
      <c r="RQ210" s="32"/>
      <c r="RR210" s="32"/>
      <c r="RS210" s="32"/>
      <c r="RT210" s="32"/>
      <c r="RU210" s="32"/>
      <c r="RV210" s="32"/>
      <c r="RW210" s="32"/>
      <c r="RX210" s="32"/>
      <c r="RY210" s="32"/>
      <c r="RZ210" s="32"/>
      <c r="SA210" s="32"/>
      <c r="SB210" s="32"/>
      <c r="SC210" s="32"/>
      <c r="SD210" s="32"/>
      <c r="SE210" s="32"/>
      <c r="SF210" s="32"/>
      <c r="SG210" s="32"/>
      <c r="SH210" s="32"/>
      <c r="SI210" s="32"/>
      <c r="SJ210" s="32"/>
      <c r="SK210" s="32"/>
      <c r="SL210" s="32"/>
      <c r="SM210" s="32"/>
      <c r="SN210" s="32"/>
      <c r="SO210" s="32"/>
      <c r="SP210" s="32"/>
      <c r="SQ210" s="32"/>
      <c r="SR210" s="32"/>
      <c r="SS210" s="32"/>
      <c r="ST210" s="32"/>
      <c r="SU210" s="32"/>
      <c r="SV210" s="32"/>
      <c r="SW210" s="32"/>
      <c r="SX210" s="32"/>
      <c r="SY210" s="32"/>
      <c r="SZ210" s="32"/>
      <c r="TA210" s="32"/>
      <c r="TB210" s="32"/>
      <c r="TC210" s="32"/>
      <c r="TD210" s="32"/>
      <c r="TE210" s="32"/>
      <c r="TF210" s="32"/>
      <c r="TG210" s="32"/>
    </row>
    <row r="211" spans="1:527" s="34" customFormat="1" ht="21.75" customHeight="1" x14ac:dyDescent="0.25">
      <c r="A211" s="96" t="s">
        <v>192</v>
      </c>
      <c r="B211" s="109"/>
      <c r="C211" s="109"/>
      <c r="D211" s="77" t="s">
        <v>335</v>
      </c>
      <c r="E211" s="98">
        <f>E212+E213+E214+E216+E217++E219+E215+E218+E220</f>
        <v>82887057</v>
      </c>
      <c r="F211" s="98">
        <f t="shared" ref="F211:P211" si="89">F212+F213+F214+F216+F217++F219+F215+F218+F220</f>
        <v>82887057</v>
      </c>
      <c r="G211" s="98">
        <f t="shared" si="89"/>
        <v>62366800</v>
      </c>
      <c r="H211" s="98">
        <f t="shared" si="89"/>
        <v>2860657</v>
      </c>
      <c r="I211" s="98">
        <f t="shared" si="89"/>
        <v>0</v>
      </c>
      <c r="J211" s="98">
        <f t="shared" si="89"/>
        <v>5080600</v>
      </c>
      <c r="K211" s="98">
        <f t="shared" si="89"/>
        <v>2320500</v>
      </c>
      <c r="L211" s="98">
        <f t="shared" si="89"/>
        <v>2756970</v>
      </c>
      <c r="M211" s="98">
        <f t="shared" si="89"/>
        <v>2239004</v>
      </c>
      <c r="N211" s="98">
        <f t="shared" si="89"/>
        <v>3300</v>
      </c>
      <c r="O211" s="98">
        <f t="shared" si="89"/>
        <v>2323630</v>
      </c>
      <c r="P211" s="98">
        <f t="shared" si="89"/>
        <v>87967657</v>
      </c>
      <c r="Q211" s="33"/>
      <c r="R211" s="32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33"/>
      <c r="DF211" s="33"/>
      <c r="DG211" s="33"/>
      <c r="DH211" s="33"/>
      <c r="DI211" s="33"/>
      <c r="DJ211" s="33"/>
      <c r="DK211" s="33"/>
      <c r="DL211" s="33"/>
      <c r="DM211" s="33"/>
      <c r="DN211" s="33"/>
      <c r="DO211" s="33"/>
      <c r="DP211" s="33"/>
      <c r="DQ211" s="33"/>
      <c r="DR211" s="33"/>
      <c r="DS211" s="33"/>
      <c r="DT211" s="33"/>
      <c r="DU211" s="33"/>
      <c r="DV211" s="33"/>
      <c r="DW211" s="33"/>
      <c r="DX211" s="33"/>
      <c r="DY211" s="33"/>
      <c r="DZ211" s="33"/>
      <c r="EA211" s="33"/>
      <c r="EB211" s="33"/>
      <c r="EC211" s="33"/>
      <c r="ED211" s="33"/>
      <c r="EE211" s="33"/>
      <c r="EF211" s="33"/>
      <c r="EG211" s="33"/>
      <c r="EH211" s="33"/>
      <c r="EI211" s="33"/>
      <c r="EJ211" s="33"/>
      <c r="EK211" s="33"/>
      <c r="EL211" s="33"/>
      <c r="EM211" s="33"/>
      <c r="EN211" s="33"/>
      <c r="EO211" s="33"/>
      <c r="EP211" s="33"/>
      <c r="EQ211" s="33"/>
      <c r="ER211" s="33"/>
      <c r="ES211" s="33"/>
      <c r="ET211" s="33"/>
      <c r="EU211" s="33"/>
      <c r="EV211" s="33"/>
      <c r="EW211" s="33"/>
      <c r="EX211" s="33"/>
      <c r="EY211" s="33"/>
      <c r="EZ211" s="33"/>
      <c r="FA211" s="33"/>
      <c r="FB211" s="33"/>
      <c r="FC211" s="33"/>
      <c r="FD211" s="33"/>
      <c r="FE211" s="33"/>
      <c r="FF211" s="33"/>
      <c r="FG211" s="33"/>
      <c r="FH211" s="33"/>
      <c r="FI211" s="33"/>
      <c r="FJ211" s="33"/>
      <c r="FK211" s="33"/>
      <c r="FL211" s="33"/>
      <c r="FM211" s="33"/>
      <c r="FN211" s="33"/>
      <c r="FO211" s="33"/>
      <c r="FP211" s="33"/>
      <c r="FQ211" s="33"/>
      <c r="FR211" s="33"/>
      <c r="FS211" s="33"/>
      <c r="FT211" s="33"/>
      <c r="FU211" s="33"/>
      <c r="FV211" s="33"/>
      <c r="FW211" s="33"/>
      <c r="FX211" s="33"/>
      <c r="FY211" s="33"/>
      <c r="FZ211" s="33"/>
      <c r="GA211" s="33"/>
      <c r="GB211" s="33"/>
      <c r="GC211" s="33"/>
      <c r="GD211" s="33"/>
      <c r="GE211" s="33"/>
      <c r="GF211" s="33"/>
      <c r="GG211" s="33"/>
      <c r="GH211" s="33"/>
      <c r="GI211" s="33"/>
      <c r="GJ211" s="33"/>
      <c r="GK211" s="33"/>
      <c r="GL211" s="33"/>
      <c r="GM211" s="33"/>
      <c r="GN211" s="33"/>
      <c r="GO211" s="33"/>
      <c r="GP211" s="33"/>
      <c r="GQ211" s="33"/>
      <c r="GR211" s="33"/>
      <c r="GS211" s="33"/>
      <c r="GT211" s="33"/>
      <c r="GU211" s="33"/>
      <c r="GV211" s="33"/>
      <c r="GW211" s="33"/>
      <c r="GX211" s="33"/>
      <c r="GY211" s="33"/>
      <c r="GZ211" s="33"/>
      <c r="HA211" s="33"/>
      <c r="HB211" s="33"/>
      <c r="HC211" s="33"/>
      <c r="HD211" s="33"/>
      <c r="HE211" s="33"/>
      <c r="HF211" s="33"/>
      <c r="HG211" s="33"/>
      <c r="HH211" s="33"/>
      <c r="HI211" s="33"/>
      <c r="HJ211" s="33"/>
      <c r="HK211" s="33"/>
      <c r="HL211" s="33"/>
      <c r="HM211" s="33"/>
      <c r="HN211" s="33"/>
      <c r="HO211" s="33"/>
      <c r="HP211" s="33"/>
      <c r="HQ211" s="33"/>
      <c r="HR211" s="33"/>
      <c r="HS211" s="33"/>
      <c r="HT211" s="33"/>
      <c r="HU211" s="33"/>
      <c r="HV211" s="33"/>
      <c r="HW211" s="33"/>
      <c r="HX211" s="33"/>
      <c r="HY211" s="33"/>
      <c r="HZ211" s="33"/>
      <c r="IA211" s="33"/>
      <c r="IB211" s="33"/>
      <c r="IC211" s="33"/>
      <c r="ID211" s="33"/>
      <c r="IE211" s="33"/>
      <c r="IF211" s="33"/>
      <c r="IG211" s="33"/>
      <c r="IH211" s="33"/>
      <c r="II211" s="33"/>
      <c r="IJ211" s="33"/>
      <c r="IK211" s="33"/>
      <c r="IL211" s="33"/>
      <c r="IM211" s="33"/>
      <c r="IN211" s="33"/>
      <c r="IO211" s="33"/>
      <c r="IP211" s="33"/>
      <c r="IQ211" s="33"/>
      <c r="IR211" s="33"/>
      <c r="IS211" s="33"/>
      <c r="IT211" s="33"/>
      <c r="IU211" s="33"/>
      <c r="IV211" s="33"/>
      <c r="IW211" s="33"/>
      <c r="IX211" s="33"/>
      <c r="IY211" s="33"/>
      <c r="IZ211" s="33"/>
      <c r="JA211" s="33"/>
      <c r="JB211" s="33"/>
      <c r="JC211" s="33"/>
      <c r="JD211" s="33"/>
      <c r="JE211" s="33"/>
      <c r="JF211" s="33"/>
      <c r="JG211" s="33"/>
      <c r="JH211" s="33"/>
      <c r="JI211" s="33"/>
      <c r="JJ211" s="33"/>
      <c r="JK211" s="33"/>
      <c r="JL211" s="33"/>
      <c r="JM211" s="33"/>
      <c r="JN211" s="33"/>
      <c r="JO211" s="33"/>
      <c r="JP211" s="33"/>
      <c r="JQ211" s="33"/>
      <c r="JR211" s="33"/>
      <c r="JS211" s="33"/>
      <c r="JT211" s="33"/>
      <c r="JU211" s="33"/>
      <c r="JV211" s="33"/>
      <c r="JW211" s="33"/>
      <c r="JX211" s="33"/>
      <c r="JY211" s="33"/>
      <c r="JZ211" s="33"/>
      <c r="KA211" s="33"/>
      <c r="KB211" s="33"/>
      <c r="KC211" s="33"/>
      <c r="KD211" s="33"/>
      <c r="KE211" s="33"/>
      <c r="KF211" s="33"/>
      <c r="KG211" s="33"/>
      <c r="KH211" s="33"/>
      <c r="KI211" s="33"/>
      <c r="KJ211" s="33"/>
      <c r="KK211" s="33"/>
      <c r="KL211" s="33"/>
      <c r="KM211" s="33"/>
      <c r="KN211" s="33"/>
      <c r="KO211" s="33"/>
      <c r="KP211" s="33"/>
      <c r="KQ211" s="33"/>
      <c r="KR211" s="33"/>
      <c r="KS211" s="33"/>
      <c r="KT211" s="33"/>
      <c r="KU211" s="33"/>
      <c r="KV211" s="33"/>
      <c r="KW211" s="33"/>
      <c r="KX211" s="33"/>
      <c r="KY211" s="33"/>
      <c r="KZ211" s="33"/>
      <c r="LA211" s="33"/>
      <c r="LB211" s="33"/>
      <c r="LC211" s="33"/>
      <c r="LD211" s="33"/>
      <c r="LE211" s="33"/>
      <c r="LF211" s="33"/>
      <c r="LG211" s="33"/>
      <c r="LH211" s="33"/>
      <c r="LI211" s="33"/>
      <c r="LJ211" s="33"/>
      <c r="LK211" s="33"/>
      <c r="LL211" s="33"/>
      <c r="LM211" s="33"/>
      <c r="LN211" s="33"/>
      <c r="LO211" s="33"/>
      <c r="LP211" s="33"/>
      <c r="LQ211" s="33"/>
      <c r="LR211" s="33"/>
      <c r="LS211" s="33"/>
      <c r="LT211" s="33"/>
      <c r="LU211" s="33"/>
      <c r="LV211" s="33"/>
      <c r="LW211" s="33"/>
      <c r="LX211" s="33"/>
      <c r="LY211" s="33"/>
      <c r="LZ211" s="33"/>
      <c r="MA211" s="33"/>
      <c r="MB211" s="33"/>
      <c r="MC211" s="33"/>
      <c r="MD211" s="33"/>
      <c r="ME211" s="33"/>
      <c r="MF211" s="33"/>
      <c r="MG211" s="33"/>
      <c r="MH211" s="33"/>
      <c r="MI211" s="33"/>
      <c r="MJ211" s="33"/>
      <c r="MK211" s="33"/>
      <c r="ML211" s="33"/>
      <c r="MM211" s="33"/>
      <c r="MN211" s="33"/>
      <c r="MO211" s="33"/>
      <c r="MP211" s="33"/>
      <c r="MQ211" s="33"/>
      <c r="MR211" s="33"/>
      <c r="MS211" s="33"/>
      <c r="MT211" s="33"/>
      <c r="MU211" s="33"/>
      <c r="MV211" s="33"/>
      <c r="MW211" s="33"/>
      <c r="MX211" s="33"/>
      <c r="MY211" s="33"/>
      <c r="MZ211" s="33"/>
      <c r="NA211" s="33"/>
      <c r="NB211" s="33"/>
      <c r="NC211" s="33"/>
      <c r="ND211" s="33"/>
      <c r="NE211" s="33"/>
      <c r="NF211" s="33"/>
      <c r="NG211" s="33"/>
      <c r="NH211" s="33"/>
      <c r="NI211" s="33"/>
      <c r="NJ211" s="33"/>
      <c r="NK211" s="33"/>
      <c r="NL211" s="33"/>
      <c r="NM211" s="33"/>
      <c r="NN211" s="33"/>
      <c r="NO211" s="33"/>
      <c r="NP211" s="33"/>
      <c r="NQ211" s="33"/>
      <c r="NR211" s="33"/>
      <c r="NS211" s="33"/>
      <c r="NT211" s="33"/>
      <c r="NU211" s="33"/>
      <c r="NV211" s="33"/>
      <c r="NW211" s="33"/>
      <c r="NX211" s="33"/>
      <c r="NY211" s="33"/>
      <c r="NZ211" s="33"/>
      <c r="OA211" s="33"/>
      <c r="OB211" s="33"/>
      <c r="OC211" s="33"/>
      <c r="OD211" s="33"/>
      <c r="OE211" s="33"/>
      <c r="OF211" s="33"/>
      <c r="OG211" s="33"/>
      <c r="OH211" s="33"/>
      <c r="OI211" s="33"/>
      <c r="OJ211" s="33"/>
      <c r="OK211" s="33"/>
      <c r="OL211" s="33"/>
      <c r="OM211" s="33"/>
      <c r="ON211" s="33"/>
      <c r="OO211" s="33"/>
      <c r="OP211" s="33"/>
      <c r="OQ211" s="33"/>
      <c r="OR211" s="33"/>
      <c r="OS211" s="33"/>
      <c r="OT211" s="33"/>
      <c r="OU211" s="33"/>
      <c r="OV211" s="33"/>
      <c r="OW211" s="33"/>
      <c r="OX211" s="33"/>
      <c r="OY211" s="33"/>
      <c r="OZ211" s="33"/>
      <c r="PA211" s="33"/>
      <c r="PB211" s="33"/>
      <c r="PC211" s="33"/>
      <c r="PD211" s="33"/>
      <c r="PE211" s="33"/>
      <c r="PF211" s="33"/>
      <c r="PG211" s="33"/>
      <c r="PH211" s="33"/>
      <c r="PI211" s="33"/>
      <c r="PJ211" s="33"/>
      <c r="PK211" s="33"/>
      <c r="PL211" s="33"/>
      <c r="PM211" s="33"/>
      <c r="PN211" s="33"/>
      <c r="PO211" s="33"/>
      <c r="PP211" s="33"/>
      <c r="PQ211" s="33"/>
      <c r="PR211" s="33"/>
      <c r="PS211" s="33"/>
      <c r="PT211" s="33"/>
      <c r="PU211" s="33"/>
      <c r="PV211" s="33"/>
      <c r="PW211" s="33"/>
      <c r="PX211" s="33"/>
      <c r="PY211" s="33"/>
      <c r="PZ211" s="33"/>
      <c r="QA211" s="33"/>
      <c r="QB211" s="33"/>
      <c r="QC211" s="33"/>
      <c r="QD211" s="33"/>
      <c r="QE211" s="33"/>
      <c r="QF211" s="33"/>
      <c r="QG211" s="33"/>
      <c r="QH211" s="33"/>
      <c r="QI211" s="33"/>
      <c r="QJ211" s="33"/>
      <c r="QK211" s="33"/>
      <c r="QL211" s="33"/>
      <c r="QM211" s="33"/>
      <c r="QN211" s="33"/>
      <c r="QO211" s="33"/>
      <c r="QP211" s="33"/>
      <c r="QQ211" s="33"/>
      <c r="QR211" s="33"/>
      <c r="QS211" s="33"/>
      <c r="QT211" s="33"/>
      <c r="QU211" s="33"/>
      <c r="QV211" s="33"/>
      <c r="QW211" s="33"/>
      <c r="QX211" s="33"/>
      <c r="QY211" s="33"/>
      <c r="QZ211" s="33"/>
      <c r="RA211" s="33"/>
      <c r="RB211" s="33"/>
      <c r="RC211" s="33"/>
      <c r="RD211" s="33"/>
      <c r="RE211" s="33"/>
      <c r="RF211" s="33"/>
      <c r="RG211" s="33"/>
      <c r="RH211" s="33"/>
      <c r="RI211" s="33"/>
      <c r="RJ211" s="33"/>
      <c r="RK211" s="33"/>
      <c r="RL211" s="33"/>
      <c r="RM211" s="33"/>
      <c r="RN211" s="33"/>
      <c r="RO211" s="33"/>
      <c r="RP211" s="33"/>
      <c r="RQ211" s="33"/>
      <c r="RR211" s="33"/>
      <c r="RS211" s="33"/>
      <c r="RT211" s="33"/>
      <c r="RU211" s="33"/>
      <c r="RV211" s="33"/>
      <c r="RW211" s="33"/>
      <c r="RX211" s="33"/>
      <c r="RY211" s="33"/>
      <c r="RZ211" s="33"/>
      <c r="SA211" s="33"/>
      <c r="SB211" s="33"/>
      <c r="SC211" s="33"/>
      <c r="SD211" s="33"/>
      <c r="SE211" s="33"/>
      <c r="SF211" s="33"/>
      <c r="SG211" s="33"/>
      <c r="SH211" s="33"/>
      <c r="SI211" s="33"/>
      <c r="SJ211" s="33"/>
      <c r="SK211" s="33"/>
      <c r="SL211" s="33"/>
      <c r="SM211" s="33"/>
      <c r="SN211" s="33"/>
      <c r="SO211" s="33"/>
      <c r="SP211" s="33"/>
      <c r="SQ211" s="33"/>
      <c r="SR211" s="33"/>
      <c r="SS211" s="33"/>
      <c r="ST211" s="33"/>
      <c r="SU211" s="33"/>
      <c r="SV211" s="33"/>
      <c r="SW211" s="33"/>
      <c r="SX211" s="33"/>
      <c r="SY211" s="33"/>
      <c r="SZ211" s="33"/>
      <c r="TA211" s="33"/>
      <c r="TB211" s="33"/>
      <c r="TC211" s="33"/>
      <c r="TD211" s="33"/>
      <c r="TE211" s="33"/>
      <c r="TF211" s="33"/>
      <c r="TG211" s="33"/>
    </row>
    <row r="212" spans="1:527" s="22" customFormat="1" ht="47.25" x14ac:dyDescent="0.25">
      <c r="A212" s="59" t="s">
        <v>139</v>
      </c>
      <c r="B212" s="93" t="str">
        <f>'дод 8'!A19</f>
        <v>0160</v>
      </c>
      <c r="C212" s="93" t="str">
        <f>'дод 8'!B19</f>
        <v>0111</v>
      </c>
      <c r="D212" s="36" t="s">
        <v>494</v>
      </c>
      <c r="E212" s="99">
        <f t="shared" ref="E212:E220" si="90">F212+I212</f>
        <v>2174235</v>
      </c>
      <c r="F212" s="99">
        <f>2163700+3335+7200</f>
        <v>2174235</v>
      </c>
      <c r="G212" s="99">
        <v>1695500</v>
      </c>
      <c r="H212" s="99">
        <f>18000+3335+7200</f>
        <v>28535</v>
      </c>
      <c r="I212" s="99"/>
      <c r="J212" s="99">
        <f>L212+O212</f>
        <v>0</v>
      </c>
      <c r="K212" s="99"/>
      <c r="L212" s="99"/>
      <c r="M212" s="99"/>
      <c r="N212" s="99"/>
      <c r="O212" s="99"/>
      <c r="P212" s="99">
        <f t="shared" ref="P212:P220" si="91">E212+J212</f>
        <v>2174235</v>
      </c>
      <c r="Q212" s="23"/>
      <c r="R212" s="32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  <c r="SQ212" s="23"/>
      <c r="SR212" s="23"/>
      <c r="SS212" s="23"/>
      <c r="ST212" s="23"/>
      <c r="SU212" s="23"/>
      <c r="SV212" s="23"/>
      <c r="SW212" s="23"/>
      <c r="SX212" s="23"/>
      <c r="SY212" s="23"/>
      <c r="SZ212" s="23"/>
      <c r="TA212" s="23"/>
      <c r="TB212" s="23"/>
      <c r="TC212" s="23"/>
      <c r="TD212" s="23"/>
      <c r="TE212" s="23"/>
      <c r="TF212" s="23"/>
      <c r="TG212" s="23"/>
    </row>
    <row r="213" spans="1:527" s="22" customFormat="1" ht="19.5" customHeight="1" x14ac:dyDescent="0.25">
      <c r="A213" s="59" t="s">
        <v>509</v>
      </c>
      <c r="B213" s="93">
        <v>1080</v>
      </c>
      <c r="C213" s="59" t="s">
        <v>57</v>
      </c>
      <c r="D213" s="60" t="s">
        <v>510</v>
      </c>
      <c r="E213" s="99">
        <f t="shared" si="90"/>
        <v>51114215</v>
      </c>
      <c r="F213" s="99">
        <f>50652500+65000+20000+30000+15000+165515+166200</f>
        <v>51114215</v>
      </c>
      <c r="G213" s="99">
        <v>40594000</v>
      </c>
      <c r="H213" s="99">
        <f>612300+165515+166200</f>
        <v>944015</v>
      </c>
      <c r="I213" s="99"/>
      <c r="J213" s="99">
        <f t="shared" ref="J213:J220" si="92">L213+O213</f>
        <v>2729100</v>
      </c>
      <c r="K213" s="99"/>
      <c r="L213" s="99">
        <v>2725970</v>
      </c>
      <c r="M213" s="99">
        <v>2226904</v>
      </c>
      <c r="N213" s="99"/>
      <c r="O213" s="99">
        <v>3130</v>
      </c>
      <c r="P213" s="99">
        <f t="shared" si="91"/>
        <v>53843315</v>
      </c>
      <c r="Q213" s="23"/>
      <c r="R213" s="32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  <c r="TF213" s="23"/>
      <c r="TG213" s="23"/>
    </row>
    <row r="214" spans="1:527" s="22" customFormat="1" ht="21" customHeight="1" x14ac:dyDescent="0.25">
      <c r="A214" s="59" t="s">
        <v>193</v>
      </c>
      <c r="B214" s="93" t="str">
        <f>'дод 8'!A142</f>
        <v>4030</v>
      </c>
      <c r="C214" s="93" t="str">
        <f>'дод 8'!B142</f>
        <v>0824</v>
      </c>
      <c r="D214" s="60" t="str">
        <f>'дод 8'!C142</f>
        <v>Забезпечення діяльності бібліотек</v>
      </c>
      <c r="E214" s="99">
        <f t="shared" si="90"/>
        <v>23708364</v>
      </c>
      <c r="F214" s="99">
        <f>22627900+77000+112000+10000+2500+194764+62500+199000+50000+372700</f>
        <v>23708364</v>
      </c>
      <c r="G214" s="99">
        <v>16852700</v>
      </c>
      <c r="H214" s="99">
        <f>1133500+194764+372700</f>
        <v>1700964</v>
      </c>
      <c r="I214" s="99"/>
      <c r="J214" s="99">
        <f t="shared" si="92"/>
        <v>252500</v>
      </c>
      <c r="K214" s="99">
        <f>195000+20000+5000+7500</f>
        <v>227500</v>
      </c>
      <c r="L214" s="99">
        <v>25000</v>
      </c>
      <c r="M214" s="99">
        <v>12100</v>
      </c>
      <c r="N214" s="99"/>
      <c r="O214" s="99">
        <f>195000+20000+5000+7500</f>
        <v>227500</v>
      </c>
      <c r="P214" s="99">
        <f t="shared" si="91"/>
        <v>23960864</v>
      </c>
      <c r="Q214" s="23"/>
      <c r="R214" s="32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  <c r="TF214" s="23"/>
      <c r="TG214" s="23"/>
    </row>
    <row r="215" spans="1:527" s="22" customFormat="1" ht="48.75" customHeight="1" x14ac:dyDescent="0.25">
      <c r="A215" s="59">
        <v>1014060</v>
      </c>
      <c r="B215" s="93" t="str">
        <f>'дод 8'!A143</f>
        <v>4060</v>
      </c>
      <c r="C215" s="93" t="str">
        <f>'дод 8'!B143</f>
        <v>0828</v>
      </c>
      <c r="D215" s="60" t="str">
        <f>'дод 8'!C143</f>
        <v>Забезпечення діяльності палаців i будинків культури, клубів, центрів дозвілля та iнших клубних закладів</v>
      </c>
      <c r="E215" s="99">
        <f t="shared" si="90"/>
        <v>2292616</v>
      </c>
      <c r="F215" s="99">
        <f>2160300+15160+20000+25000+40000+10156+22000</f>
        <v>2292616</v>
      </c>
      <c r="G215" s="99">
        <v>1531600</v>
      </c>
      <c r="H215" s="99">
        <f>115700+15160+10156</f>
        <v>141016</v>
      </c>
      <c r="I215" s="99"/>
      <c r="J215" s="99">
        <f t="shared" si="92"/>
        <v>6000</v>
      </c>
      <c r="K215" s="99">
        <f>40000-40000</f>
        <v>0</v>
      </c>
      <c r="L215" s="99">
        <v>6000</v>
      </c>
      <c r="M215" s="99"/>
      <c r="N215" s="99">
        <v>3300</v>
      </c>
      <c r="O215" s="99">
        <f>40000-40000</f>
        <v>0</v>
      </c>
      <c r="P215" s="99">
        <f t="shared" si="91"/>
        <v>2298616</v>
      </c>
      <c r="Q215" s="23"/>
      <c r="R215" s="32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  <c r="TF215" s="23"/>
      <c r="TG215" s="23"/>
    </row>
    <row r="216" spans="1:527" s="24" customFormat="1" ht="33.75" customHeight="1" x14ac:dyDescent="0.25">
      <c r="A216" s="59">
        <v>1014081</v>
      </c>
      <c r="B216" s="93" t="str">
        <f>'дод 8'!A144</f>
        <v>4081</v>
      </c>
      <c r="C216" s="93" t="str">
        <f>'дод 8'!B144</f>
        <v>0829</v>
      </c>
      <c r="D216" s="60" t="str">
        <f>'дод 8'!C144</f>
        <v>Забезпечення діяльності інших закладів в галузі культури і мистецтва</v>
      </c>
      <c r="E216" s="99">
        <f t="shared" si="90"/>
        <v>2217627</v>
      </c>
      <c r="F216" s="99">
        <f>2206400+1827+9400</f>
        <v>2217627</v>
      </c>
      <c r="G216" s="99">
        <v>1693000</v>
      </c>
      <c r="H216" s="99">
        <f>34900+1827+9400</f>
        <v>46127</v>
      </c>
      <c r="I216" s="99"/>
      <c r="J216" s="99">
        <f t="shared" si="92"/>
        <v>23000</v>
      </c>
      <c r="K216" s="99">
        <v>23000</v>
      </c>
      <c r="L216" s="99"/>
      <c r="M216" s="99"/>
      <c r="N216" s="99"/>
      <c r="O216" s="99">
        <v>23000</v>
      </c>
      <c r="P216" s="99">
        <f t="shared" si="91"/>
        <v>2240627</v>
      </c>
      <c r="Q216" s="30"/>
      <c r="R216" s="32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F216" s="30"/>
      <c r="EG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30"/>
      <c r="FI216" s="30"/>
      <c r="FJ216" s="30"/>
      <c r="FK216" s="30"/>
      <c r="FL216" s="30"/>
      <c r="FM216" s="30"/>
      <c r="FN216" s="30"/>
      <c r="FO216" s="30"/>
      <c r="FP216" s="30"/>
      <c r="FQ216" s="30"/>
      <c r="FR216" s="30"/>
      <c r="FS216" s="30"/>
      <c r="FT216" s="30"/>
      <c r="FU216" s="30"/>
      <c r="FV216" s="30"/>
      <c r="FW216" s="30"/>
      <c r="FX216" s="30"/>
      <c r="FY216" s="30"/>
      <c r="FZ216" s="30"/>
      <c r="GA216" s="30"/>
      <c r="GB216" s="30"/>
      <c r="GC216" s="30"/>
      <c r="GD216" s="30"/>
      <c r="GE216" s="30"/>
      <c r="GF216" s="30"/>
      <c r="GG216" s="30"/>
      <c r="GH216" s="30"/>
      <c r="GI216" s="30"/>
      <c r="GJ216" s="30"/>
      <c r="GK216" s="30"/>
      <c r="GL216" s="30"/>
      <c r="GM216" s="30"/>
      <c r="GN216" s="30"/>
      <c r="GO216" s="30"/>
      <c r="GP216" s="30"/>
      <c r="GQ216" s="30"/>
      <c r="GR216" s="30"/>
      <c r="GS216" s="30"/>
      <c r="GT216" s="30"/>
      <c r="GU216" s="30"/>
      <c r="GV216" s="30"/>
      <c r="GW216" s="30"/>
      <c r="GX216" s="30"/>
      <c r="GY216" s="30"/>
      <c r="GZ216" s="30"/>
      <c r="HA216" s="30"/>
      <c r="HB216" s="30"/>
      <c r="HC216" s="30"/>
      <c r="HD216" s="30"/>
      <c r="HE216" s="30"/>
      <c r="HF216" s="30"/>
      <c r="HG216" s="30"/>
      <c r="HH216" s="30"/>
      <c r="HI216" s="30"/>
      <c r="HJ216" s="30"/>
      <c r="HK216" s="30"/>
      <c r="HL216" s="30"/>
      <c r="HM216" s="30"/>
      <c r="HN216" s="30"/>
      <c r="HO216" s="30"/>
      <c r="HP216" s="30"/>
      <c r="HQ216" s="30"/>
      <c r="HR216" s="30"/>
      <c r="HS216" s="30"/>
      <c r="HT216" s="30"/>
      <c r="HU216" s="30"/>
      <c r="HV216" s="30"/>
      <c r="HW216" s="30"/>
      <c r="HX216" s="30"/>
      <c r="HY216" s="30"/>
      <c r="HZ216" s="30"/>
      <c r="IA216" s="30"/>
      <c r="IB216" s="30"/>
      <c r="IC216" s="30"/>
      <c r="ID216" s="30"/>
      <c r="IE216" s="30"/>
      <c r="IF216" s="30"/>
      <c r="IG216" s="30"/>
      <c r="IH216" s="30"/>
      <c r="II216" s="30"/>
      <c r="IJ216" s="30"/>
      <c r="IK216" s="30"/>
      <c r="IL216" s="30"/>
      <c r="IM216" s="30"/>
      <c r="IN216" s="30"/>
      <c r="IO216" s="30"/>
      <c r="IP216" s="30"/>
      <c r="IQ216" s="30"/>
      <c r="IR216" s="30"/>
      <c r="IS216" s="30"/>
      <c r="IT216" s="30"/>
      <c r="IU216" s="30"/>
      <c r="IV216" s="30"/>
      <c r="IW216" s="30"/>
      <c r="IX216" s="30"/>
      <c r="IY216" s="30"/>
      <c r="IZ216" s="30"/>
      <c r="JA216" s="30"/>
      <c r="JB216" s="30"/>
      <c r="JC216" s="30"/>
      <c r="JD216" s="30"/>
      <c r="JE216" s="30"/>
      <c r="JF216" s="30"/>
      <c r="JG216" s="30"/>
      <c r="JH216" s="30"/>
      <c r="JI216" s="30"/>
      <c r="JJ216" s="30"/>
      <c r="JK216" s="30"/>
      <c r="JL216" s="30"/>
      <c r="JM216" s="30"/>
      <c r="JN216" s="30"/>
      <c r="JO216" s="30"/>
      <c r="JP216" s="30"/>
      <c r="JQ216" s="30"/>
      <c r="JR216" s="30"/>
      <c r="JS216" s="30"/>
      <c r="JT216" s="30"/>
      <c r="JU216" s="30"/>
      <c r="JV216" s="30"/>
      <c r="JW216" s="30"/>
      <c r="JX216" s="30"/>
      <c r="JY216" s="30"/>
      <c r="JZ216" s="30"/>
      <c r="KA216" s="30"/>
      <c r="KB216" s="30"/>
      <c r="KC216" s="30"/>
      <c r="KD216" s="30"/>
      <c r="KE216" s="30"/>
      <c r="KF216" s="30"/>
      <c r="KG216" s="30"/>
      <c r="KH216" s="30"/>
      <c r="KI216" s="30"/>
      <c r="KJ216" s="30"/>
      <c r="KK216" s="30"/>
      <c r="KL216" s="30"/>
      <c r="KM216" s="30"/>
      <c r="KN216" s="30"/>
      <c r="KO216" s="30"/>
      <c r="KP216" s="30"/>
      <c r="KQ216" s="30"/>
      <c r="KR216" s="30"/>
      <c r="KS216" s="30"/>
      <c r="KT216" s="30"/>
      <c r="KU216" s="30"/>
      <c r="KV216" s="30"/>
      <c r="KW216" s="30"/>
      <c r="KX216" s="30"/>
      <c r="KY216" s="30"/>
      <c r="KZ216" s="30"/>
      <c r="LA216" s="30"/>
      <c r="LB216" s="30"/>
      <c r="LC216" s="30"/>
      <c r="LD216" s="30"/>
      <c r="LE216" s="30"/>
      <c r="LF216" s="30"/>
      <c r="LG216" s="30"/>
      <c r="LH216" s="30"/>
      <c r="LI216" s="30"/>
      <c r="LJ216" s="30"/>
      <c r="LK216" s="30"/>
      <c r="LL216" s="30"/>
      <c r="LM216" s="30"/>
      <c r="LN216" s="30"/>
      <c r="LO216" s="30"/>
      <c r="LP216" s="30"/>
      <c r="LQ216" s="30"/>
      <c r="LR216" s="30"/>
      <c r="LS216" s="30"/>
      <c r="LT216" s="30"/>
      <c r="LU216" s="30"/>
      <c r="LV216" s="30"/>
      <c r="LW216" s="30"/>
      <c r="LX216" s="30"/>
      <c r="LY216" s="30"/>
      <c r="LZ216" s="30"/>
      <c r="MA216" s="30"/>
      <c r="MB216" s="30"/>
      <c r="MC216" s="30"/>
      <c r="MD216" s="30"/>
      <c r="ME216" s="30"/>
      <c r="MF216" s="30"/>
      <c r="MG216" s="30"/>
      <c r="MH216" s="30"/>
      <c r="MI216" s="30"/>
      <c r="MJ216" s="30"/>
      <c r="MK216" s="30"/>
      <c r="ML216" s="30"/>
      <c r="MM216" s="30"/>
      <c r="MN216" s="30"/>
      <c r="MO216" s="30"/>
      <c r="MP216" s="30"/>
      <c r="MQ216" s="30"/>
      <c r="MR216" s="30"/>
      <c r="MS216" s="30"/>
      <c r="MT216" s="30"/>
      <c r="MU216" s="30"/>
      <c r="MV216" s="30"/>
      <c r="MW216" s="30"/>
      <c r="MX216" s="30"/>
      <c r="MY216" s="30"/>
      <c r="MZ216" s="30"/>
      <c r="NA216" s="30"/>
      <c r="NB216" s="30"/>
      <c r="NC216" s="30"/>
      <c r="ND216" s="30"/>
      <c r="NE216" s="30"/>
      <c r="NF216" s="30"/>
      <c r="NG216" s="30"/>
      <c r="NH216" s="30"/>
      <c r="NI216" s="30"/>
      <c r="NJ216" s="30"/>
      <c r="NK216" s="30"/>
      <c r="NL216" s="30"/>
      <c r="NM216" s="30"/>
      <c r="NN216" s="30"/>
      <c r="NO216" s="30"/>
      <c r="NP216" s="30"/>
      <c r="NQ216" s="30"/>
      <c r="NR216" s="30"/>
      <c r="NS216" s="30"/>
      <c r="NT216" s="30"/>
      <c r="NU216" s="30"/>
      <c r="NV216" s="30"/>
      <c r="NW216" s="30"/>
      <c r="NX216" s="30"/>
      <c r="NY216" s="30"/>
      <c r="NZ216" s="30"/>
      <c r="OA216" s="30"/>
      <c r="OB216" s="30"/>
      <c r="OC216" s="30"/>
      <c r="OD216" s="30"/>
      <c r="OE216" s="30"/>
      <c r="OF216" s="30"/>
      <c r="OG216" s="30"/>
      <c r="OH216" s="30"/>
      <c r="OI216" s="30"/>
      <c r="OJ216" s="30"/>
      <c r="OK216" s="30"/>
      <c r="OL216" s="30"/>
      <c r="OM216" s="30"/>
      <c r="ON216" s="30"/>
      <c r="OO216" s="30"/>
      <c r="OP216" s="30"/>
      <c r="OQ216" s="30"/>
      <c r="OR216" s="30"/>
      <c r="OS216" s="30"/>
      <c r="OT216" s="30"/>
      <c r="OU216" s="30"/>
      <c r="OV216" s="30"/>
      <c r="OW216" s="30"/>
      <c r="OX216" s="30"/>
      <c r="OY216" s="30"/>
      <c r="OZ216" s="30"/>
      <c r="PA216" s="30"/>
      <c r="PB216" s="30"/>
      <c r="PC216" s="30"/>
      <c r="PD216" s="30"/>
      <c r="PE216" s="30"/>
      <c r="PF216" s="30"/>
      <c r="PG216" s="30"/>
      <c r="PH216" s="30"/>
      <c r="PI216" s="30"/>
      <c r="PJ216" s="30"/>
      <c r="PK216" s="30"/>
      <c r="PL216" s="30"/>
      <c r="PM216" s="30"/>
      <c r="PN216" s="30"/>
      <c r="PO216" s="30"/>
      <c r="PP216" s="30"/>
      <c r="PQ216" s="30"/>
      <c r="PR216" s="30"/>
      <c r="PS216" s="30"/>
      <c r="PT216" s="30"/>
      <c r="PU216" s="30"/>
      <c r="PV216" s="30"/>
      <c r="PW216" s="30"/>
      <c r="PX216" s="30"/>
      <c r="PY216" s="30"/>
      <c r="PZ216" s="30"/>
      <c r="QA216" s="30"/>
      <c r="QB216" s="30"/>
      <c r="QC216" s="30"/>
      <c r="QD216" s="30"/>
      <c r="QE216" s="30"/>
      <c r="QF216" s="30"/>
      <c r="QG216" s="30"/>
      <c r="QH216" s="30"/>
      <c r="QI216" s="30"/>
      <c r="QJ216" s="30"/>
      <c r="QK216" s="30"/>
      <c r="QL216" s="30"/>
      <c r="QM216" s="30"/>
      <c r="QN216" s="30"/>
      <c r="QO216" s="30"/>
      <c r="QP216" s="30"/>
      <c r="QQ216" s="30"/>
      <c r="QR216" s="30"/>
      <c r="QS216" s="30"/>
      <c r="QT216" s="30"/>
      <c r="QU216" s="30"/>
      <c r="QV216" s="30"/>
      <c r="QW216" s="30"/>
      <c r="QX216" s="30"/>
      <c r="QY216" s="30"/>
      <c r="QZ216" s="30"/>
      <c r="RA216" s="30"/>
      <c r="RB216" s="30"/>
      <c r="RC216" s="30"/>
      <c r="RD216" s="30"/>
      <c r="RE216" s="30"/>
      <c r="RF216" s="30"/>
      <c r="RG216" s="30"/>
      <c r="RH216" s="30"/>
      <c r="RI216" s="30"/>
      <c r="RJ216" s="30"/>
      <c r="RK216" s="30"/>
      <c r="RL216" s="30"/>
      <c r="RM216" s="30"/>
      <c r="RN216" s="30"/>
      <c r="RO216" s="30"/>
      <c r="RP216" s="30"/>
      <c r="RQ216" s="30"/>
      <c r="RR216" s="30"/>
      <c r="RS216" s="30"/>
      <c r="RT216" s="30"/>
      <c r="RU216" s="30"/>
      <c r="RV216" s="30"/>
      <c r="RW216" s="30"/>
      <c r="RX216" s="30"/>
      <c r="RY216" s="30"/>
      <c r="RZ216" s="30"/>
      <c r="SA216" s="30"/>
      <c r="SB216" s="30"/>
      <c r="SC216" s="30"/>
      <c r="SD216" s="30"/>
      <c r="SE216" s="30"/>
      <c r="SF216" s="30"/>
      <c r="SG216" s="30"/>
      <c r="SH216" s="30"/>
      <c r="SI216" s="30"/>
      <c r="SJ216" s="30"/>
      <c r="SK216" s="30"/>
      <c r="SL216" s="30"/>
      <c r="SM216" s="30"/>
      <c r="SN216" s="30"/>
      <c r="SO216" s="30"/>
      <c r="SP216" s="30"/>
      <c r="SQ216" s="30"/>
      <c r="SR216" s="30"/>
      <c r="SS216" s="30"/>
      <c r="ST216" s="30"/>
      <c r="SU216" s="30"/>
      <c r="SV216" s="30"/>
      <c r="SW216" s="30"/>
      <c r="SX216" s="30"/>
      <c r="SY216" s="30"/>
      <c r="SZ216" s="30"/>
      <c r="TA216" s="30"/>
      <c r="TB216" s="30"/>
      <c r="TC216" s="30"/>
      <c r="TD216" s="30"/>
      <c r="TE216" s="30"/>
      <c r="TF216" s="30"/>
      <c r="TG216" s="30"/>
    </row>
    <row r="217" spans="1:527" s="24" customFormat="1" ht="25.5" customHeight="1" x14ac:dyDescent="0.25">
      <c r="A217" s="59">
        <v>1014082</v>
      </c>
      <c r="B217" s="93" t="str">
        <f>'дод 8'!A145</f>
        <v>4082</v>
      </c>
      <c r="C217" s="93" t="str">
        <f>'дод 8'!B145</f>
        <v>0829</v>
      </c>
      <c r="D217" s="60" t="str">
        <f>'дод 8'!C145</f>
        <v>Інші заходи в галузі культури і мистецтва</v>
      </c>
      <c r="E217" s="99">
        <f t="shared" si="90"/>
        <v>1380000</v>
      </c>
      <c r="F217" s="99">
        <f>1100000+100000+85000+95000</f>
        <v>1380000</v>
      </c>
      <c r="G217" s="99"/>
      <c r="H217" s="99"/>
      <c r="I217" s="99"/>
      <c r="J217" s="99">
        <f t="shared" si="92"/>
        <v>0</v>
      </c>
      <c r="K217" s="99"/>
      <c r="L217" s="99"/>
      <c r="M217" s="99"/>
      <c r="N217" s="99"/>
      <c r="O217" s="99"/>
      <c r="P217" s="99">
        <f t="shared" si="91"/>
        <v>1380000</v>
      </c>
      <c r="Q217" s="30"/>
      <c r="R217" s="32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F217" s="30"/>
      <c r="EG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30"/>
      <c r="FI217" s="30"/>
      <c r="FJ217" s="30"/>
      <c r="FK217" s="30"/>
      <c r="FL217" s="30"/>
      <c r="FM217" s="30"/>
      <c r="FN217" s="30"/>
      <c r="FO217" s="30"/>
      <c r="FP217" s="30"/>
      <c r="FQ217" s="30"/>
      <c r="FR217" s="30"/>
      <c r="FS217" s="30"/>
      <c r="FT217" s="30"/>
      <c r="FU217" s="30"/>
      <c r="FV217" s="30"/>
      <c r="FW217" s="30"/>
      <c r="FX217" s="30"/>
      <c r="FY217" s="30"/>
      <c r="FZ217" s="30"/>
      <c r="GA217" s="30"/>
      <c r="GB217" s="30"/>
      <c r="GC217" s="30"/>
      <c r="GD217" s="30"/>
      <c r="GE217" s="30"/>
      <c r="GF217" s="30"/>
      <c r="GG217" s="30"/>
      <c r="GH217" s="30"/>
      <c r="GI217" s="30"/>
      <c r="GJ217" s="30"/>
      <c r="GK217" s="30"/>
      <c r="GL217" s="30"/>
      <c r="GM217" s="30"/>
      <c r="GN217" s="30"/>
      <c r="GO217" s="30"/>
      <c r="GP217" s="30"/>
      <c r="GQ217" s="30"/>
      <c r="GR217" s="30"/>
      <c r="GS217" s="30"/>
      <c r="GT217" s="30"/>
      <c r="GU217" s="30"/>
      <c r="GV217" s="30"/>
      <c r="GW217" s="30"/>
      <c r="GX217" s="30"/>
      <c r="GY217" s="30"/>
      <c r="GZ217" s="30"/>
      <c r="HA217" s="30"/>
      <c r="HB217" s="30"/>
      <c r="HC217" s="30"/>
      <c r="HD217" s="30"/>
      <c r="HE217" s="30"/>
      <c r="HF217" s="30"/>
      <c r="HG217" s="30"/>
      <c r="HH217" s="30"/>
      <c r="HI217" s="30"/>
      <c r="HJ217" s="30"/>
      <c r="HK217" s="30"/>
      <c r="HL217" s="30"/>
      <c r="HM217" s="30"/>
      <c r="HN217" s="30"/>
      <c r="HO217" s="30"/>
      <c r="HP217" s="30"/>
      <c r="HQ217" s="30"/>
      <c r="HR217" s="30"/>
      <c r="HS217" s="30"/>
      <c r="HT217" s="30"/>
      <c r="HU217" s="30"/>
      <c r="HV217" s="30"/>
      <c r="HW217" s="30"/>
      <c r="HX217" s="30"/>
      <c r="HY217" s="30"/>
      <c r="HZ217" s="30"/>
      <c r="IA217" s="30"/>
      <c r="IB217" s="30"/>
      <c r="IC217" s="30"/>
      <c r="ID217" s="30"/>
      <c r="IE217" s="30"/>
      <c r="IF217" s="30"/>
      <c r="IG217" s="30"/>
      <c r="IH217" s="30"/>
      <c r="II217" s="30"/>
      <c r="IJ217" s="30"/>
      <c r="IK217" s="30"/>
      <c r="IL217" s="30"/>
      <c r="IM217" s="30"/>
      <c r="IN217" s="30"/>
      <c r="IO217" s="30"/>
      <c r="IP217" s="30"/>
      <c r="IQ217" s="30"/>
      <c r="IR217" s="30"/>
      <c r="IS217" s="30"/>
      <c r="IT217" s="30"/>
      <c r="IU217" s="30"/>
      <c r="IV217" s="30"/>
      <c r="IW217" s="30"/>
      <c r="IX217" s="30"/>
      <c r="IY217" s="30"/>
      <c r="IZ217" s="30"/>
      <c r="JA217" s="30"/>
      <c r="JB217" s="30"/>
      <c r="JC217" s="30"/>
      <c r="JD217" s="30"/>
      <c r="JE217" s="30"/>
      <c r="JF217" s="30"/>
      <c r="JG217" s="30"/>
      <c r="JH217" s="30"/>
      <c r="JI217" s="30"/>
      <c r="JJ217" s="30"/>
      <c r="JK217" s="30"/>
      <c r="JL217" s="30"/>
      <c r="JM217" s="30"/>
      <c r="JN217" s="30"/>
      <c r="JO217" s="30"/>
      <c r="JP217" s="30"/>
      <c r="JQ217" s="30"/>
      <c r="JR217" s="30"/>
      <c r="JS217" s="30"/>
      <c r="JT217" s="30"/>
      <c r="JU217" s="30"/>
      <c r="JV217" s="30"/>
      <c r="JW217" s="30"/>
      <c r="JX217" s="30"/>
      <c r="JY217" s="30"/>
      <c r="JZ217" s="30"/>
      <c r="KA217" s="30"/>
      <c r="KB217" s="30"/>
      <c r="KC217" s="30"/>
      <c r="KD217" s="30"/>
      <c r="KE217" s="30"/>
      <c r="KF217" s="30"/>
      <c r="KG217" s="30"/>
      <c r="KH217" s="30"/>
      <c r="KI217" s="30"/>
      <c r="KJ217" s="30"/>
      <c r="KK217" s="30"/>
      <c r="KL217" s="30"/>
      <c r="KM217" s="30"/>
      <c r="KN217" s="30"/>
      <c r="KO217" s="30"/>
      <c r="KP217" s="30"/>
      <c r="KQ217" s="30"/>
      <c r="KR217" s="30"/>
      <c r="KS217" s="30"/>
      <c r="KT217" s="30"/>
      <c r="KU217" s="30"/>
      <c r="KV217" s="30"/>
      <c r="KW217" s="30"/>
      <c r="KX217" s="30"/>
      <c r="KY217" s="30"/>
      <c r="KZ217" s="30"/>
      <c r="LA217" s="30"/>
      <c r="LB217" s="30"/>
      <c r="LC217" s="30"/>
      <c r="LD217" s="30"/>
      <c r="LE217" s="30"/>
      <c r="LF217" s="30"/>
      <c r="LG217" s="30"/>
      <c r="LH217" s="30"/>
      <c r="LI217" s="30"/>
      <c r="LJ217" s="30"/>
      <c r="LK217" s="30"/>
      <c r="LL217" s="30"/>
      <c r="LM217" s="30"/>
      <c r="LN217" s="30"/>
      <c r="LO217" s="30"/>
      <c r="LP217" s="30"/>
      <c r="LQ217" s="30"/>
      <c r="LR217" s="30"/>
      <c r="LS217" s="30"/>
      <c r="LT217" s="30"/>
      <c r="LU217" s="30"/>
      <c r="LV217" s="30"/>
      <c r="LW217" s="30"/>
      <c r="LX217" s="30"/>
      <c r="LY217" s="30"/>
      <c r="LZ217" s="30"/>
      <c r="MA217" s="30"/>
      <c r="MB217" s="30"/>
      <c r="MC217" s="30"/>
      <c r="MD217" s="30"/>
      <c r="ME217" s="30"/>
      <c r="MF217" s="30"/>
      <c r="MG217" s="30"/>
      <c r="MH217" s="30"/>
      <c r="MI217" s="30"/>
      <c r="MJ217" s="30"/>
      <c r="MK217" s="30"/>
      <c r="ML217" s="30"/>
      <c r="MM217" s="30"/>
      <c r="MN217" s="30"/>
      <c r="MO217" s="30"/>
      <c r="MP217" s="30"/>
      <c r="MQ217" s="30"/>
      <c r="MR217" s="30"/>
      <c r="MS217" s="30"/>
      <c r="MT217" s="30"/>
      <c r="MU217" s="30"/>
      <c r="MV217" s="30"/>
      <c r="MW217" s="30"/>
      <c r="MX217" s="30"/>
      <c r="MY217" s="30"/>
      <c r="MZ217" s="30"/>
      <c r="NA217" s="30"/>
      <c r="NB217" s="30"/>
      <c r="NC217" s="30"/>
      <c r="ND217" s="30"/>
      <c r="NE217" s="30"/>
      <c r="NF217" s="30"/>
      <c r="NG217" s="30"/>
      <c r="NH217" s="30"/>
      <c r="NI217" s="30"/>
      <c r="NJ217" s="30"/>
      <c r="NK217" s="30"/>
      <c r="NL217" s="30"/>
      <c r="NM217" s="30"/>
      <c r="NN217" s="30"/>
      <c r="NO217" s="30"/>
      <c r="NP217" s="30"/>
      <c r="NQ217" s="30"/>
      <c r="NR217" s="30"/>
      <c r="NS217" s="30"/>
      <c r="NT217" s="30"/>
      <c r="NU217" s="30"/>
      <c r="NV217" s="30"/>
      <c r="NW217" s="30"/>
      <c r="NX217" s="30"/>
      <c r="NY217" s="30"/>
      <c r="NZ217" s="30"/>
      <c r="OA217" s="30"/>
      <c r="OB217" s="30"/>
      <c r="OC217" s="30"/>
      <c r="OD217" s="30"/>
      <c r="OE217" s="30"/>
      <c r="OF217" s="30"/>
      <c r="OG217" s="30"/>
      <c r="OH217" s="30"/>
      <c r="OI217" s="30"/>
      <c r="OJ217" s="30"/>
      <c r="OK217" s="30"/>
      <c r="OL217" s="30"/>
      <c r="OM217" s="30"/>
      <c r="ON217" s="30"/>
      <c r="OO217" s="30"/>
      <c r="OP217" s="30"/>
      <c r="OQ217" s="30"/>
      <c r="OR217" s="30"/>
      <c r="OS217" s="30"/>
      <c r="OT217" s="30"/>
      <c r="OU217" s="30"/>
      <c r="OV217" s="30"/>
      <c r="OW217" s="30"/>
      <c r="OX217" s="30"/>
      <c r="OY217" s="30"/>
      <c r="OZ217" s="30"/>
      <c r="PA217" s="30"/>
      <c r="PB217" s="30"/>
      <c r="PC217" s="30"/>
      <c r="PD217" s="30"/>
      <c r="PE217" s="30"/>
      <c r="PF217" s="30"/>
      <c r="PG217" s="30"/>
      <c r="PH217" s="30"/>
      <c r="PI217" s="30"/>
      <c r="PJ217" s="30"/>
      <c r="PK217" s="30"/>
      <c r="PL217" s="30"/>
      <c r="PM217" s="30"/>
      <c r="PN217" s="30"/>
      <c r="PO217" s="30"/>
      <c r="PP217" s="30"/>
      <c r="PQ217" s="30"/>
      <c r="PR217" s="30"/>
      <c r="PS217" s="30"/>
      <c r="PT217" s="30"/>
      <c r="PU217" s="30"/>
      <c r="PV217" s="30"/>
      <c r="PW217" s="30"/>
      <c r="PX217" s="30"/>
      <c r="PY217" s="30"/>
      <c r="PZ217" s="30"/>
      <c r="QA217" s="30"/>
      <c r="QB217" s="30"/>
      <c r="QC217" s="30"/>
      <c r="QD217" s="30"/>
      <c r="QE217" s="30"/>
      <c r="QF217" s="30"/>
      <c r="QG217" s="30"/>
      <c r="QH217" s="30"/>
      <c r="QI217" s="30"/>
      <c r="QJ217" s="30"/>
      <c r="QK217" s="30"/>
      <c r="QL217" s="30"/>
      <c r="QM217" s="30"/>
      <c r="QN217" s="30"/>
      <c r="QO217" s="30"/>
      <c r="QP217" s="30"/>
      <c r="QQ217" s="30"/>
      <c r="QR217" s="30"/>
      <c r="QS217" s="30"/>
      <c r="QT217" s="30"/>
      <c r="QU217" s="30"/>
      <c r="QV217" s="30"/>
      <c r="QW217" s="30"/>
      <c r="QX217" s="30"/>
      <c r="QY217" s="30"/>
      <c r="QZ217" s="30"/>
      <c r="RA217" s="30"/>
      <c r="RB217" s="30"/>
      <c r="RC217" s="30"/>
      <c r="RD217" s="30"/>
      <c r="RE217" s="30"/>
      <c r="RF217" s="30"/>
      <c r="RG217" s="30"/>
      <c r="RH217" s="30"/>
      <c r="RI217" s="30"/>
      <c r="RJ217" s="30"/>
      <c r="RK217" s="30"/>
      <c r="RL217" s="30"/>
      <c r="RM217" s="30"/>
      <c r="RN217" s="30"/>
      <c r="RO217" s="30"/>
      <c r="RP217" s="30"/>
      <c r="RQ217" s="30"/>
      <c r="RR217" s="30"/>
      <c r="RS217" s="30"/>
      <c r="RT217" s="30"/>
      <c r="RU217" s="30"/>
      <c r="RV217" s="30"/>
      <c r="RW217" s="30"/>
      <c r="RX217" s="30"/>
      <c r="RY217" s="30"/>
      <c r="RZ217" s="30"/>
      <c r="SA217" s="30"/>
      <c r="SB217" s="30"/>
      <c r="SC217" s="30"/>
      <c r="SD217" s="30"/>
      <c r="SE217" s="30"/>
      <c r="SF217" s="30"/>
      <c r="SG217" s="30"/>
      <c r="SH217" s="30"/>
      <c r="SI217" s="30"/>
      <c r="SJ217" s="30"/>
      <c r="SK217" s="30"/>
      <c r="SL217" s="30"/>
      <c r="SM217" s="30"/>
      <c r="SN217" s="30"/>
      <c r="SO217" s="30"/>
      <c r="SP217" s="30"/>
      <c r="SQ217" s="30"/>
      <c r="SR217" s="30"/>
      <c r="SS217" s="30"/>
      <c r="ST217" s="30"/>
      <c r="SU217" s="30"/>
      <c r="SV217" s="30"/>
      <c r="SW217" s="30"/>
      <c r="SX217" s="30"/>
      <c r="SY217" s="30"/>
      <c r="SZ217" s="30"/>
      <c r="TA217" s="30"/>
      <c r="TB217" s="30"/>
      <c r="TC217" s="30"/>
      <c r="TD217" s="30"/>
      <c r="TE217" s="30"/>
      <c r="TF217" s="30"/>
      <c r="TG217" s="30"/>
    </row>
    <row r="218" spans="1:527" s="24" customFormat="1" ht="21.75" customHeight="1" x14ac:dyDescent="0.25">
      <c r="A218" s="59" t="s">
        <v>456</v>
      </c>
      <c r="B218" s="59" t="s">
        <v>457</v>
      </c>
      <c r="C218" s="59" t="s">
        <v>111</v>
      </c>
      <c r="D218" s="6" t="s">
        <v>551</v>
      </c>
      <c r="E218" s="99">
        <f t="shared" si="90"/>
        <v>0</v>
      </c>
      <c r="F218" s="99"/>
      <c r="G218" s="99"/>
      <c r="H218" s="99"/>
      <c r="I218" s="99"/>
      <c r="J218" s="99">
        <f t="shared" si="92"/>
        <v>570000</v>
      </c>
      <c r="K218" s="99">
        <f>950000+20000-400000</f>
        <v>570000</v>
      </c>
      <c r="L218" s="99"/>
      <c r="M218" s="99"/>
      <c r="N218" s="99"/>
      <c r="O218" s="99">
        <f>950000+20000-400000</f>
        <v>570000</v>
      </c>
      <c r="P218" s="99">
        <f t="shared" si="91"/>
        <v>570000</v>
      </c>
      <c r="Q218" s="30"/>
      <c r="R218" s="32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F218" s="30"/>
      <c r="EG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30"/>
      <c r="FN218" s="30"/>
      <c r="FO218" s="30"/>
      <c r="FP218" s="30"/>
      <c r="FQ218" s="30"/>
      <c r="FR218" s="30"/>
      <c r="FS218" s="30"/>
      <c r="FT218" s="30"/>
      <c r="FU218" s="30"/>
      <c r="FV218" s="30"/>
      <c r="FW218" s="30"/>
      <c r="FX218" s="30"/>
      <c r="FY218" s="30"/>
      <c r="FZ218" s="30"/>
      <c r="GA218" s="30"/>
      <c r="GB218" s="30"/>
      <c r="GC218" s="30"/>
      <c r="GD218" s="30"/>
      <c r="GE218" s="30"/>
      <c r="GF218" s="30"/>
      <c r="GG218" s="30"/>
      <c r="GH218" s="30"/>
      <c r="GI218" s="30"/>
      <c r="GJ218" s="30"/>
      <c r="GK218" s="30"/>
      <c r="GL218" s="30"/>
      <c r="GM218" s="30"/>
      <c r="GN218" s="30"/>
      <c r="GO218" s="30"/>
      <c r="GP218" s="30"/>
      <c r="GQ218" s="30"/>
      <c r="GR218" s="30"/>
      <c r="GS218" s="30"/>
      <c r="GT218" s="30"/>
      <c r="GU218" s="30"/>
      <c r="GV218" s="30"/>
      <c r="GW218" s="30"/>
      <c r="GX218" s="30"/>
      <c r="GY218" s="30"/>
      <c r="GZ218" s="30"/>
      <c r="HA218" s="30"/>
      <c r="HB218" s="30"/>
      <c r="HC218" s="30"/>
      <c r="HD218" s="30"/>
      <c r="HE218" s="30"/>
      <c r="HF218" s="30"/>
      <c r="HG218" s="30"/>
      <c r="HH218" s="30"/>
      <c r="HI218" s="30"/>
      <c r="HJ218" s="30"/>
      <c r="HK218" s="30"/>
      <c r="HL218" s="30"/>
      <c r="HM218" s="30"/>
      <c r="HN218" s="30"/>
      <c r="HO218" s="30"/>
      <c r="HP218" s="30"/>
      <c r="HQ218" s="30"/>
      <c r="HR218" s="30"/>
      <c r="HS218" s="30"/>
      <c r="HT218" s="30"/>
      <c r="HU218" s="30"/>
      <c r="HV218" s="30"/>
      <c r="HW218" s="30"/>
      <c r="HX218" s="30"/>
      <c r="HY218" s="30"/>
      <c r="HZ218" s="30"/>
      <c r="IA218" s="30"/>
      <c r="IB218" s="30"/>
      <c r="IC218" s="30"/>
      <c r="ID218" s="30"/>
      <c r="IE218" s="30"/>
      <c r="IF218" s="30"/>
      <c r="IG218" s="30"/>
      <c r="IH218" s="30"/>
      <c r="II218" s="30"/>
      <c r="IJ218" s="30"/>
      <c r="IK218" s="30"/>
      <c r="IL218" s="30"/>
      <c r="IM218" s="30"/>
      <c r="IN218" s="30"/>
      <c r="IO218" s="30"/>
      <c r="IP218" s="30"/>
      <c r="IQ218" s="30"/>
      <c r="IR218" s="30"/>
      <c r="IS218" s="30"/>
      <c r="IT218" s="30"/>
      <c r="IU218" s="30"/>
      <c r="IV218" s="30"/>
      <c r="IW218" s="30"/>
      <c r="IX218" s="30"/>
      <c r="IY218" s="30"/>
      <c r="IZ218" s="30"/>
      <c r="JA218" s="30"/>
      <c r="JB218" s="30"/>
      <c r="JC218" s="30"/>
      <c r="JD218" s="30"/>
      <c r="JE218" s="30"/>
      <c r="JF218" s="30"/>
      <c r="JG218" s="30"/>
      <c r="JH218" s="30"/>
      <c r="JI218" s="30"/>
      <c r="JJ218" s="30"/>
      <c r="JK218" s="30"/>
      <c r="JL218" s="30"/>
      <c r="JM218" s="30"/>
      <c r="JN218" s="30"/>
      <c r="JO218" s="30"/>
      <c r="JP218" s="30"/>
      <c r="JQ218" s="30"/>
      <c r="JR218" s="30"/>
      <c r="JS218" s="30"/>
      <c r="JT218" s="30"/>
      <c r="JU218" s="30"/>
      <c r="JV218" s="30"/>
      <c r="JW218" s="30"/>
      <c r="JX218" s="30"/>
      <c r="JY218" s="30"/>
      <c r="JZ218" s="30"/>
      <c r="KA218" s="30"/>
      <c r="KB218" s="30"/>
      <c r="KC218" s="30"/>
      <c r="KD218" s="30"/>
      <c r="KE218" s="30"/>
      <c r="KF218" s="30"/>
      <c r="KG218" s="30"/>
      <c r="KH218" s="30"/>
      <c r="KI218" s="30"/>
      <c r="KJ218" s="30"/>
      <c r="KK218" s="30"/>
      <c r="KL218" s="30"/>
      <c r="KM218" s="30"/>
      <c r="KN218" s="30"/>
      <c r="KO218" s="30"/>
      <c r="KP218" s="30"/>
      <c r="KQ218" s="30"/>
      <c r="KR218" s="30"/>
      <c r="KS218" s="30"/>
      <c r="KT218" s="30"/>
      <c r="KU218" s="30"/>
      <c r="KV218" s="30"/>
      <c r="KW218" s="30"/>
      <c r="KX218" s="30"/>
      <c r="KY218" s="30"/>
      <c r="KZ218" s="30"/>
      <c r="LA218" s="30"/>
      <c r="LB218" s="30"/>
      <c r="LC218" s="30"/>
      <c r="LD218" s="30"/>
      <c r="LE218" s="30"/>
      <c r="LF218" s="30"/>
      <c r="LG218" s="30"/>
      <c r="LH218" s="30"/>
      <c r="LI218" s="30"/>
      <c r="LJ218" s="30"/>
      <c r="LK218" s="30"/>
      <c r="LL218" s="30"/>
      <c r="LM218" s="30"/>
      <c r="LN218" s="30"/>
      <c r="LO218" s="30"/>
      <c r="LP218" s="30"/>
      <c r="LQ218" s="30"/>
      <c r="LR218" s="30"/>
      <c r="LS218" s="30"/>
      <c r="LT218" s="30"/>
      <c r="LU218" s="30"/>
      <c r="LV218" s="30"/>
      <c r="LW218" s="30"/>
      <c r="LX218" s="30"/>
      <c r="LY218" s="30"/>
      <c r="LZ218" s="30"/>
      <c r="MA218" s="30"/>
      <c r="MB218" s="30"/>
      <c r="MC218" s="30"/>
      <c r="MD218" s="30"/>
      <c r="ME218" s="30"/>
      <c r="MF218" s="30"/>
      <c r="MG218" s="30"/>
      <c r="MH218" s="30"/>
      <c r="MI218" s="30"/>
      <c r="MJ218" s="30"/>
      <c r="MK218" s="30"/>
      <c r="ML218" s="30"/>
      <c r="MM218" s="30"/>
      <c r="MN218" s="30"/>
      <c r="MO218" s="30"/>
      <c r="MP218" s="30"/>
      <c r="MQ218" s="30"/>
      <c r="MR218" s="30"/>
      <c r="MS218" s="30"/>
      <c r="MT218" s="30"/>
      <c r="MU218" s="30"/>
      <c r="MV218" s="30"/>
      <c r="MW218" s="30"/>
      <c r="MX218" s="30"/>
      <c r="MY218" s="30"/>
      <c r="MZ218" s="30"/>
      <c r="NA218" s="30"/>
      <c r="NB218" s="30"/>
      <c r="NC218" s="30"/>
      <c r="ND218" s="30"/>
      <c r="NE218" s="30"/>
      <c r="NF218" s="30"/>
      <c r="NG218" s="30"/>
      <c r="NH218" s="30"/>
      <c r="NI218" s="30"/>
      <c r="NJ218" s="30"/>
      <c r="NK218" s="30"/>
      <c r="NL218" s="30"/>
      <c r="NM218" s="30"/>
      <c r="NN218" s="30"/>
      <c r="NO218" s="30"/>
      <c r="NP218" s="30"/>
      <c r="NQ218" s="30"/>
      <c r="NR218" s="30"/>
      <c r="NS218" s="30"/>
      <c r="NT218" s="30"/>
      <c r="NU218" s="30"/>
      <c r="NV218" s="30"/>
      <c r="NW218" s="30"/>
      <c r="NX218" s="30"/>
      <c r="NY218" s="30"/>
      <c r="NZ218" s="30"/>
      <c r="OA218" s="30"/>
      <c r="OB218" s="30"/>
      <c r="OC218" s="30"/>
      <c r="OD218" s="30"/>
      <c r="OE218" s="30"/>
      <c r="OF218" s="30"/>
      <c r="OG218" s="30"/>
      <c r="OH218" s="30"/>
      <c r="OI218" s="30"/>
      <c r="OJ218" s="30"/>
      <c r="OK218" s="30"/>
      <c r="OL218" s="30"/>
      <c r="OM218" s="30"/>
      <c r="ON218" s="30"/>
      <c r="OO218" s="30"/>
      <c r="OP218" s="30"/>
      <c r="OQ218" s="30"/>
      <c r="OR218" s="30"/>
      <c r="OS218" s="30"/>
      <c r="OT218" s="30"/>
      <c r="OU218" s="30"/>
      <c r="OV218" s="30"/>
      <c r="OW218" s="30"/>
      <c r="OX218" s="30"/>
      <c r="OY218" s="30"/>
      <c r="OZ218" s="30"/>
      <c r="PA218" s="30"/>
      <c r="PB218" s="30"/>
      <c r="PC218" s="30"/>
      <c r="PD218" s="30"/>
      <c r="PE218" s="30"/>
      <c r="PF218" s="30"/>
      <c r="PG218" s="30"/>
      <c r="PH218" s="30"/>
      <c r="PI218" s="30"/>
      <c r="PJ218" s="30"/>
      <c r="PK218" s="30"/>
      <c r="PL218" s="30"/>
      <c r="PM218" s="30"/>
      <c r="PN218" s="30"/>
      <c r="PO218" s="30"/>
      <c r="PP218" s="30"/>
      <c r="PQ218" s="30"/>
      <c r="PR218" s="30"/>
      <c r="PS218" s="30"/>
      <c r="PT218" s="30"/>
      <c r="PU218" s="30"/>
      <c r="PV218" s="30"/>
      <c r="PW218" s="30"/>
      <c r="PX218" s="30"/>
      <c r="PY218" s="30"/>
      <c r="PZ218" s="30"/>
      <c r="QA218" s="30"/>
      <c r="QB218" s="30"/>
      <c r="QC218" s="30"/>
      <c r="QD218" s="30"/>
      <c r="QE218" s="30"/>
      <c r="QF218" s="30"/>
      <c r="QG218" s="30"/>
      <c r="QH218" s="30"/>
      <c r="QI218" s="30"/>
      <c r="QJ218" s="30"/>
      <c r="QK218" s="30"/>
      <c r="QL218" s="30"/>
      <c r="QM218" s="30"/>
      <c r="QN218" s="30"/>
      <c r="QO218" s="30"/>
      <c r="QP218" s="30"/>
      <c r="QQ218" s="30"/>
      <c r="QR218" s="30"/>
      <c r="QS218" s="30"/>
      <c r="QT218" s="30"/>
      <c r="QU218" s="30"/>
      <c r="QV218" s="30"/>
      <c r="QW218" s="30"/>
      <c r="QX218" s="30"/>
      <c r="QY218" s="30"/>
      <c r="QZ218" s="30"/>
      <c r="RA218" s="30"/>
      <c r="RB218" s="30"/>
      <c r="RC218" s="30"/>
      <c r="RD218" s="30"/>
      <c r="RE218" s="30"/>
      <c r="RF218" s="30"/>
      <c r="RG218" s="30"/>
      <c r="RH218" s="30"/>
      <c r="RI218" s="30"/>
      <c r="RJ218" s="30"/>
      <c r="RK218" s="30"/>
      <c r="RL218" s="30"/>
      <c r="RM218" s="30"/>
      <c r="RN218" s="30"/>
      <c r="RO218" s="30"/>
      <c r="RP218" s="30"/>
      <c r="RQ218" s="30"/>
      <c r="RR218" s="30"/>
      <c r="RS218" s="30"/>
      <c r="RT218" s="30"/>
      <c r="RU218" s="30"/>
      <c r="RV218" s="30"/>
      <c r="RW218" s="30"/>
      <c r="RX218" s="30"/>
      <c r="RY218" s="30"/>
      <c r="RZ218" s="30"/>
      <c r="SA218" s="30"/>
      <c r="SB218" s="30"/>
      <c r="SC218" s="30"/>
      <c r="SD218" s="30"/>
      <c r="SE218" s="30"/>
      <c r="SF218" s="30"/>
      <c r="SG218" s="30"/>
      <c r="SH218" s="30"/>
      <c r="SI218" s="30"/>
      <c r="SJ218" s="30"/>
      <c r="SK218" s="30"/>
      <c r="SL218" s="30"/>
      <c r="SM218" s="30"/>
      <c r="SN218" s="30"/>
      <c r="SO218" s="30"/>
      <c r="SP218" s="30"/>
      <c r="SQ218" s="30"/>
      <c r="SR218" s="30"/>
      <c r="SS218" s="30"/>
      <c r="ST218" s="30"/>
      <c r="SU218" s="30"/>
      <c r="SV218" s="30"/>
      <c r="SW218" s="30"/>
      <c r="SX218" s="30"/>
      <c r="SY218" s="30"/>
      <c r="SZ218" s="30"/>
      <c r="TA218" s="30"/>
      <c r="TB218" s="30"/>
      <c r="TC218" s="30"/>
      <c r="TD218" s="30"/>
      <c r="TE218" s="30"/>
      <c r="TF218" s="30"/>
      <c r="TG218" s="30"/>
    </row>
    <row r="219" spans="1:527" s="22" customFormat="1" ht="22.5" customHeight="1" x14ac:dyDescent="0.25">
      <c r="A219" s="59" t="s">
        <v>145</v>
      </c>
      <c r="B219" s="93" t="str">
        <f>'дод 8'!A215</f>
        <v>7640</v>
      </c>
      <c r="C219" s="93" t="str">
        <f>'дод 8'!B215</f>
        <v>0470</v>
      </c>
      <c r="D219" s="60" t="s">
        <v>422</v>
      </c>
      <c r="E219" s="99">
        <f t="shared" si="90"/>
        <v>0</v>
      </c>
      <c r="F219" s="99"/>
      <c r="G219" s="99"/>
      <c r="H219" s="99"/>
      <c r="I219" s="99"/>
      <c r="J219" s="99">
        <f t="shared" si="92"/>
        <v>1500000</v>
      </c>
      <c r="K219" s="99">
        <v>1500000</v>
      </c>
      <c r="L219" s="99"/>
      <c r="M219" s="99"/>
      <c r="N219" s="99"/>
      <c r="O219" s="99">
        <v>1500000</v>
      </c>
      <c r="P219" s="99">
        <f t="shared" si="91"/>
        <v>1500000</v>
      </c>
      <c r="Q219" s="23"/>
      <c r="R219" s="32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  <c r="SQ219" s="23"/>
      <c r="SR219" s="23"/>
      <c r="SS219" s="23"/>
      <c r="ST219" s="23"/>
      <c r="SU219" s="23"/>
      <c r="SV219" s="23"/>
      <c r="SW219" s="23"/>
      <c r="SX219" s="23"/>
      <c r="SY219" s="23"/>
      <c r="SZ219" s="23"/>
      <c r="TA219" s="23"/>
      <c r="TB219" s="23"/>
      <c r="TC219" s="23"/>
      <c r="TD219" s="23"/>
      <c r="TE219" s="23"/>
      <c r="TF219" s="23"/>
      <c r="TG219" s="23"/>
    </row>
    <row r="220" spans="1:527" s="22" customFormat="1" ht="22.5" hidden="1" customHeight="1" x14ac:dyDescent="0.25">
      <c r="A220" s="59">
        <v>1018340</v>
      </c>
      <c r="B220" s="93" t="str">
        <f>'дод 8'!A237</f>
        <v>8340</v>
      </c>
      <c r="C220" s="93" t="str">
        <f>'дод 8'!B237</f>
        <v>0540</v>
      </c>
      <c r="D220" s="117" t="str">
        <f>'дод 8'!C237</f>
        <v>Природоохоронні заходи за рахунок цільових фондів</v>
      </c>
      <c r="E220" s="99">
        <f t="shared" si="90"/>
        <v>0</v>
      </c>
      <c r="F220" s="99"/>
      <c r="G220" s="99"/>
      <c r="H220" s="99"/>
      <c r="I220" s="99"/>
      <c r="J220" s="99">
        <f t="shared" si="92"/>
        <v>0</v>
      </c>
      <c r="K220" s="99"/>
      <c r="L220" s="99"/>
      <c r="M220" s="99"/>
      <c r="N220" s="99"/>
      <c r="O220" s="99"/>
      <c r="P220" s="99">
        <f t="shared" si="91"/>
        <v>0</v>
      </c>
      <c r="Q220" s="23"/>
      <c r="R220" s="32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  <c r="IW220" s="23"/>
      <c r="IX220" s="23"/>
      <c r="IY220" s="23"/>
      <c r="IZ220" s="23"/>
      <c r="JA220" s="23"/>
      <c r="JB220" s="23"/>
      <c r="JC220" s="23"/>
      <c r="JD220" s="23"/>
      <c r="JE220" s="23"/>
      <c r="JF220" s="23"/>
      <c r="JG220" s="23"/>
      <c r="JH220" s="23"/>
      <c r="JI220" s="23"/>
      <c r="JJ220" s="23"/>
      <c r="JK220" s="23"/>
      <c r="JL220" s="23"/>
      <c r="JM220" s="23"/>
      <c r="JN220" s="23"/>
      <c r="JO220" s="23"/>
      <c r="JP220" s="23"/>
      <c r="JQ220" s="23"/>
      <c r="JR220" s="23"/>
      <c r="JS220" s="23"/>
      <c r="JT220" s="23"/>
      <c r="JU220" s="23"/>
      <c r="JV220" s="23"/>
      <c r="JW220" s="23"/>
      <c r="JX220" s="23"/>
      <c r="JY220" s="23"/>
      <c r="JZ220" s="23"/>
      <c r="KA220" s="23"/>
      <c r="KB220" s="23"/>
      <c r="KC220" s="23"/>
      <c r="KD220" s="23"/>
      <c r="KE220" s="23"/>
      <c r="KF220" s="23"/>
      <c r="KG220" s="23"/>
      <c r="KH220" s="23"/>
      <c r="KI220" s="23"/>
      <c r="KJ220" s="23"/>
      <c r="KK220" s="23"/>
      <c r="KL220" s="23"/>
      <c r="KM220" s="23"/>
      <c r="KN220" s="23"/>
      <c r="KO220" s="23"/>
      <c r="KP220" s="23"/>
      <c r="KQ220" s="23"/>
      <c r="KR220" s="23"/>
      <c r="KS220" s="23"/>
      <c r="KT220" s="23"/>
      <c r="KU220" s="23"/>
      <c r="KV220" s="23"/>
      <c r="KW220" s="23"/>
      <c r="KX220" s="23"/>
      <c r="KY220" s="23"/>
      <c r="KZ220" s="23"/>
      <c r="LA220" s="23"/>
      <c r="LB220" s="23"/>
      <c r="LC220" s="23"/>
      <c r="LD220" s="23"/>
      <c r="LE220" s="23"/>
      <c r="LF220" s="23"/>
      <c r="LG220" s="23"/>
      <c r="LH220" s="23"/>
      <c r="LI220" s="23"/>
      <c r="LJ220" s="23"/>
      <c r="LK220" s="23"/>
      <c r="LL220" s="23"/>
      <c r="LM220" s="23"/>
      <c r="LN220" s="23"/>
      <c r="LO220" s="23"/>
      <c r="LP220" s="23"/>
      <c r="LQ220" s="23"/>
      <c r="LR220" s="23"/>
      <c r="LS220" s="23"/>
      <c r="LT220" s="23"/>
      <c r="LU220" s="23"/>
      <c r="LV220" s="23"/>
      <c r="LW220" s="23"/>
      <c r="LX220" s="23"/>
      <c r="LY220" s="23"/>
      <c r="LZ220" s="23"/>
      <c r="MA220" s="23"/>
      <c r="MB220" s="23"/>
      <c r="MC220" s="23"/>
      <c r="MD220" s="23"/>
      <c r="ME220" s="23"/>
      <c r="MF220" s="23"/>
      <c r="MG220" s="23"/>
      <c r="MH220" s="23"/>
      <c r="MI220" s="23"/>
      <c r="MJ220" s="23"/>
      <c r="MK220" s="23"/>
      <c r="ML220" s="23"/>
      <c r="MM220" s="23"/>
      <c r="MN220" s="23"/>
      <c r="MO220" s="23"/>
      <c r="MP220" s="23"/>
      <c r="MQ220" s="23"/>
      <c r="MR220" s="23"/>
      <c r="MS220" s="23"/>
      <c r="MT220" s="23"/>
      <c r="MU220" s="23"/>
      <c r="MV220" s="23"/>
      <c r="MW220" s="23"/>
      <c r="MX220" s="23"/>
      <c r="MY220" s="23"/>
      <c r="MZ220" s="23"/>
      <c r="NA220" s="23"/>
      <c r="NB220" s="23"/>
      <c r="NC220" s="23"/>
      <c r="ND220" s="23"/>
      <c r="NE220" s="23"/>
      <c r="NF220" s="23"/>
      <c r="NG220" s="23"/>
      <c r="NH220" s="23"/>
      <c r="NI220" s="23"/>
      <c r="NJ220" s="23"/>
      <c r="NK220" s="23"/>
      <c r="NL220" s="23"/>
      <c r="NM220" s="23"/>
      <c r="NN220" s="23"/>
      <c r="NO220" s="23"/>
      <c r="NP220" s="23"/>
      <c r="NQ220" s="23"/>
      <c r="NR220" s="23"/>
      <c r="NS220" s="23"/>
      <c r="NT220" s="23"/>
      <c r="NU220" s="23"/>
      <c r="NV220" s="23"/>
      <c r="NW220" s="23"/>
      <c r="NX220" s="23"/>
      <c r="NY220" s="23"/>
      <c r="NZ220" s="23"/>
      <c r="OA220" s="23"/>
      <c r="OB220" s="23"/>
      <c r="OC220" s="23"/>
      <c r="OD220" s="23"/>
      <c r="OE220" s="23"/>
      <c r="OF220" s="23"/>
      <c r="OG220" s="23"/>
      <c r="OH220" s="23"/>
      <c r="OI220" s="23"/>
      <c r="OJ220" s="23"/>
      <c r="OK220" s="23"/>
      <c r="OL220" s="23"/>
      <c r="OM220" s="23"/>
      <c r="ON220" s="23"/>
      <c r="OO220" s="23"/>
      <c r="OP220" s="23"/>
      <c r="OQ220" s="23"/>
      <c r="OR220" s="23"/>
      <c r="OS220" s="23"/>
      <c r="OT220" s="23"/>
      <c r="OU220" s="23"/>
      <c r="OV220" s="23"/>
      <c r="OW220" s="23"/>
      <c r="OX220" s="23"/>
      <c r="OY220" s="23"/>
      <c r="OZ220" s="23"/>
      <c r="PA220" s="23"/>
      <c r="PB220" s="23"/>
      <c r="PC220" s="23"/>
      <c r="PD220" s="23"/>
      <c r="PE220" s="23"/>
      <c r="PF220" s="23"/>
      <c r="PG220" s="23"/>
      <c r="PH220" s="23"/>
      <c r="PI220" s="23"/>
      <c r="PJ220" s="23"/>
      <c r="PK220" s="23"/>
      <c r="PL220" s="23"/>
      <c r="PM220" s="23"/>
      <c r="PN220" s="23"/>
      <c r="PO220" s="23"/>
      <c r="PP220" s="23"/>
      <c r="PQ220" s="23"/>
      <c r="PR220" s="23"/>
      <c r="PS220" s="23"/>
      <c r="PT220" s="23"/>
      <c r="PU220" s="23"/>
      <c r="PV220" s="23"/>
      <c r="PW220" s="23"/>
      <c r="PX220" s="23"/>
      <c r="PY220" s="23"/>
      <c r="PZ220" s="23"/>
      <c r="QA220" s="23"/>
      <c r="QB220" s="23"/>
      <c r="QC220" s="23"/>
      <c r="QD220" s="23"/>
      <c r="QE220" s="23"/>
      <c r="QF220" s="23"/>
      <c r="QG220" s="23"/>
      <c r="QH220" s="23"/>
      <c r="QI220" s="23"/>
      <c r="QJ220" s="23"/>
      <c r="QK220" s="23"/>
      <c r="QL220" s="23"/>
      <c r="QM220" s="23"/>
      <c r="QN220" s="23"/>
      <c r="QO220" s="23"/>
      <c r="QP220" s="23"/>
      <c r="QQ220" s="23"/>
      <c r="QR220" s="23"/>
      <c r="QS220" s="23"/>
      <c r="QT220" s="23"/>
      <c r="QU220" s="23"/>
      <c r="QV220" s="23"/>
      <c r="QW220" s="23"/>
      <c r="QX220" s="23"/>
      <c r="QY220" s="23"/>
      <c r="QZ220" s="23"/>
      <c r="RA220" s="23"/>
      <c r="RB220" s="23"/>
      <c r="RC220" s="23"/>
      <c r="RD220" s="23"/>
      <c r="RE220" s="23"/>
      <c r="RF220" s="23"/>
      <c r="RG220" s="23"/>
      <c r="RH220" s="23"/>
      <c r="RI220" s="23"/>
      <c r="RJ220" s="23"/>
      <c r="RK220" s="23"/>
      <c r="RL220" s="23"/>
      <c r="RM220" s="23"/>
      <c r="RN220" s="23"/>
      <c r="RO220" s="23"/>
      <c r="RP220" s="23"/>
      <c r="RQ220" s="23"/>
      <c r="RR220" s="23"/>
      <c r="RS220" s="23"/>
      <c r="RT220" s="23"/>
      <c r="RU220" s="23"/>
      <c r="RV220" s="23"/>
      <c r="RW220" s="23"/>
      <c r="RX220" s="23"/>
      <c r="RY220" s="23"/>
      <c r="RZ220" s="23"/>
      <c r="SA220" s="23"/>
      <c r="SB220" s="23"/>
      <c r="SC220" s="23"/>
      <c r="SD220" s="23"/>
      <c r="SE220" s="23"/>
      <c r="SF220" s="23"/>
      <c r="SG220" s="23"/>
      <c r="SH220" s="23"/>
      <c r="SI220" s="23"/>
      <c r="SJ220" s="23"/>
      <c r="SK220" s="23"/>
      <c r="SL220" s="23"/>
      <c r="SM220" s="23"/>
      <c r="SN220" s="23"/>
      <c r="SO220" s="23"/>
      <c r="SP220" s="23"/>
      <c r="SQ220" s="23"/>
      <c r="SR220" s="23"/>
      <c r="SS220" s="23"/>
      <c r="ST220" s="23"/>
      <c r="SU220" s="23"/>
      <c r="SV220" s="23"/>
      <c r="SW220" s="23"/>
      <c r="SX220" s="23"/>
      <c r="SY220" s="23"/>
      <c r="SZ220" s="23"/>
      <c r="TA220" s="23"/>
      <c r="TB220" s="23"/>
      <c r="TC220" s="23"/>
      <c r="TD220" s="23"/>
      <c r="TE220" s="23"/>
      <c r="TF220" s="23"/>
      <c r="TG220" s="23"/>
    </row>
    <row r="221" spans="1:527" s="27" customFormat="1" ht="34.5" customHeight="1" x14ac:dyDescent="0.25">
      <c r="A221" s="110" t="s">
        <v>194</v>
      </c>
      <c r="B221" s="112"/>
      <c r="C221" s="112"/>
      <c r="D221" s="107" t="s">
        <v>32</v>
      </c>
      <c r="E221" s="95">
        <f>E222</f>
        <v>311105388.13999999</v>
      </c>
      <c r="F221" s="95">
        <f t="shared" ref="F221:J221" si="93">F222</f>
        <v>279021219.65999997</v>
      </c>
      <c r="G221" s="95">
        <f t="shared" si="93"/>
        <v>11254400</v>
      </c>
      <c r="H221" s="95">
        <f t="shared" si="93"/>
        <v>35325325</v>
      </c>
      <c r="I221" s="95">
        <f t="shared" si="93"/>
        <v>32084168.48</v>
      </c>
      <c r="J221" s="95">
        <f t="shared" si="93"/>
        <v>185838584.79999995</v>
      </c>
      <c r="K221" s="95">
        <f t="shared" ref="K221" si="94">K222</f>
        <v>178811818.22999996</v>
      </c>
      <c r="L221" s="95">
        <f t="shared" ref="L221" si="95">L222</f>
        <v>3732686.5700000003</v>
      </c>
      <c r="M221" s="95">
        <f t="shared" ref="M221" si="96">M222</f>
        <v>0</v>
      </c>
      <c r="N221" s="95">
        <f t="shared" ref="N221" si="97">N222</f>
        <v>0</v>
      </c>
      <c r="O221" s="95">
        <f t="shared" ref="O221:P221" si="98">O222</f>
        <v>182105898.22999996</v>
      </c>
      <c r="P221" s="95">
        <f t="shared" si="98"/>
        <v>496943972.94</v>
      </c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  <c r="DA221" s="32"/>
      <c r="DB221" s="32"/>
      <c r="DC221" s="32"/>
      <c r="DD221" s="32"/>
      <c r="DE221" s="32"/>
      <c r="DF221" s="32"/>
      <c r="DG221" s="32"/>
      <c r="DH221" s="32"/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/>
      <c r="DT221" s="32"/>
      <c r="DU221" s="32"/>
      <c r="DV221" s="32"/>
      <c r="DW221" s="32"/>
      <c r="DX221" s="32"/>
      <c r="DY221" s="32"/>
      <c r="DZ221" s="32"/>
      <c r="EA221" s="32"/>
      <c r="EB221" s="32"/>
      <c r="EC221" s="32"/>
      <c r="ED221" s="32"/>
      <c r="EE221" s="32"/>
      <c r="EF221" s="32"/>
      <c r="EG221" s="32"/>
      <c r="EH221" s="32"/>
      <c r="EI221" s="32"/>
      <c r="EJ221" s="32"/>
      <c r="EK221" s="32"/>
      <c r="EL221" s="32"/>
      <c r="EM221" s="32"/>
      <c r="EN221" s="32"/>
      <c r="EO221" s="32"/>
      <c r="EP221" s="32"/>
      <c r="EQ221" s="32"/>
      <c r="ER221" s="32"/>
      <c r="ES221" s="32"/>
      <c r="ET221" s="32"/>
      <c r="EU221" s="32"/>
      <c r="EV221" s="32"/>
      <c r="EW221" s="32"/>
      <c r="EX221" s="32"/>
      <c r="EY221" s="32"/>
      <c r="EZ221" s="32"/>
      <c r="FA221" s="32"/>
      <c r="FB221" s="32"/>
      <c r="FC221" s="32"/>
      <c r="FD221" s="32"/>
      <c r="FE221" s="32"/>
      <c r="FF221" s="32"/>
      <c r="FG221" s="32"/>
      <c r="FH221" s="32"/>
      <c r="FI221" s="32"/>
      <c r="FJ221" s="32"/>
      <c r="FK221" s="32"/>
      <c r="FL221" s="32"/>
      <c r="FM221" s="32"/>
      <c r="FN221" s="32"/>
      <c r="FO221" s="32"/>
      <c r="FP221" s="32"/>
      <c r="FQ221" s="32"/>
      <c r="FR221" s="32"/>
      <c r="FS221" s="32"/>
      <c r="FT221" s="32"/>
      <c r="FU221" s="32"/>
      <c r="FV221" s="32"/>
      <c r="FW221" s="32"/>
      <c r="FX221" s="32"/>
      <c r="FY221" s="32"/>
      <c r="FZ221" s="32"/>
      <c r="GA221" s="32"/>
      <c r="GB221" s="32"/>
      <c r="GC221" s="32"/>
      <c r="GD221" s="32"/>
      <c r="GE221" s="32"/>
      <c r="GF221" s="32"/>
      <c r="GG221" s="32"/>
      <c r="GH221" s="32"/>
      <c r="GI221" s="32"/>
      <c r="GJ221" s="32"/>
      <c r="GK221" s="32"/>
      <c r="GL221" s="32"/>
      <c r="GM221" s="32"/>
      <c r="GN221" s="32"/>
      <c r="GO221" s="32"/>
      <c r="GP221" s="32"/>
      <c r="GQ221" s="32"/>
      <c r="GR221" s="32"/>
      <c r="GS221" s="32"/>
      <c r="GT221" s="32"/>
      <c r="GU221" s="32"/>
      <c r="GV221" s="32"/>
      <c r="GW221" s="32"/>
      <c r="GX221" s="32"/>
      <c r="GY221" s="32"/>
      <c r="GZ221" s="32"/>
      <c r="HA221" s="32"/>
      <c r="HB221" s="32"/>
      <c r="HC221" s="32"/>
      <c r="HD221" s="32"/>
      <c r="HE221" s="32"/>
      <c r="HF221" s="32"/>
      <c r="HG221" s="32"/>
      <c r="HH221" s="32"/>
      <c r="HI221" s="32"/>
      <c r="HJ221" s="32"/>
      <c r="HK221" s="32"/>
      <c r="HL221" s="32"/>
      <c r="HM221" s="32"/>
      <c r="HN221" s="32"/>
      <c r="HO221" s="32"/>
      <c r="HP221" s="32"/>
      <c r="HQ221" s="32"/>
      <c r="HR221" s="32"/>
      <c r="HS221" s="32"/>
      <c r="HT221" s="32"/>
      <c r="HU221" s="32"/>
      <c r="HV221" s="32"/>
      <c r="HW221" s="32"/>
      <c r="HX221" s="32"/>
      <c r="HY221" s="32"/>
      <c r="HZ221" s="32"/>
      <c r="IA221" s="32"/>
      <c r="IB221" s="32"/>
      <c r="IC221" s="32"/>
      <c r="ID221" s="32"/>
      <c r="IE221" s="32"/>
      <c r="IF221" s="32"/>
      <c r="IG221" s="32"/>
      <c r="IH221" s="32"/>
      <c r="II221" s="32"/>
      <c r="IJ221" s="32"/>
      <c r="IK221" s="32"/>
      <c r="IL221" s="32"/>
      <c r="IM221" s="32"/>
      <c r="IN221" s="32"/>
      <c r="IO221" s="32"/>
      <c r="IP221" s="32"/>
      <c r="IQ221" s="32"/>
      <c r="IR221" s="32"/>
      <c r="IS221" s="32"/>
      <c r="IT221" s="32"/>
      <c r="IU221" s="32"/>
      <c r="IV221" s="32"/>
      <c r="IW221" s="32"/>
      <c r="IX221" s="32"/>
      <c r="IY221" s="32"/>
      <c r="IZ221" s="32"/>
      <c r="JA221" s="32"/>
      <c r="JB221" s="32"/>
      <c r="JC221" s="32"/>
      <c r="JD221" s="32"/>
      <c r="JE221" s="32"/>
      <c r="JF221" s="32"/>
      <c r="JG221" s="32"/>
      <c r="JH221" s="32"/>
      <c r="JI221" s="32"/>
      <c r="JJ221" s="32"/>
      <c r="JK221" s="32"/>
      <c r="JL221" s="32"/>
      <c r="JM221" s="32"/>
      <c r="JN221" s="32"/>
      <c r="JO221" s="32"/>
      <c r="JP221" s="32"/>
      <c r="JQ221" s="32"/>
      <c r="JR221" s="32"/>
      <c r="JS221" s="32"/>
      <c r="JT221" s="32"/>
      <c r="JU221" s="32"/>
      <c r="JV221" s="32"/>
      <c r="JW221" s="32"/>
      <c r="JX221" s="32"/>
      <c r="JY221" s="32"/>
      <c r="JZ221" s="32"/>
      <c r="KA221" s="32"/>
      <c r="KB221" s="32"/>
      <c r="KC221" s="32"/>
      <c r="KD221" s="32"/>
      <c r="KE221" s="32"/>
      <c r="KF221" s="32"/>
      <c r="KG221" s="32"/>
      <c r="KH221" s="32"/>
      <c r="KI221" s="32"/>
      <c r="KJ221" s="32"/>
      <c r="KK221" s="32"/>
      <c r="KL221" s="32"/>
      <c r="KM221" s="32"/>
      <c r="KN221" s="32"/>
      <c r="KO221" s="32"/>
      <c r="KP221" s="32"/>
      <c r="KQ221" s="32"/>
      <c r="KR221" s="32"/>
      <c r="KS221" s="32"/>
      <c r="KT221" s="32"/>
      <c r="KU221" s="32"/>
      <c r="KV221" s="32"/>
      <c r="KW221" s="32"/>
      <c r="KX221" s="32"/>
      <c r="KY221" s="32"/>
      <c r="KZ221" s="32"/>
      <c r="LA221" s="32"/>
      <c r="LB221" s="32"/>
      <c r="LC221" s="32"/>
      <c r="LD221" s="32"/>
      <c r="LE221" s="32"/>
      <c r="LF221" s="32"/>
      <c r="LG221" s="32"/>
      <c r="LH221" s="32"/>
      <c r="LI221" s="32"/>
      <c r="LJ221" s="32"/>
      <c r="LK221" s="32"/>
      <c r="LL221" s="32"/>
      <c r="LM221" s="32"/>
      <c r="LN221" s="32"/>
      <c r="LO221" s="32"/>
      <c r="LP221" s="32"/>
      <c r="LQ221" s="32"/>
      <c r="LR221" s="32"/>
      <c r="LS221" s="32"/>
      <c r="LT221" s="32"/>
      <c r="LU221" s="32"/>
      <c r="LV221" s="32"/>
      <c r="LW221" s="32"/>
      <c r="LX221" s="32"/>
      <c r="LY221" s="32"/>
      <c r="LZ221" s="32"/>
      <c r="MA221" s="32"/>
      <c r="MB221" s="32"/>
      <c r="MC221" s="32"/>
      <c r="MD221" s="32"/>
      <c r="ME221" s="32"/>
      <c r="MF221" s="32"/>
      <c r="MG221" s="32"/>
      <c r="MH221" s="32"/>
      <c r="MI221" s="32"/>
      <c r="MJ221" s="32"/>
      <c r="MK221" s="32"/>
      <c r="ML221" s="32"/>
      <c r="MM221" s="32"/>
      <c r="MN221" s="32"/>
      <c r="MO221" s="32"/>
      <c r="MP221" s="32"/>
      <c r="MQ221" s="32"/>
      <c r="MR221" s="32"/>
      <c r="MS221" s="32"/>
      <c r="MT221" s="32"/>
      <c r="MU221" s="32"/>
      <c r="MV221" s="32"/>
      <c r="MW221" s="32"/>
      <c r="MX221" s="32"/>
      <c r="MY221" s="32"/>
      <c r="MZ221" s="32"/>
      <c r="NA221" s="32"/>
      <c r="NB221" s="32"/>
      <c r="NC221" s="32"/>
      <c r="ND221" s="32"/>
      <c r="NE221" s="32"/>
      <c r="NF221" s="32"/>
      <c r="NG221" s="32"/>
      <c r="NH221" s="32"/>
      <c r="NI221" s="32"/>
      <c r="NJ221" s="32"/>
      <c r="NK221" s="32"/>
      <c r="NL221" s="32"/>
      <c r="NM221" s="32"/>
      <c r="NN221" s="32"/>
      <c r="NO221" s="32"/>
      <c r="NP221" s="32"/>
      <c r="NQ221" s="32"/>
      <c r="NR221" s="32"/>
      <c r="NS221" s="32"/>
      <c r="NT221" s="32"/>
      <c r="NU221" s="32"/>
      <c r="NV221" s="32"/>
      <c r="NW221" s="32"/>
      <c r="NX221" s="32"/>
      <c r="NY221" s="32"/>
      <c r="NZ221" s="32"/>
      <c r="OA221" s="32"/>
      <c r="OB221" s="32"/>
      <c r="OC221" s="32"/>
      <c r="OD221" s="32"/>
      <c r="OE221" s="32"/>
      <c r="OF221" s="32"/>
      <c r="OG221" s="32"/>
      <c r="OH221" s="32"/>
      <c r="OI221" s="32"/>
      <c r="OJ221" s="32"/>
      <c r="OK221" s="32"/>
      <c r="OL221" s="32"/>
      <c r="OM221" s="32"/>
      <c r="ON221" s="32"/>
      <c r="OO221" s="32"/>
      <c r="OP221" s="32"/>
      <c r="OQ221" s="32"/>
      <c r="OR221" s="32"/>
      <c r="OS221" s="32"/>
      <c r="OT221" s="32"/>
      <c r="OU221" s="32"/>
      <c r="OV221" s="32"/>
      <c r="OW221" s="32"/>
      <c r="OX221" s="32"/>
      <c r="OY221" s="32"/>
      <c r="OZ221" s="32"/>
      <c r="PA221" s="32"/>
      <c r="PB221" s="32"/>
      <c r="PC221" s="32"/>
      <c r="PD221" s="32"/>
      <c r="PE221" s="32"/>
      <c r="PF221" s="32"/>
      <c r="PG221" s="32"/>
      <c r="PH221" s="32"/>
      <c r="PI221" s="32"/>
      <c r="PJ221" s="32"/>
      <c r="PK221" s="32"/>
      <c r="PL221" s="32"/>
      <c r="PM221" s="32"/>
      <c r="PN221" s="32"/>
      <c r="PO221" s="32"/>
      <c r="PP221" s="32"/>
      <c r="PQ221" s="32"/>
      <c r="PR221" s="32"/>
      <c r="PS221" s="32"/>
      <c r="PT221" s="32"/>
      <c r="PU221" s="32"/>
      <c r="PV221" s="32"/>
      <c r="PW221" s="32"/>
      <c r="PX221" s="32"/>
      <c r="PY221" s="32"/>
      <c r="PZ221" s="32"/>
      <c r="QA221" s="32"/>
      <c r="QB221" s="32"/>
      <c r="QC221" s="32"/>
      <c r="QD221" s="32"/>
      <c r="QE221" s="32"/>
      <c r="QF221" s="32"/>
      <c r="QG221" s="32"/>
      <c r="QH221" s="32"/>
      <c r="QI221" s="32"/>
      <c r="QJ221" s="32"/>
      <c r="QK221" s="32"/>
      <c r="QL221" s="32"/>
      <c r="QM221" s="32"/>
      <c r="QN221" s="32"/>
      <c r="QO221" s="32"/>
      <c r="QP221" s="32"/>
      <c r="QQ221" s="32"/>
      <c r="QR221" s="32"/>
      <c r="QS221" s="32"/>
      <c r="QT221" s="32"/>
      <c r="QU221" s="32"/>
      <c r="QV221" s="32"/>
      <c r="QW221" s="32"/>
      <c r="QX221" s="32"/>
      <c r="QY221" s="32"/>
      <c r="QZ221" s="32"/>
      <c r="RA221" s="32"/>
      <c r="RB221" s="32"/>
      <c r="RC221" s="32"/>
      <c r="RD221" s="32"/>
      <c r="RE221" s="32"/>
      <c r="RF221" s="32"/>
      <c r="RG221" s="32"/>
      <c r="RH221" s="32"/>
      <c r="RI221" s="32"/>
      <c r="RJ221" s="32"/>
      <c r="RK221" s="32"/>
      <c r="RL221" s="32"/>
      <c r="RM221" s="32"/>
      <c r="RN221" s="32"/>
      <c r="RO221" s="32"/>
      <c r="RP221" s="32"/>
      <c r="RQ221" s="32"/>
      <c r="RR221" s="32"/>
      <c r="RS221" s="32"/>
      <c r="RT221" s="32"/>
      <c r="RU221" s="32"/>
      <c r="RV221" s="32"/>
      <c r="RW221" s="32"/>
      <c r="RX221" s="32"/>
      <c r="RY221" s="32"/>
      <c r="RZ221" s="32"/>
      <c r="SA221" s="32"/>
      <c r="SB221" s="32"/>
      <c r="SC221" s="32"/>
      <c r="SD221" s="32"/>
      <c r="SE221" s="32"/>
      <c r="SF221" s="32"/>
      <c r="SG221" s="32"/>
      <c r="SH221" s="32"/>
      <c r="SI221" s="32"/>
      <c r="SJ221" s="32"/>
      <c r="SK221" s="32"/>
      <c r="SL221" s="32"/>
      <c r="SM221" s="32"/>
      <c r="SN221" s="32"/>
      <c r="SO221" s="32"/>
      <c r="SP221" s="32"/>
      <c r="SQ221" s="32"/>
      <c r="SR221" s="32"/>
      <c r="SS221" s="32"/>
      <c r="ST221" s="32"/>
      <c r="SU221" s="32"/>
      <c r="SV221" s="32"/>
      <c r="SW221" s="32"/>
      <c r="SX221" s="32"/>
      <c r="SY221" s="32"/>
      <c r="SZ221" s="32"/>
      <c r="TA221" s="32"/>
      <c r="TB221" s="32"/>
      <c r="TC221" s="32"/>
      <c r="TD221" s="32"/>
      <c r="TE221" s="32"/>
      <c r="TF221" s="32"/>
      <c r="TG221" s="32"/>
    </row>
    <row r="222" spans="1:527" s="34" customFormat="1" ht="31.5" x14ac:dyDescent="0.25">
      <c r="A222" s="96" t="s">
        <v>195</v>
      </c>
      <c r="B222" s="109"/>
      <c r="C222" s="109"/>
      <c r="D222" s="77" t="s">
        <v>396</v>
      </c>
      <c r="E222" s="98">
        <f t="shared" ref="E222:P222" si="99">E229+E230+E231+E232+E233+E234+E235+E236+E237+E240+E241+E242+E244+E243+E246+E248+E253+E255+E256+E257+E259+E262+E263+E264+E245+E250+E261+E260+E238</f>
        <v>311105388.13999999</v>
      </c>
      <c r="F222" s="98">
        <f t="shared" si="99"/>
        <v>279021219.65999997</v>
      </c>
      <c r="G222" s="98">
        <f t="shared" si="99"/>
        <v>11254400</v>
      </c>
      <c r="H222" s="98">
        <f t="shared" si="99"/>
        <v>35325325</v>
      </c>
      <c r="I222" s="98">
        <f t="shared" si="99"/>
        <v>32084168.48</v>
      </c>
      <c r="J222" s="98">
        <f t="shared" si="99"/>
        <v>185838584.79999995</v>
      </c>
      <c r="K222" s="98">
        <f t="shared" si="99"/>
        <v>178811818.22999996</v>
      </c>
      <c r="L222" s="98">
        <f t="shared" si="99"/>
        <v>3732686.5700000003</v>
      </c>
      <c r="M222" s="98">
        <f t="shared" si="99"/>
        <v>0</v>
      </c>
      <c r="N222" s="98">
        <f t="shared" si="99"/>
        <v>0</v>
      </c>
      <c r="O222" s="98">
        <f t="shared" si="99"/>
        <v>182105898.22999996</v>
      </c>
      <c r="P222" s="98">
        <f t="shared" si="99"/>
        <v>496943972.94</v>
      </c>
      <c r="Q222" s="33"/>
      <c r="R222" s="32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CW222" s="33"/>
      <c r="CX222" s="33"/>
      <c r="CY222" s="33"/>
      <c r="CZ222" s="33"/>
      <c r="DA222" s="33"/>
      <c r="DB222" s="33"/>
      <c r="DC222" s="33"/>
      <c r="DD222" s="33"/>
      <c r="DE222" s="33"/>
      <c r="DF222" s="33"/>
      <c r="DG222" s="33"/>
      <c r="DH222" s="33"/>
      <c r="DI222" s="33"/>
      <c r="DJ222" s="33"/>
      <c r="DK222" s="33"/>
      <c r="DL222" s="33"/>
      <c r="DM222" s="33"/>
      <c r="DN222" s="33"/>
      <c r="DO222" s="33"/>
      <c r="DP222" s="33"/>
      <c r="DQ222" s="33"/>
      <c r="DR222" s="33"/>
      <c r="DS222" s="33"/>
      <c r="DT222" s="33"/>
      <c r="DU222" s="33"/>
      <c r="DV222" s="33"/>
      <c r="DW222" s="33"/>
      <c r="DX222" s="33"/>
      <c r="DY222" s="33"/>
      <c r="DZ222" s="33"/>
      <c r="EA222" s="33"/>
      <c r="EB222" s="33"/>
      <c r="EC222" s="33"/>
      <c r="ED222" s="33"/>
      <c r="EE222" s="33"/>
      <c r="EF222" s="33"/>
      <c r="EG222" s="33"/>
      <c r="EH222" s="33"/>
      <c r="EI222" s="33"/>
      <c r="EJ222" s="33"/>
      <c r="EK222" s="33"/>
      <c r="EL222" s="33"/>
      <c r="EM222" s="33"/>
      <c r="EN222" s="33"/>
      <c r="EO222" s="33"/>
      <c r="EP222" s="33"/>
      <c r="EQ222" s="33"/>
      <c r="ER222" s="33"/>
      <c r="ES222" s="33"/>
      <c r="ET222" s="33"/>
      <c r="EU222" s="33"/>
      <c r="EV222" s="33"/>
      <c r="EW222" s="33"/>
      <c r="EX222" s="33"/>
      <c r="EY222" s="33"/>
      <c r="EZ222" s="33"/>
      <c r="FA222" s="33"/>
      <c r="FB222" s="33"/>
      <c r="FC222" s="33"/>
      <c r="FD222" s="33"/>
      <c r="FE222" s="33"/>
      <c r="FF222" s="33"/>
      <c r="FG222" s="33"/>
      <c r="FH222" s="33"/>
      <c r="FI222" s="33"/>
      <c r="FJ222" s="33"/>
      <c r="FK222" s="33"/>
      <c r="FL222" s="33"/>
      <c r="FM222" s="33"/>
      <c r="FN222" s="33"/>
      <c r="FO222" s="33"/>
      <c r="FP222" s="33"/>
      <c r="FQ222" s="33"/>
      <c r="FR222" s="33"/>
      <c r="FS222" s="33"/>
      <c r="FT222" s="33"/>
      <c r="FU222" s="33"/>
      <c r="FV222" s="33"/>
      <c r="FW222" s="33"/>
      <c r="FX222" s="33"/>
      <c r="FY222" s="33"/>
      <c r="FZ222" s="33"/>
      <c r="GA222" s="33"/>
      <c r="GB222" s="33"/>
      <c r="GC222" s="33"/>
      <c r="GD222" s="33"/>
      <c r="GE222" s="33"/>
      <c r="GF222" s="33"/>
      <c r="GG222" s="33"/>
      <c r="GH222" s="33"/>
      <c r="GI222" s="33"/>
      <c r="GJ222" s="33"/>
      <c r="GK222" s="33"/>
      <c r="GL222" s="33"/>
      <c r="GM222" s="33"/>
      <c r="GN222" s="33"/>
      <c r="GO222" s="33"/>
      <c r="GP222" s="33"/>
      <c r="GQ222" s="33"/>
      <c r="GR222" s="33"/>
      <c r="GS222" s="33"/>
      <c r="GT222" s="33"/>
      <c r="GU222" s="33"/>
      <c r="GV222" s="33"/>
      <c r="GW222" s="33"/>
      <c r="GX222" s="33"/>
      <c r="GY222" s="33"/>
      <c r="GZ222" s="33"/>
      <c r="HA222" s="33"/>
      <c r="HB222" s="33"/>
      <c r="HC222" s="33"/>
      <c r="HD222" s="33"/>
      <c r="HE222" s="33"/>
      <c r="HF222" s="33"/>
      <c r="HG222" s="33"/>
      <c r="HH222" s="33"/>
      <c r="HI222" s="33"/>
      <c r="HJ222" s="33"/>
      <c r="HK222" s="33"/>
      <c r="HL222" s="33"/>
      <c r="HM222" s="33"/>
      <c r="HN222" s="33"/>
      <c r="HO222" s="33"/>
      <c r="HP222" s="33"/>
      <c r="HQ222" s="33"/>
      <c r="HR222" s="33"/>
      <c r="HS222" s="33"/>
      <c r="HT222" s="33"/>
      <c r="HU222" s="33"/>
      <c r="HV222" s="33"/>
      <c r="HW222" s="33"/>
      <c r="HX222" s="33"/>
      <c r="HY222" s="33"/>
      <c r="HZ222" s="33"/>
      <c r="IA222" s="33"/>
      <c r="IB222" s="33"/>
      <c r="IC222" s="33"/>
      <c r="ID222" s="33"/>
      <c r="IE222" s="33"/>
      <c r="IF222" s="33"/>
      <c r="IG222" s="33"/>
      <c r="IH222" s="33"/>
      <c r="II222" s="33"/>
      <c r="IJ222" s="33"/>
      <c r="IK222" s="33"/>
      <c r="IL222" s="33"/>
      <c r="IM222" s="33"/>
      <c r="IN222" s="33"/>
      <c r="IO222" s="33"/>
      <c r="IP222" s="33"/>
      <c r="IQ222" s="33"/>
      <c r="IR222" s="33"/>
      <c r="IS222" s="33"/>
      <c r="IT222" s="33"/>
      <c r="IU222" s="33"/>
      <c r="IV222" s="33"/>
      <c r="IW222" s="33"/>
      <c r="IX222" s="33"/>
      <c r="IY222" s="33"/>
      <c r="IZ222" s="33"/>
      <c r="JA222" s="33"/>
      <c r="JB222" s="33"/>
      <c r="JC222" s="33"/>
      <c r="JD222" s="33"/>
      <c r="JE222" s="33"/>
      <c r="JF222" s="33"/>
      <c r="JG222" s="33"/>
      <c r="JH222" s="33"/>
      <c r="JI222" s="33"/>
      <c r="JJ222" s="33"/>
      <c r="JK222" s="33"/>
      <c r="JL222" s="33"/>
      <c r="JM222" s="33"/>
      <c r="JN222" s="33"/>
      <c r="JO222" s="33"/>
      <c r="JP222" s="33"/>
      <c r="JQ222" s="33"/>
      <c r="JR222" s="33"/>
      <c r="JS222" s="33"/>
      <c r="JT222" s="33"/>
      <c r="JU222" s="33"/>
      <c r="JV222" s="33"/>
      <c r="JW222" s="33"/>
      <c r="JX222" s="33"/>
      <c r="JY222" s="33"/>
      <c r="JZ222" s="33"/>
      <c r="KA222" s="33"/>
      <c r="KB222" s="33"/>
      <c r="KC222" s="33"/>
      <c r="KD222" s="33"/>
      <c r="KE222" s="33"/>
      <c r="KF222" s="33"/>
      <c r="KG222" s="33"/>
      <c r="KH222" s="33"/>
      <c r="KI222" s="33"/>
      <c r="KJ222" s="33"/>
      <c r="KK222" s="33"/>
      <c r="KL222" s="33"/>
      <c r="KM222" s="33"/>
      <c r="KN222" s="33"/>
      <c r="KO222" s="33"/>
      <c r="KP222" s="33"/>
      <c r="KQ222" s="33"/>
      <c r="KR222" s="33"/>
      <c r="KS222" s="33"/>
      <c r="KT222" s="33"/>
      <c r="KU222" s="33"/>
      <c r="KV222" s="33"/>
      <c r="KW222" s="33"/>
      <c r="KX222" s="33"/>
      <c r="KY222" s="33"/>
      <c r="KZ222" s="33"/>
      <c r="LA222" s="33"/>
      <c r="LB222" s="33"/>
      <c r="LC222" s="33"/>
      <c r="LD222" s="33"/>
      <c r="LE222" s="33"/>
      <c r="LF222" s="33"/>
      <c r="LG222" s="33"/>
      <c r="LH222" s="33"/>
      <c r="LI222" s="33"/>
      <c r="LJ222" s="33"/>
      <c r="LK222" s="33"/>
      <c r="LL222" s="33"/>
      <c r="LM222" s="33"/>
      <c r="LN222" s="33"/>
      <c r="LO222" s="33"/>
      <c r="LP222" s="33"/>
      <c r="LQ222" s="33"/>
      <c r="LR222" s="33"/>
      <c r="LS222" s="33"/>
      <c r="LT222" s="33"/>
      <c r="LU222" s="33"/>
      <c r="LV222" s="33"/>
      <c r="LW222" s="33"/>
      <c r="LX222" s="33"/>
      <c r="LY222" s="33"/>
      <c r="LZ222" s="33"/>
      <c r="MA222" s="33"/>
      <c r="MB222" s="33"/>
      <c r="MC222" s="33"/>
      <c r="MD222" s="33"/>
      <c r="ME222" s="33"/>
      <c r="MF222" s="33"/>
      <c r="MG222" s="33"/>
      <c r="MH222" s="33"/>
      <c r="MI222" s="33"/>
      <c r="MJ222" s="33"/>
      <c r="MK222" s="33"/>
      <c r="ML222" s="33"/>
      <c r="MM222" s="33"/>
      <c r="MN222" s="33"/>
      <c r="MO222" s="33"/>
      <c r="MP222" s="33"/>
      <c r="MQ222" s="33"/>
      <c r="MR222" s="33"/>
      <c r="MS222" s="33"/>
      <c r="MT222" s="33"/>
      <c r="MU222" s="33"/>
      <c r="MV222" s="33"/>
      <c r="MW222" s="33"/>
      <c r="MX222" s="33"/>
      <c r="MY222" s="33"/>
      <c r="MZ222" s="33"/>
      <c r="NA222" s="33"/>
      <c r="NB222" s="33"/>
      <c r="NC222" s="33"/>
      <c r="ND222" s="33"/>
      <c r="NE222" s="33"/>
      <c r="NF222" s="33"/>
      <c r="NG222" s="33"/>
      <c r="NH222" s="33"/>
      <c r="NI222" s="33"/>
      <c r="NJ222" s="33"/>
      <c r="NK222" s="33"/>
      <c r="NL222" s="33"/>
      <c r="NM222" s="33"/>
      <c r="NN222" s="33"/>
      <c r="NO222" s="33"/>
      <c r="NP222" s="33"/>
      <c r="NQ222" s="33"/>
      <c r="NR222" s="33"/>
      <c r="NS222" s="33"/>
      <c r="NT222" s="33"/>
      <c r="NU222" s="33"/>
      <c r="NV222" s="33"/>
      <c r="NW222" s="33"/>
      <c r="NX222" s="33"/>
      <c r="NY222" s="33"/>
      <c r="NZ222" s="33"/>
      <c r="OA222" s="33"/>
      <c r="OB222" s="33"/>
      <c r="OC222" s="33"/>
      <c r="OD222" s="33"/>
      <c r="OE222" s="33"/>
      <c r="OF222" s="33"/>
      <c r="OG222" s="33"/>
      <c r="OH222" s="33"/>
      <c r="OI222" s="33"/>
      <c r="OJ222" s="33"/>
      <c r="OK222" s="33"/>
      <c r="OL222" s="33"/>
      <c r="OM222" s="33"/>
      <c r="ON222" s="33"/>
      <c r="OO222" s="33"/>
      <c r="OP222" s="33"/>
      <c r="OQ222" s="33"/>
      <c r="OR222" s="33"/>
      <c r="OS222" s="33"/>
      <c r="OT222" s="33"/>
      <c r="OU222" s="33"/>
      <c r="OV222" s="33"/>
      <c r="OW222" s="33"/>
      <c r="OX222" s="33"/>
      <c r="OY222" s="33"/>
      <c r="OZ222" s="33"/>
      <c r="PA222" s="33"/>
      <c r="PB222" s="33"/>
      <c r="PC222" s="33"/>
      <c r="PD222" s="33"/>
      <c r="PE222" s="33"/>
      <c r="PF222" s="33"/>
      <c r="PG222" s="33"/>
      <c r="PH222" s="33"/>
      <c r="PI222" s="33"/>
      <c r="PJ222" s="33"/>
      <c r="PK222" s="33"/>
      <c r="PL222" s="33"/>
      <c r="PM222" s="33"/>
      <c r="PN222" s="33"/>
      <c r="PO222" s="33"/>
      <c r="PP222" s="33"/>
      <c r="PQ222" s="33"/>
      <c r="PR222" s="33"/>
      <c r="PS222" s="33"/>
      <c r="PT222" s="33"/>
      <c r="PU222" s="33"/>
      <c r="PV222" s="33"/>
      <c r="PW222" s="33"/>
      <c r="PX222" s="33"/>
      <c r="PY222" s="33"/>
      <c r="PZ222" s="33"/>
      <c r="QA222" s="33"/>
      <c r="QB222" s="33"/>
      <c r="QC222" s="33"/>
      <c r="QD222" s="33"/>
      <c r="QE222" s="33"/>
      <c r="QF222" s="33"/>
      <c r="QG222" s="33"/>
      <c r="QH222" s="33"/>
      <c r="QI222" s="33"/>
      <c r="QJ222" s="33"/>
      <c r="QK222" s="33"/>
      <c r="QL222" s="33"/>
      <c r="QM222" s="33"/>
      <c r="QN222" s="33"/>
      <c r="QO222" s="33"/>
      <c r="QP222" s="33"/>
      <c r="QQ222" s="33"/>
      <c r="QR222" s="33"/>
      <c r="QS222" s="33"/>
      <c r="QT222" s="33"/>
      <c r="QU222" s="33"/>
      <c r="QV222" s="33"/>
      <c r="QW222" s="33"/>
      <c r="QX222" s="33"/>
      <c r="QY222" s="33"/>
      <c r="QZ222" s="33"/>
      <c r="RA222" s="33"/>
      <c r="RB222" s="33"/>
      <c r="RC222" s="33"/>
      <c r="RD222" s="33"/>
      <c r="RE222" s="33"/>
      <c r="RF222" s="33"/>
      <c r="RG222" s="33"/>
      <c r="RH222" s="33"/>
      <c r="RI222" s="33"/>
      <c r="RJ222" s="33"/>
      <c r="RK222" s="33"/>
      <c r="RL222" s="33"/>
      <c r="RM222" s="33"/>
      <c r="RN222" s="33"/>
      <c r="RO222" s="33"/>
      <c r="RP222" s="33"/>
      <c r="RQ222" s="33"/>
      <c r="RR222" s="33"/>
      <c r="RS222" s="33"/>
      <c r="RT222" s="33"/>
      <c r="RU222" s="33"/>
      <c r="RV222" s="33"/>
      <c r="RW222" s="33"/>
      <c r="RX222" s="33"/>
      <c r="RY222" s="33"/>
      <c r="RZ222" s="33"/>
      <c r="SA222" s="33"/>
      <c r="SB222" s="33"/>
      <c r="SC222" s="33"/>
      <c r="SD222" s="33"/>
      <c r="SE222" s="33"/>
      <c r="SF222" s="33"/>
      <c r="SG222" s="33"/>
      <c r="SH222" s="33"/>
      <c r="SI222" s="33"/>
      <c r="SJ222" s="33"/>
      <c r="SK222" s="33"/>
      <c r="SL222" s="33"/>
      <c r="SM222" s="33"/>
      <c r="SN222" s="33"/>
      <c r="SO222" s="33"/>
      <c r="SP222" s="33"/>
      <c r="SQ222" s="33"/>
      <c r="SR222" s="33"/>
      <c r="SS222" s="33"/>
      <c r="ST222" s="33"/>
      <c r="SU222" s="33"/>
      <c r="SV222" s="33"/>
      <c r="SW222" s="33"/>
      <c r="SX222" s="33"/>
      <c r="SY222" s="33"/>
      <c r="SZ222" s="33"/>
      <c r="TA222" s="33"/>
      <c r="TB222" s="33"/>
      <c r="TC222" s="33"/>
      <c r="TD222" s="33"/>
      <c r="TE222" s="33"/>
      <c r="TF222" s="33"/>
      <c r="TG222" s="33"/>
    </row>
    <row r="223" spans="1:527" s="34" customFormat="1" ht="117.75" customHeight="1" x14ac:dyDescent="0.25">
      <c r="A223" s="96"/>
      <c r="B223" s="109"/>
      <c r="C223" s="109"/>
      <c r="D223" s="77" t="s">
        <v>397</v>
      </c>
      <c r="E223" s="98">
        <f>E251</f>
        <v>0</v>
      </c>
      <c r="F223" s="98">
        <f t="shared" ref="F223:P223" si="100">F251</f>
        <v>0</v>
      </c>
      <c r="G223" s="98">
        <f t="shared" si="100"/>
        <v>0</v>
      </c>
      <c r="H223" s="98">
        <f t="shared" si="100"/>
        <v>0</v>
      </c>
      <c r="I223" s="98">
        <f t="shared" si="100"/>
        <v>0</v>
      </c>
      <c r="J223" s="98">
        <f t="shared" si="100"/>
        <v>0</v>
      </c>
      <c r="K223" s="98">
        <f t="shared" si="100"/>
        <v>0</v>
      </c>
      <c r="L223" s="98">
        <f t="shared" si="100"/>
        <v>0</v>
      </c>
      <c r="M223" s="98">
        <f t="shared" si="100"/>
        <v>0</v>
      </c>
      <c r="N223" s="98">
        <f t="shared" si="100"/>
        <v>0</v>
      </c>
      <c r="O223" s="98">
        <f t="shared" si="100"/>
        <v>0</v>
      </c>
      <c r="P223" s="98">
        <f t="shared" si="100"/>
        <v>0</v>
      </c>
      <c r="Q223" s="33"/>
      <c r="R223" s="32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  <c r="CN223" s="33"/>
      <c r="CO223" s="33"/>
      <c r="CP223" s="33"/>
      <c r="CQ223" s="33"/>
      <c r="CR223" s="33"/>
      <c r="CS223" s="33"/>
      <c r="CT223" s="33"/>
      <c r="CU223" s="33"/>
      <c r="CV223" s="33"/>
      <c r="CW223" s="33"/>
      <c r="CX223" s="33"/>
      <c r="CY223" s="33"/>
      <c r="CZ223" s="33"/>
      <c r="DA223" s="33"/>
      <c r="DB223" s="33"/>
      <c r="DC223" s="33"/>
      <c r="DD223" s="33"/>
      <c r="DE223" s="33"/>
      <c r="DF223" s="33"/>
      <c r="DG223" s="33"/>
      <c r="DH223" s="33"/>
      <c r="DI223" s="33"/>
      <c r="DJ223" s="33"/>
      <c r="DK223" s="33"/>
      <c r="DL223" s="33"/>
      <c r="DM223" s="33"/>
      <c r="DN223" s="33"/>
      <c r="DO223" s="33"/>
      <c r="DP223" s="33"/>
      <c r="DQ223" s="33"/>
      <c r="DR223" s="33"/>
      <c r="DS223" s="33"/>
      <c r="DT223" s="33"/>
      <c r="DU223" s="33"/>
      <c r="DV223" s="33"/>
      <c r="DW223" s="33"/>
      <c r="DX223" s="33"/>
      <c r="DY223" s="33"/>
      <c r="DZ223" s="33"/>
      <c r="EA223" s="33"/>
      <c r="EB223" s="33"/>
      <c r="EC223" s="33"/>
      <c r="ED223" s="33"/>
      <c r="EE223" s="33"/>
      <c r="EF223" s="33"/>
      <c r="EG223" s="33"/>
      <c r="EH223" s="33"/>
      <c r="EI223" s="33"/>
      <c r="EJ223" s="33"/>
      <c r="EK223" s="33"/>
      <c r="EL223" s="33"/>
      <c r="EM223" s="33"/>
      <c r="EN223" s="33"/>
      <c r="EO223" s="33"/>
      <c r="EP223" s="33"/>
      <c r="EQ223" s="33"/>
      <c r="ER223" s="33"/>
      <c r="ES223" s="33"/>
      <c r="ET223" s="33"/>
      <c r="EU223" s="33"/>
      <c r="EV223" s="33"/>
      <c r="EW223" s="33"/>
      <c r="EX223" s="33"/>
      <c r="EY223" s="33"/>
      <c r="EZ223" s="33"/>
      <c r="FA223" s="33"/>
      <c r="FB223" s="33"/>
      <c r="FC223" s="33"/>
      <c r="FD223" s="33"/>
      <c r="FE223" s="33"/>
      <c r="FF223" s="33"/>
      <c r="FG223" s="33"/>
      <c r="FH223" s="33"/>
      <c r="FI223" s="33"/>
      <c r="FJ223" s="33"/>
      <c r="FK223" s="33"/>
      <c r="FL223" s="33"/>
      <c r="FM223" s="33"/>
      <c r="FN223" s="33"/>
      <c r="FO223" s="33"/>
      <c r="FP223" s="33"/>
      <c r="FQ223" s="33"/>
      <c r="FR223" s="33"/>
      <c r="FS223" s="33"/>
      <c r="FT223" s="33"/>
      <c r="FU223" s="33"/>
      <c r="FV223" s="33"/>
      <c r="FW223" s="33"/>
      <c r="FX223" s="33"/>
      <c r="FY223" s="33"/>
      <c r="FZ223" s="33"/>
      <c r="GA223" s="33"/>
      <c r="GB223" s="33"/>
      <c r="GC223" s="33"/>
      <c r="GD223" s="33"/>
      <c r="GE223" s="33"/>
      <c r="GF223" s="33"/>
      <c r="GG223" s="33"/>
      <c r="GH223" s="33"/>
      <c r="GI223" s="33"/>
      <c r="GJ223" s="33"/>
      <c r="GK223" s="33"/>
      <c r="GL223" s="33"/>
      <c r="GM223" s="33"/>
      <c r="GN223" s="33"/>
      <c r="GO223" s="33"/>
      <c r="GP223" s="33"/>
      <c r="GQ223" s="33"/>
      <c r="GR223" s="33"/>
      <c r="GS223" s="33"/>
      <c r="GT223" s="33"/>
      <c r="GU223" s="33"/>
      <c r="GV223" s="33"/>
      <c r="GW223" s="33"/>
      <c r="GX223" s="33"/>
      <c r="GY223" s="33"/>
      <c r="GZ223" s="33"/>
      <c r="HA223" s="33"/>
      <c r="HB223" s="33"/>
      <c r="HC223" s="33"/>
      <c r="HD223" s="33"/>
      <c r="HE223" s="33"/>
      <c r="HF223" s="33"/>
      <c r="HG223" s="33"/>
      <c r="HH223" s="33"/>
      <c r="HI223" s="33"/>
      <c r="HJ223" s="33"/>
      <c r="HK223" s="33"/>
      <c r="HL223" s="33"/>
      <c r="HM223" s="33"/>
      <c r="HN223" s="33"/>
      <c r="HO223" s="33"/>
      <c r="HP223" s="33"/>
      <c r="HQ223" s="33"/>
      <c r="HR223" s="33"/>
      <c r="HS223" s="33"/>
      <c r="HT223" s="33"/>
      <c r="HU223" s="33"/>
      <c r="HV223" s="33"/>
      <c r="HW223" s="33"/>
      <c r="HX223" s="33"/>
      <c r="HY223" s="33"/>
      <c r="HZ223" s="33"/>
      <c r="IA223" s="33"/>
      <c r="IB223" s="33"/>
      <c r="IC223" s="33"/>
      <c r="ID223" s="33"/>
      <c r="IE223" s="33"/>
      <c r="IF223" s="33"/>
      <c r="IG223" s="33"/>
      <c r="IH223" s="33"/>
      <c r="II223" s="33"/>
      <c r="IJ223" s="33"/>
      <c r="IK223" s="33"/>
      <c r="IL223" s="33"/>
      <c r="IM223" s="33"/>
      <c r="IN223" s="33"/>
      <c r="IO223" s="33"/>
      <c r="IP223" s="33"/>
      <c r="IQ223" s="33"/>
      <c r="IR223" s="33"/>
      <c r="IS223" s="33"/>
      <c r="IT223" s="33"/>
      <c r="IU223" s="33"/>
      <c r="IV223" s="33"/>
      <c r="IW223" s="33"/>
      <c r="IX223" s="33"/>
      <c r="IY223" s="33"/>
      <c r="IZ223" s="33"/>
      <c r="JA223" s="33"/>
      <c r="JB223" s="33"/>
      <c r="JC223" s="33"/>
      <c r="JD223" s="33"/>
      <c r="JE223" s="33"/>
      <c r="JF223" s="33"/>
      <c r="JG223" s="33"/>
      <c r="JH223" s="33"/>
      <c r="JI223" s="33"/>
      <c r="JJ223" s="33"/>
      <c r="JK223" s="33"/>
      <c r="JL223" s="33"/>
      <c r="JM223" s="33"/>
      <c r="JN223" s="33"/>
      <c r="JO223" s="33"/>
      <c r="JP223" s="33"/>
      <c r="JQ223" s="33"/>
      <c r="JR223" s="33"/>
      <c r="JS223" s="33"/>
      <c r="JT223" s="33"/>
      <c r="JU223" s="33"/>
      <c r="JV223" s="33"/>
      <c r="JW223" s="33"/>
      <c r="JX223" s="33"/>
      <c r="JY223" s="33"/>
      <c r="JZ223" s="33"/>
      <c r="KA223" s="33"/>
      <c r="KB223" s="33"/>
      <c r="KC223" s="33"/>
      <c r="KD223" s="33"/>
      <c r="KE223" s="33"/>
      <c r="KF223" s="33"/>
      <c r="KG223" s="33"/>
      <c r="KH223" s="33"/>
      <c r="KI223" s="33"/>
      <c r="KJ223" s="33"/>
      <c r="KK223" s="33"/>
      <c r="KL223" s="33"/>
      <c r="KM223" s="33"/>
      <c r="KN223" s="33"/>
      <c r="KO223" s="33"/>
      <c r="KP223" s="33"/>
      <c r="KQ223" s="33"/>
      <c r="KR223" s="33"/>
      <c r="KS223" s="33"/>
      <c r="KT223" s="33"/>
      <c r="KU223" s="33"/>
      <c r="KV223" s="33"/>
      <c r="KW223" s="33"/>
      <c r="KX223" s="33"/>
      <c r="KY223" s="33"/>
      <c r="KZ223" s="33"/>
      <c r="LA223" s="33"/>
      <c r="LB223" s="33"/>
      <c r="LC223" s="33"/>
      <c r="LD223" s="33"/>
      <c r="LE223" s="33"/>
      <c r="LF223" s="33"/>
      <c r="LG223" s="33"/>
      <c r="LH223" s="33"/>
      <c r="LI223" s="33"/>
      <c r="LJ223" s="33"/>
      <c r="LK223" s="33"/>
      <c r="LL223" s="33"/>
      <c r="LM223" s="33"/>
      <c r="LN223" s="33"/>
      <c r="LO223" s="33"/>
      <c r="LP223" s="33"/>
      <c r="LQ223" s="33"/>
      <c r="LR223" s="33"/>
      <c r="LS223" s="33"/>
      <c r="LT223" s="33"/>
      <c r="LU223" s="33"/>
      <c r="LV223" s="33"/>
      <c r="LW223" s="33"/>
      <c r="LX223" s="33"/>
      <c r="LY223" s="33"/>
      <c r="LZ223" s="33"/>
      <c r="MA223" s="33"/>
      <c r="MB223" s="33"/>
      <c r="MC223" s="33"/>
      <c r="MD223" s="33"/>
      <c r="ME223" s="33"/>
      <c r="MF223" s="33"/>
      <c r="MG223" s="33"/>
      <c r="MH223" s="33"/>
      <c r="MI223" s="33"/>
      <c r="MJ223" s="33"/>
      <c r="MK223" s="33"/>
      <c r="ML223" s="33"/>
      <c r="MM223" s="33"/>
      <c r="MN223" s="33"/>
      <c r="MO223" s="33"/>
      <c r="MP223" s="33"/>
      <c r="MQ223" s="33"/>
      <c r="MR223" s="33"/>
      <c r="MS223" s="33"/>
      <c r="MT223" s="33"/>
      <c r="MU223" s="33"/>
      <c r="MV223" s="33"/>
      <c r="MW223" s="33"/>
      <c r="MX223" s="33"/>
      <c r="MY223" s="33"/>
      <c r="MZ223" s="33"/>
      <c r="NA223" s="33"/>
      <c r="NB223" s="33"/>
      <c r="NC223" s="33"/>
      <c r="ND223" s="33"/>
      <c r="NE223" s="33"/>
      <c r="NF223" s="33"/>
      <c r="NG223" s="33"/>
      <c r="NH223" s="33"/>
      <c r="NI223" s="33"/>
      <c r="NJ223" s="33"/>
      <c r="NK223" s="33"/>
      <c r="NL223" s="33"/>
      <c r="NM223" s="33"/>
      <c r="NN223" s="33"/>
      <c r="NO223" s="33"/>
      <c r="NP223" s="33"/>
      <c r="NQ223" s="33"/>
      <c r="NR223" s="33"/>
      <c r="NS223" s="33"/>
      <c r="NT223" s="33"/>
      <c r="NU223" s="33"/>
      <c r="NV223" s="33"/>
      <c r="NW223" s="33"/>
      <c r="NX223" s="33"/>
      <c r="NY223" s="33"/>
      <c r="NZ223" s="33"/>
      <c r="OA223" s="33"/>
      <c r="OB223" s="33"/>
      <c r="OC223" s="33"/>
      <c r="OD223" s="33"/>
      <c r="OE223" s="33"/>
      <c r="OF223" s="33"/>
      <c r="OG223" s="33"/>
      <c r="OH223" s="33"/>
      <c r="OI223" s="33"/>
      <c r="OJ223" s="33"/>
      <c r="OK223" s="33"/>
      <c r="OL223" s="33"/>
      <c r="OM223" s="33"/>
      <c r="ON223" s="33"/>
      <c r="OO223" s="33"/>
      <c r="OP223" s="33"/>
      <c r="OQ223" s="33"/>
      <c r="OR223" s="33"/>
      <c r="OS223" s="33"/>
      <c r="OT223" s="33"/>
      <c r="OU223" s="33"/>
      <c r="OV223" s="33"/>
      <c r="OW223" s="33"/>
      <c r="OX223" s="33"/>
      <c r="OY223" s="33"/>
      <c r="OZ223" s="33"/>
      <c r="PA223" s="33"/>
      <c r="PB223" s="33"/>
      <c r="PC223" s="33"/>
      <c r="PD223" s="33"/>
      <c r="PE223" s="33"/>
      <c r="PF223" s="33"/>
      <c r="PG223" s="33"/>
      <c r="PH223" s="33"/>
      <c r="PI223" s="33"/>
      <c r="PJ223" s="33"/>
      <c r="PK223" s="33"/>
      <c r="PL223" s="33"/>
      <c r="PM223" s="33"/>
      <c r="PN223" s="33"/>
      <c r="PO223" s="33"/>
      <c r="PP223" s="33"/>
      <c r="PQ223" s="33"/>
      <c r="PR223" s="33"/>
      <c r="PS223" s="33"/>
      <c r="PT223" s="33"/>
      <c r="PU223" s="33"/>
      <c r="PV223" s="33"/>
      <c r="PW223" s="33"/>
      <c r="PX223" s="33"/>
      <c r="PY223" s="33"/>
      <c r="PZ223" s="33"/>
      <c r="QA223" s="33"/>
      <c r="QB223" s="33"/>
      <c r="QC223" s="33"/>
      <c r="QD223" s="33"/>
      <c r="QE223" s="33"/>
      <c r="QF223" s="33"/>
      <c r="QG223" s="33"/>
      <c r="QH223" s="33"/>
      <c r="QI223" s="33"/>
      <c r="QJ223" s="33"/>
      <c r="QK223" s="33"/>
      <c r="QL223" s="33"/>
      <c r="QM223" s="33"/>
      <c r="QN223" s="33"/>
      <c r="QO223" s="33"/>
      <c r="QP223" s="33"/>
      <c r="QQ223" s="33"/>
      <c r="QR223" s="33"/>
      <c r="QS223" s="33"/>
      <c r="QT223" s="33"/>
      <c r="QU223" s="33"/>
      <c r="QV223" s="33"/>
      <c r="QW223" s="33"/>
      <c r="QX223" s="33"/>
      <c r="QY223" s="33"/>
      <c r="QZ223" s="33"/>
      <c r="RA223" s="33"/>
      <c r="RB223" s="33"/>
      <c r="RC223" s="33"/>
      <c r="RD223" s="33"/>
      <c r="RE223" s="33"/>
      <c r="RF223" s="33"/>
      <c r="RG223" s="33"/>
      <c r="RH223" s="33"/>
      <c r="RI223" s="33"/>
      <c r="RJ223" s="33"/>
      <c r="RK223" s="33"/>
      <c r="RL223" s="33"/>
      <c r="RM223" s="33"/>
      <c r="RN223" s="33"/>
      <c r="RO223" s="33"/>
      <c r="RP223" s="33"/>
      <c r="RQ223" s="33"/>
      <c r="RR223" s="33"/>
      <c r="RS223" s="33"/>
      <c r="RT223" s="33"/>
      <c r="RU223" s="33"/>
      <c r="RV223" s="33"/>
      <c r="RW223" s="33"/>
      <c r="RX223" s="33"/>
      <c r="RY223" s="33"/>
      <c r="RZ223" s="33"/>
      <c r="SA223" s="33"/>
      <c r="SB223" s="33"/>
      <c r="SC223" s="33"/>
      <c r="SD223" s="33"/>
      <c r="SE223" s="33"/>
      <c r="SF223" s="33"/>
      <c r="SG223" s="33"/>
      <c r="SH223" s="33"/>
      <c r="SI223" s="33"/>
      <c r="SJ223" s="33"/>
      <c r="SK223" s="33"/>
      <c r="SL223" s="33"/>
      <c r="SM223" s="33"/>
      <c r="SN223" s="33"/>
      <c r="SO223" s="33"/>
      <c r="SP223" s="33"/>
      <c r="SQ223" s="33"/>
      <c r="SR223" s="33"/>
      <c r="SS223" s="33"/>
      <c r="ST223" s="33"/>
      <c r="SU223" s="33"/>
      <c r="SV223" s="33"/>
      <c r="SW223" s="33"/>
      <c r="SX223" s="33"/>
      <c r="SY223" s="33"/>
      <c r="SZ223" s="33"/>
      <c r="TA223" s="33"/>
      <c r="TB223" s="33"/>
      <c r="TC223" s="33"/>
      <c r="TD223" s="33"/>
      <c r="TE223" s="33"/>
      <c r="TF223" s="33"/>
      <c r="TG223" s="33"/>
    </row>
    <row r="224" spans="1:527" s="34" customFormat="1" ht="84" customHeight="1" x14ac:dyDescent="0.25">
      <c r="A224" s="96"/>
      <c r="B224" s="109"/>
      <c r="C224" s="109"/>
      <c r="D224" s="77" t="s">
        <v>540</v>
      </c>
      <c r="E224" s="98">
        <f>E252</f>
        <v>1527346</v>
      </c>
      <c r="F224" s="98">
        <f t="shared" ref="F224:P224" si="101">F252</f>
        <v>1527346</v>
      </c>
      <c r="G224" s="98">
        <f t="shared" si="101"/>
        <v>0</v>
      </c>
      <c r="H224" s="98">
        <f t="shared" si="101"/>
        <v>0</v>
      </c>
      <c r="I224" s="98">
        <f t="shared" si="101"/>
        <v>0</v>
      </c>
      <c r="J224" s="98">
        <f t="shared" si="101"/>
        <v>0</v>
      </c>
      <c r="K224" s="98">
        <f t="shared" si="101"/>
        <v>0</v>
      </c>
      <c r="L224" s="98">
        <f t="shared" si="101"/>
        <v>0</v>
      </c>
      <c r="M224" s="98">
        <f t="shared" si="101"/>
        <v>0</v>
      </c>
      <c r="N224" s="98">
        <f t="shared" si="101"/>
        <v>0</v>
      </c>
      <c r="O224" s="98">
        <f t="shared" si="101"/>
        <v>0</v>
      </c>
      <c r="P224" s="98">
        <f t="shared" si="101"/>
        <v>1527346</v>
      </c>
      <c r="Q224" s="33"/>
      <c r="R224" s="32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33"/>
      <c r="CS224" s="33"/>
      <c r="CT224" s="33"/>
      <c r="CU224" s="33"/>
      <c r="CV224" s="33"/>
      <c r="CW224" s="33"/>
      <c r="CX224" s="33"/>
      <c r="CY224" s="33"/>
      <c r="CZ224" s="33"/>
      <c r="DA224" s="33"/>
      <c r="DB224" s="33"/>
      <c r="DC224" s="33"/>
      <c r="DD224" s="33"/>
      <c r="DE224" s="33"/>
      <c r="DF224" s="33"/>
      <c r="DG224" s="33"/>
      <c r="DH224" s="33"/>
      <c r="DI224" s="33"/>
      <c r="DJ224" s="33"/>
      <c r="DK224" s="33"/>
      <c r="DL224" s="33"/>
      <c r="DM224" s="33"/>
      <c r="DN224" s="33"/>
      <c r="DO224" s="33"/>
      <c r="DP224" s="33"/>
      <c r="DQ224" s="33"/>
      <c r="DR224" s="33"/>
      <c r="DS224" s="33"/>
      <c r="DT224" s="33"/>
      <c r="DU224" s="33"/>
      <c r="DV224" s="33"/>
      <c r="DW224" s="33"/>
      <c r="DX224" s="33"/>
      <c r="DY224" s="33"/>
      <c r="DZ224" s="33"/>
      <c r="EA224" s="33"/>
      <c r="EB224" s="33"/>
      <c r="EC224" s="33"/>
      <c r="ED224" s="33"/>
      <c r="EE224" s="33"/>
      <c r="EF224" s="33"/>
      <c r="EG224" s="33"/>
      <c r="EH224" s="33"/>
      <c r="EI224" s="33"/>
      <c r="EJ224" s="33"/>
      <c r="EK224" s="33"/>
      <c r="EL224" s="33"/>
      <c r="EM224" s="33"/>
      <c r="EN224" s="33"/>
      <c r="EO224" s="33"/>
      <c r="EP224" s="33"/>
      <c r="EQ224" s="33"/>
      <c r="ER224" s="33"/>
      <c r="ES224" s="33"/>
      <c r="ET224" s="33"/>
      <c r="EU224" s="33"/>
      <c r="EV224" s="33"/>
      <c r="EW224" s="33"/>
      <c r="EX224" s="33"/>
      <c r="EY224" s="33"/>
      <c r="EZ224" s="33"/>
      <c r="FA224" s="33"/>
      <c r="FB224" s="33"/>
      <c r="FC224" s="33"/>
      <c r="FD224" s="33"/>
      <c r="FE224" s="33"/>
      <c r="FF224" s="33"/>
      <c r="FG224" s="33"/>
      <c r="FH224" s="33"/>
      <c r="FI224" s="33"/>
      <c r="FJ224" s="33"/>
      <c r="FK224" s="33"/>
      <c r="FL224" s="33"/>
      <c r="FM224" s="33"/>
      <c r="FN224" s="33"/>
      <c r="FO224" s="33"/>
      <c r="FP224" s="33"/>
      <c r="FQ224" s="33"/>
      <c r="FR224" s="33"/>
      <c r="FS224" s="33"/>
      <c r="FT224" s="33"/>
      <c r="FU224" s="33"/>
      <c r="FV224" s="33"/>
      <c r="FW224" s="33"/>
      <c r="FX224" s="33"/>
      <c r="FY224" s="33"/>
      <c r="FZ224" s="33"/>
      <c r="GA224" s="33"/>
      <c r="GB224" s="33"/>
      <c r="GC224" s="33"/>
      <c r="GD224" s="33"/>
      <c r="GE224" s="33"/>
      <c r="GF224" s="33"/>
      <c r="GG224" s="33"/>
      <c r="GH224" s="33"/>
      <c r="GI224" s="33"/>
      <c r="GJ224" s="33"/>
      <c r="GK224" s="33"/>
      <c r="GL224" s="33"/>
      <c r="GM224" s="33"/>
      <c r="GN224" s="33"/>
      <c r="GO224" s="33"/>
      <c r="GP224" s="33"/>
      <c r="GQ224" s="33"/>
      <c r="GR224" s="33"/>
      <c r="GS224" s="33"/>
      <c r="GT224" s="33"/>
      <c r="GU224" s="33"/>
      <c r="GV224" s="33"/>
      <c r="GW224" s="33"/>
      <c r="GX224" s="33"/>
      <c r="GY224" s="33"/>
      <c r="GZ224" s="33"/>
      <c r="HA224" s="33"/>
      <c r="HB224" s="33"/>
      <c r="HC224" s="33"/>
      <c r="HD224" s="33"/>
      <c r="HE224" s="33"/>
      <c r="HF224" s="33"/>
      <c r="HG224" s="33"/>
      <c r="HH224" s="33"/>
      <c r="HI224" s="33"/>
      <c r="HJ224" s="33"/>
      <c r="HK224" s="33"/>
      <c r="HL224" s="33"/>
      <c r="HM224" s="33"/>
      <c r="HN224" s="33"/>
      <c r="HO224" s="33"/>
      <c r="HP224" s="33"/>
      <c r="HQ224" s="33"/>
      <c r="HR224" s="33"/>
      <c r="HS224" s="33"/>
      <c r="HT224" s="33"/>
      <c r="HU224" s="33"/>
      <c r="HV224" s="33"/>
      <c r="HW224" s="33"/>
      <c r="HX224" s="33"/>
      <c r="HY224" s="33"/>
      <c r="HZ224" s="33"/>
      <c r="IA224" s="33"/>
      <c r="IB224" s="33"/>
      <c r="IC224" s="33"/>
      <c r="ID224" s="33"/>
      <c r="IE224" s="33"/>
      <c r="IF224" s="33"/>
      <c r="IG224" s="33"/>
      <c r="IH224" s="33"/>
      <c r="II224" s="33"/>
      <c r="IJ224" s="33"/>
      <c r="IK224" s="33"/>
      <c r="IL224" s="33"/>
      <c r="IM224" s="33"/>
      <c r="IN224" s="33"/>
      <c r="IO224" s="33"/>
      <c r="IP224" s="33"/>
      <c r="IQ224" s="33"/>
      <c r="IR224" s="33"/>
      <c r="IS224" s="33"/>
      <c r="IT224" s="33"/>
      <c r="IU224" s="33"/>
      <c r="IV224" s="33"/>
      <c r="IW224" s="33"/>
      <c r="IX224" s="33"/>
      <c r="IY224" s="33"/>
      <c r="IZ224" s="33"/>
      <c r="JA224" s="33"/>
      <c r="JB224" s="33"/>
      <c r="JC224" s="33"/>
      <c r="JD224" s="33"/>
      <c r="JE224" s="33"/>
      <c r="JF224" s="33"/>
      <c r="JG224" s="33"/>
      <c r="JH224" s="33"/>
      <c r="JI224" s="33"/>
      <c r="JJ224" s="33"/>
      <c r="JK224" s="33"/>
      <c r="JL224" s="33"/>
      <c r="JM224" s="33"/>
      <c r="JN224" s="33"/>
      <c r="JO224" s="33"/>
      <c r="JP224" s="33"/>
      <c r="JQ224" s="33"/>
      <c r="JR224" s="33"/>
      <c r="JS224" s="33"/>
      <c r="JT224" s="33"/>
      <c r="JU224" s="33"/>
      <c r="JV224" s="33"/>
      <c r="JW224" s="33"/>
      <c r="JX224" s="33"/>
      <c r="JY224" s="33"/>
      <c r="JZ224" s="33"/>
      <c r="KA224" s="33"/>
      <c r="KB224" s="33"/>
      <c r="KC224" s="33"/>
      <c r="KD224" s="33"/>
      <c r="KE224" s="33"/>
      <c r="KF224" s="33"/>
      <c r="KG224" s="33"/>
      <c r="KH224" s="33"/>
      <c r="KI224" s="33"/>
      <c r="KJ224" s="33"/>
      <c r="KK224" s="33"/>
      <c r="KL224" s="33"/>
      <c r="KM224" s="33"/>
      <c r="KN224" s="33"/>
      <c r="KO224" s="33"/>
      <c r="KP224" s="33"/>
      <c r="KQ224" s="33"/>
      <c r="KR224" s="33"/>
      <c r="KS224" s="33"/>
      <c r="KT224" s="33"/>
      <c r="KU224" s="33"/>
      <c r="KV224" s="33"/>
      <c r="KW224" s="33"/>
      <c r="KX224" s="33"/>
      <c r="KY224" s="33"/>
      <c r="KZ224" s="33"/>
      <c r="LA224" s="33"/>
      <c r="LB224" s="33"/>
      <c r="LC224" s="33"/>
      <c r="LD224" s="33"/>
      <c r="LE224" s="33"/>
      <c r="LF224" s="33"/>
      <c r="LG224" s="33"/>
      <c r="LH224" s="33"/>
      <c r="LI224" s="33"/>
      <c r="LJ224" s="33"/>
      <c r="LK224" s="33"/>
      <c r="LL224" s="33"/>
      <c r="LM224" s="33"/>
      <c r="LN224" s="33"/>
      <c r="LO224" s="33"/>
      <c r="LP224" s="33"/>
      <c r="LQ224" s="33"/>
      <c r="LR224" s="33"/>
      <c r="LS224" s="33"/>
      <c r="LT224" s="33"/>
      <c r="LU224" s="33"/>
      <c r="LV224" s="33"/>
      <c r="LW224" s="33"/>
      <c r="LX224" s="33"/>
      <c r="LY224" s="33"/>
      <c r="LZ224" s="33"/>
      <c r="MA224" s="33"/>
      <c r="MB224" s="33"/>
      <c r="MC224" s="33"/>
      <c r="MD224" s="33"/>
      <c r="ME224" s="33"/>
      <c r="MF224" s="33"/>
      <c r="MG224" s="33"/>
      <c r="MH224" s="33"/>
      <c r="MI224" s="33"/>
      <c r="MJ224" s="33"/>
      <c r="MK224" s="33"/>
      <c r="ML224" s="33"/>
      <c r="MM224" s="33"/>
      <c r="MN224" s="33"/>
      <c r="MO224" s="33"/>
      <c r="MP224" s="33"/>
      <c r="MQ224" s="33"/>
      <c r="MR224" s="33"/>
      <c r="MS224" s="33"/>
      <c r="MT224" s="33"/>
      <c r="MU224" s="33"/>
      <c r="MV224" s="33"/>
      <c r="MW224" s="33"/>
      <c r="MX224" s="33"/>
      <c r="MY224" s="33"/>
      <c r="MZ224" s="33"/>
      <c r="NA224" s="33"/>
      <c r="NB224" s="33"/>
      <c r="NC224" s="33"/>
      <c r="ND224" s="33"/>
      <c r="NE224" s="33"/>
      <c r="NF224" s="33"/>
      <c r="NG224" s="33"/>
      <c r="NH224" s="33"/>
      <c r="NI224" s="33"/>
      <c r="NJ224" s="33"/>
      <c r="NK224" s="33"/>
      <c r="NL224" s="33"/>
      <c r="NM224" s="33"/>
      <c r="NN224" s="33"/>
      <c r="NO224" s="33"/>
      <c r="NP224" s="33"/>
      <c r="NQ224" s="33"/>
      <c r="NR224" s="33"/>
      <c r="NS224" s="33"/>
      <c r="NT224" s="33"/>
      <c r="NU224" s="33"/>
      <c r="NV224" s="33"/>
      <c r="NW224" s="33"/>
      <c r="NX224" s="33"/>
      <c r="NY224" s="33"/>
      <c r="NZ224" s="33"/>
      <c r="OA224" s="33"/>
      <c r="OB224" s="33"/>
      <c r="OC224" s="33"/>
      <c r="OD224" s="33"/>
      <c r="OE224" s="33"/>
      <c r="OF224" s="33"/>
      <c r="OG224" s="33"/>
      <c r="OH224" s="33"/>
      <c r="OI224" s="33"/>
      <c r="OJ224" s="33"/>
      <c r="OK224" s="33"/>
      <c r="OL224" s="33"/>
      <c r="OM224" s="33"/>
      <c r="ON224" s="33"/>
      <c r="OO224" s="33"/>
      <c r="OP224" s="33"/>
      <c r="OQ224" s="33"/>
      <c r="OR224" s="33"/>
      <c r="OS224" s="33"/>
      <c r="OT224" s="33"/>
      <c r="OU224" s="33"/>
      <c r="OV224" s="33"/>
      <c r="OW224" s="33"/>
      <c r="OX224" s="33"/>
      <c r="OY224" s="33"/>
      <c r="OZ224" s="33"/>
      <c r="PA224" s="33"/>
      <c r="PB224" s="33"/>
      <c r="PC224" s="33"/>
      <c r="PD224" s="33"/>
      <c r="PE224" s="33"/>
      <c r="PF224" s="33"/>
      <c r="PG224" s="33"/>
      <c r="PH224" s="33"/>
      <c r="PI224" s="33"/>
      <c r="PJ224" s="33"/>
      <c r="PK224" s="33"/>
      <c r="PL224" s="33"/>
      <c r="PM224" s="33"/>
      <c r="PN224" s="33"/>
      <c r="PO224" s="33"/>
      <c r="PP224" s="33"/>
      <c r="PQ224" s="33"/>
      <c r="PR224" s="33"/>
      <c r="PS224" s="33"/>
      <c r="PT224" s="33"/>
      <c r="PU224" s="33"/>
      <c r="PV224" s="33"/>
      <c r="PW224" s="33"/>
      <c r="PX224" s="33"/>
      <c r="PY224" s="33"/>
      <c r="PZ224" s="33"/>
      <c r="QA224" s="33"/>
      <c r="QB224" s="33"/>
      <c r="QC224" s="33"/>
      <c r="QD224" s="33"/>
      <c r="QE224" s="33"/>
      <c r="QF224" s="33"/>
      <c r="QG224" s="33"/>
      <c r="QH224" s="33"/>
      <c r="QI224" s="33"/>
      <c r="QJ224" s="33"/>
      <c r="QK224" s="33"/>
      <c r="QL224" s="33"/>
      <c r="QM224" s="33"/>
      <c r="QN224" s="33"/>
      <c r="QO224" s="33"/>
      <c r="QP224" s="33"/>
      <c r="QQ224" s="33"/>
      <c r="QR224" s="33"/>
      <c r="QS224" s="33"/>
      <c r="QT224" s="33"/>
      <c r="QU224" s="33"/>
      <c r="QV224" s="33"/>
      <c r="QW224" s="33"/>
      <c r="QX224" s="33"/>
      <c r="QY224" s="33"/>
      <c r="QZ224" s="33"/>
      <c r="RA224" s="33"/>
      <c r="RB224" s="33"/>
      <c r="RC224" s="33"/>
      <c r="RD224" s="33"/>
      <c r="RE224" s="33"/>
      <c r="RF224" s="33"/>
      <c r="RG224" s="33"/>
      <c r="RH224" s="33"/>
      <c r="RI224" s="33"/>
      <c r="RJ224" s="33"/>
      <c r="RK224" s="33"/>
      <c r="RL224" s="33"/>
      <c r="RM224" s="33"/>
      <c r="RN224" s="33"/>
      <c r="RO224" s="33"/>
      <c r="RP224" s="33"/>
      <c r="RQ224" s="33"/>
      <c r="RR224" s="33"/>
      <c r="RS224" s="33"/>
      <c r="RT224" s="33"/>
      <c r="RU224" s="33"/>
      <c r="RV224" s="33"/>
      <c r="RW224" s="33"/>
      <c r="RX224" s="33"/>
      <c r="RY224" s="33"/>
      <c r="RZ224" s="33"/>
      <c r="SA224" s="33"/>
      <c r="SB224" s="33"/>
      <c r="SC224" s="33"/>
      <c r="SD224" s="33"/>
      <c r="SE224" s="33"/>
      <c r="SF224" s="33"/>
      <c r="SG224" s="33"/>
      <c r="SH224" s="33"/>
      <c r="SI224" s="33"/>
      <c r="SJ224" s="33"/>
      <c r="SK224" s="33"/>
      <c r="SL224" s="33"/>
      <c r="SM224" s="33"/>
      <c r="SN224" s="33"/>
      <c r="SO224" s="33"/>
      <c r="SP224" s="33"/>
      <c r="SQ224" s="33"/>
      <c r="SR224" s="33"/>
      <c r="SS224" s="33"/>
      <c r="ST224" s="33"/>
      <c r="SU224" s="33"/>
      <c r="SV224" s="33"/>
      <c r="SW224" s="33"/>
      <c r="SX224" s="33"/>
      <c r="SY224" s="33"/>
      <c r="SZ224" s="33"/>
      <c r="TA224" s="33"/>
      <c r="TB224" s="33"/>
      <c r="TC224" s="33"/>
      <c r="TD224" s="33"/>
      <c r="TE224" s="33"/>
      <c r="TF224" s="33"/>
      <c r="TG224" s="33"/>
    </row>
    <row r="225" spans="1:527" s="34" customFormat="1" ht="61.5" customHeight="1" x14ac:dyDescent="0.25">
      <c r="A225" s="96"/>
      <c r="B225" s="109"/>
      <c r="C225" s="109"/>
      <c r="D225" s="77" t="s">
        <v>388</v>
      </c>
      <c r="E225" s="98">
        <f>E247</f>
        <v>0</v>
      </c>
      <c r="F225" s="98">
        <f t="shared" ref="F225:P225" si="102">F247</f>
        <v>0</v>
      </c>
      <c r="G225" s="98">
        <f t="shared" si="102"/>
        <v>0</v>
      </c>
      <c r="H225" s="98">
        <f t="shared" si="102"/>
        <v>0</v>
      </c>
      <c r="I225" s="98">
        <f t="shared" si="102"/>
        <v>0</v>
      </c>
      <c r="J225" s="98">
        <f t="shared" si="102"/>
        <v>10359984</v>
      </c>
      <c r="K225" s="98">
        <f t="shared" si="102"/>
        <v>10359984</v>
      </c>
      <c r="L225" s="98">
        <f t="shared" si="102"/>
        <v>0</v>
      </c>
      <c r="M225" s="98">
        <f t="shared" si="102"/>
        <v>0</v>
      </c>
      <c r="N225" s="98">
        <f t="shared" si="102"/>
        <v>0</v>
      </c>
      <c r="O225" s="98">
        <f t="shared" si="102"/>
        <v>10359984</v>
      </c>
      <c r="P225" s="98">
        <f t="shared" si="102"/>
        <v>10359984</v>
      </c>
      <c r="Q225" s="33"/>
      <c r="R225" s="32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CW225" s="33"/>
      <c r="CX225" s="33"/>
      <c r="CY225" s="33"/>
      <c r="CZ225" s="33"/>
      <c r="DA225" s="33"/>
      <c r="DB225" s="33"/>
      <c r="DC225" s="33"/>
      <c r="DD225" s="33"/>
      <c r="DE225" s="33"/>
      <c r="DF225" s="33"/>
      <c r="DG225" s="33"/>
      <c r="DH225" s="33"/>
      <c r="DI225" s="33"/>
      <c r="DJ225" s="33"/>
      <c r="DK225" s="33"/>
      <c r="DL225" s="33"/>
      <c r="DM225" s="33"/>
      <c r="DN225" s="33"/>
      <c r="DO225" s="33"/>
      <c r="DP225" s="33"/>
      <c r="DQ225" s="33"/>
      <c r="DR225" s="33"/>
      <c r="DS225" s="33"/>
      <c r="DT225" s="33"/>
      <c r="DU225" s="33"/>
      <c r="DV225" s="33"/>
      <c r="DW225" s="33"/>
      <c r="DX225" s="33"/>
      <c r="DY225" s="33"/>
      <c r="DZ225" s="33"/>
      <c r="EA225" s="33"/>
      <c r="EB225" s="33"/>
      <c r="EC225" s="33"/>
      <c r="ED225" s="33"/>
      <c r="EE225" s="33"/>
      <c r="EF225" s="33"/>
      <c r="EG225" s="33"/>
      <c r="EH225" s="33"/>
      <c r="EI225" s="33"/>
      <c r="EJ225" s="33"/>
      <c r="EK225" s="33"/>
      <c r="EL225" s="33"/>
      <c r="EM225" s="33"/>
      <c r="EN225" s="33"/>
      <c r="EO225" s="33"/>
      <c r="EP225" s="33"/>
      <c r="EQ225" s="33"/>
      <c r="ER225" s="33"/>
      <c r="ES225" s="33"/>
      <c r="ET225" s="33"/>
      <c r="EU225" s="33"/>
      <c r="EV225" s="33"/>
      <c r="EW225" s="33"/>
      <c r="EX225" s="33"/>
      <c r="EY225" s="33"/>
      <c r="EZ225" s="33"/>
      <c r="FA225" s="33"/>
      <c r="FB225" s="33"/>
      <c r="FC225" s="33"/>
      <c r="FD225" s="33"/>
      <c r="FE225" s="33"/>
      <c r="FF225" s="33"/>
      <c r="FG225" s="33"/>
      <c r="FH225" s="33"/>
      <c r="FI225" s="33"/>
      <c r="FJ225" s="33"/>
      <c r="FK225" s="33"/>
      <c r="FL225" s="33"/>
      <c r="FM225" s="33"/>
      <c r="FN225" s="33"/>
      <c r="FO225" s="33"/>
      <c r="FP225" s="33"/>
      <c r="FQ225" s="33"/>
      <c r="FR225" s="33"/>
      <c r="FS225" s="33"/>
      <c r="FT225" s="33"/>
      <c r="FU225" s="33"/>
      <c r="FV225" s="33"/>
      <c r="FW225" s="33"/>
      <c r="FX225" s="33"/>
      <c r="FY225" s="33"/>
      <c r="FZ225" s="33"/>
      <c r="GA225" s="33"/>
      <c r="GB225" s="33"/>
      <c r="GC225" s="33"/>
      <c r="GD225" s="33"/>
      <c r="GE225" s="33"/>
      <c r="GF225" s="33"/>
      <c r="GG225" s="33"/>
      <c r="GH225" s="33"/>
      <c r="GI225" s="33"/>
      <c r="GJ225" s="33"/>
      <c r="GK225" s="33"/>
      <c r="GL225" s="33"/>
      <c r="GM225" s="33"/>
      <c r="GN225" s="33"/>
      <c r="GO225" s="33"/>
      <c r="GP225" s="33"/>
      <c r="GQ225" s="33"/>
      <c r="GR225" s="33"/>
      <c r="GS225" s="33"/>
      <c r="GT225" s="33"/>
      <c r="GU225" s="33"/>
      <c r="GV225" s="33"/>
      <c r="GW225" s="33"/>
      <c r="GX225" s="33"/>
      <c r="GY225" s="33"/>
      <c r="GZ225" s="33"/>
      <c r="HA225" s="33"/>
      <c r="HB225" s="33"/>
      <c r="HC225" s="33"/>
      <c r="HD225" s="33"/>
      <c r="HE225" s="33"/>
      <c r="HF225" s="33"/>
      <c r="HG225" s="33"/>
      <c r="HH225" s="33"/>
      <c r="HI225" s="33"/>
      <c r="HJ225" s="33"/>
      <c r="HK225" s="33"/>
      <c r="HL225" s="33"/>
      <c r="HM225" s="33"/>
      <c r="HN225" s="33"/>
      <c r="HO225" s="33"/>
      <c r="HP225" s="33"/>
      <c r="HQ225" s="33"/>
      <c r="HR225" s="33"/>
      <c r="HS225" s="33"/>
      <c r="HT225" s="33"/>
      <c r="HU225" s="33"/>
      <c r="HV225" s="33"/>
      <c r="HW225" s="33"/>
      <c r="HX225" s="33"/>
      <c r="HY225" s="33"/>
      <c r="HZ225" s="33"/>
      <c r="IA225" s="33"/>
      <c r="IB225" s="33"/>
      <c r="IC225" s="33"/>
      <c r="ID225" s="33"/>
      <c r="IE225" s="33"/>
      <c r="IF225" s="33"/>
      <c r="IG225" s="33"/>
      <c r="IH225" s="33"/>
      <c r="II225" s="33"/>
      <c r="IJ225" s="33"/>
      <c r="IK225" s="33"/>
      <c r="IL225" s="33"/>
      <c r="IM225" s="33"/>
      <c r="IN225" s="33"/>
      <c r="IO225" s="33"/>
      <c r="IP225" s="33"/>
      <c r="IQ225" s="33"/>
      <c r="IR225" s="33"/>
      <c r="IS225" s="33"/>
      <c r="IT225" s="33"/>
      <c r="IU225" s="33"/>
      <c r="IV225" s="33"/>
      <c r="IW225" s="33"/>
      <c r="IX225" s="33"/>
      <c r="IY225" s="33"/>
      <c r="IZ225" s="33"/>
      <c r="JA225" s="33"/>
      <c r="JB225" s="33"/>
      <c r="JC225" s="33"/>
      <c r="JD225" s="33"/>
      <c r="JE225" s="33"/>
      <c r="JF225" s="33"/>
      <c r="JG225" s="33"/>
      <c r="JH225" s="33"/>
      <c r="JI225" s="33"/>
      <c r="JJ225" s="33"/>
      <c r="JK225" s="33"/>
      <c r="JL225" s="33"/>
      <c r="JM225" s="33"/>
      <c r="JN225" s="33"/>
      <c r="JO225" s="33"/>
      <c r="JP225" s="33"/>
      <c r="JQ225" s="33"/>
      <c r="JR225" s="33"/>
      <c r="JS225" s="33"/>
      <c r="JT225" s="33"/>
      <c r="JU225" s="33"/>
      <c r="JV225" s="33"/>
      <c r="JW225" s="33"/>
      <c r="JX225" s="33"/>
      <c r="JY225" s="33"/>
      <c r="JZ225" s="33"/>
      <c r="KA225" s="33"/>
      <c r="KB225" s="33"/>
      <c r="KC225" s="33"/>
      <c r="KD225" s="33"/>
      <c r="KE225" s="33"/>
      <c r="KF225" s="33"/>
      <c r="KG225" s="33"/>
      <c r="KH225" s="33"/>
      <c r="KI225" s="33"/>
      <c r="KJ225" s="33"/>
      <c r="KK225" s="33"/>
      <c r="KL225" s="33"/>
      <c r="KM225" s="33"/>
      <c r="KN225" s="33"/>
      <c r="KO225" s="33"/>
      <c r="KP225" s="33"/>
      <c r="KQ225" s="33"/>
      <c r="KR225" s="33"/>
      <c r="KS225" s="33"/>
      <c r="KT225" s="33"/>
      <c r="KU225" s="33"/>
      <c r="KV225" s="33"/>
      <c r="KW225" s="33"/>
      <c r="KX225" s="33"/>
      <c r="KY225" s="33"/>
      <c r="KZ225" s="33"/>
      <c r="LA225" s="33"/>
      <c r="LB225" s="33"/>
      <c r="LC225" s="33"/>
      <c r="LD225" s="33"/>
      <c r="LE225" s="33"/>
      <c r="LF225" s="33"/>
      <c r="LG225" s="33"/>
      <c r="LH225" s="33"/>
      <c r="LI225" s="33"/>
      <c r="LJ225" s="33"/>
      <c r="LK225" s="33"/>
      <c r="LL225" s="33"/>
      <c r="LM225" s="33"/>
      <c r="LN225" s="33"/>
      <c r="LO225" s="33"/>
      <c r="LP225" s="33"/>
      <c r="LQ225" s="33"/>
      <c r="LR225" s="33"/>
      <c r="LS225" s="33"/>
      <c r="LT225" s="33"/>
      <c r="LU225" s="33"/>
      <c r="LV225" s="33"/>
      <c r="LW225" s="33"/>
      <c r="LX225" s="33"/>
      <c r="LY225" s="33"/>
      <c r="LZ225" s="33"/>
      <c r="MA225" s="33"/>
      <c r="MB225" s="33"/>
      <c r="MC225" s="33"/>
      <c r="MD225" s="33"/>
      <c r="ME225" s="33"/>
      <c r="MF225" s="33"/>
      <c r="MG225" s="33"/>
      <c r="MH225" s="33"/>
      <c r="MI225" s="33"/>
      <c r="MJ225" s="33"/>
      <c r="MK225" s="33"/>
      <c r="ML225" s="33"/>
      <c r="MM225" s="33"/>
      <c r="MN225" s="33"/>
      <c r="MO225" s="33"/>
      <c r="MP225" s="33"/>
      <c r="MQ225" s="33"/>
      <c r="MR225" s="33"/>
      <c r="MS225" s="33"/>
      <c r="MT225" s="33"/>
      <c r="MU225" s="33"/>
      <c r="MV225" s="33"/>
      <c r="MW225" s="33"/>
      <c r="MX225" s="33"/>
      <c r="MY225" s="33"/>
      <c r="MZ225" s="33"/>
      <c r="NA225" s="33"/>
      <c r="NB225" s="33"/>
      <c r="NC225" s="33"/>
      <c r="ND225" s="33"/>
      <c r="NE225" s="33"/>
      <c r="NF225" s="33"/>
      <c r="NG225" s="33"/>
      <c r="NH225" s="33"/>
      <c r="NI225" s="33"/>
      <c r="NJ225" s="33"/>
      <c r="NK225" s="33"/>
      <c r="NL225" s="33"/>
      <c r="NM225" s="33"/>
      <c r="NN225" s="33"/>
      <c r="NO225" s="33"/>
      <c r="NP225" s="33"/>
      <c r="NQ225" s="33"/>
      <c r="NR225" s="33"/>
      <c r="NS225" s="33"/>
      <c r="NT225" s="33"/>
      <c r="NU225" s="33"/>
      <c r="NV225" s="33"/>
      <c r="NW225" s="33"/>
      <c r="NX225" s="33"/>
      <c r="NY225" s="33"/>
      <c r="NZ225" s="33"/>
      <c r="OA225" s="33"/>
      <c r="OB225" s="33"/>
      <c r="OC225" s="33"/>
      <c r="OD225" s="33"/>
      <c r="OE225" s="33"/>
      <c r="OF225" s="33"/>
      <c r="OG225" s="33"/>
      <c r="OH225" s="33"/>
      <c r="OI225" s="33"/>
      <c r="OJ225" s="33"/>
      <c r="OK225" s="33"/>
      <c r="OL225" s="33"/>
      <c r="OM225" s="33"/>
      <c r="ON225" s="33"/>
      <c r="OO225" s="33"/>
      <c r="OP225" s="33"/>
      <c r="OQ225" s="33"/>
      <c r="OR225" s="33"/>
      <c r="OS225" s="33"/>
      <c r="OT225" s="33"/>
      <c r="OU225" s="33"/>
      <c r="OV225" s="33"/>
      <c r="OW225" s="33"/>
      <c r="OX225" s="33"/>
      <c r="OY225" s="33"/>
      <c r="OZ225" s="33"/>
      <c r="PA225" s="33"/>
      <c r="PB225" s="33"/>
      <c r="PC225" s="33"/>
      <c r="PD225" s="33"/>
      <c r="PE225" s="33"/>
      <c r="PF225" s="33"/>
      <c r="PG225" s="33"/>
      <c r="PH225" s="33"/>
      <c r="PI225" s="33"/>
      <c r="PJ225" s="33"/>
      <c r="PK225" s="33"/>
      <c r="PL225" s="33"/>
      <c r="PM225" s="33"/>
      <c r="PN225" s="33"/>
      <c r="PO225" s="33"/>
      <c r="PP225" s="33"/>
      <c r="PQ225" s="33"/>
      <c r="PR225" s="33"/>
      <c r="PS225" s="33"/>
      <c r="PT225" s="33"/>
      <c r="PU225" s="33"/>
      <c r="PV225" s="33"/>
      <c r="PW225" s="33"/>
      <c r="PX225" s="33"/>
      <c r="PY225" s="33"/>
      <c r="PZ225" s="33"/>
      <c r="QA225" s="33"/>
      <c r="QB225" s="33"/>
      <c r="QC225" s="33"/>
      <c r="QD225" s="33"/>
      <c r="QE225" s="33"/>
      <c r="QF225" s="33"/>
      <c r="QG225" s="33"/>
      <c r="QH225" s="33"/>
      <c r="QI225" s="33"/>
      <c r="QJ225" s="33"/>
      <c r="QK225" s="33"/>
      <c r="QL225" s="33"/>
      <c r="QM225" s="33"/>
      <c r="QN225" s="33"/>
      <c r="QO225" s="33"/>
      <c r="QP225" s="33"/>
      <c r="QQ225" s="33"/>
      <c r="QR225" s="33"/>
      <c r="QS225" s="33"/>
      <c r="QT225" s="33"/>
      <c r="QU225" s="33"/>
      <c r="QV225" s="33"/>
      <c r="QW225" s="33"/>
      <c r="QX225" s="33"/>
      <c r="QY225" s="33"/>
      <c r="QZ225" s="33"/>
      <c r="RA225" s="33"/>
      <c r="RB225" s="33"/>
      <c r="RC225" s="33"/>
      <c r="RD225" s="33"/>
      <c r="RE225" s="33"/>
      <c r="RF225" s="33"/>
      <c r="RG225" s="33"/>
      <c r="RH225" s="33"/>
      <c r="RI225" s="33"/>
      <c r="RJ225" s="33"/>
      <c r="RK225" s="33"/>
      <c r="RL225" s="33"/>
      <c r="RM225" s="33"/>
      <c r="RN225" s="33"/>
      <c r="RO225" s="33"/>
      <c r="RP225" s="33"/>
      <c r="RQ225" s="33"/>
      <c r="RR225" s="33"/>
      <c r="RS225" s="33"/>
      <c r="RT225" s="33"/>
      <c r="RU225" s="33"/>
      <c r="RV225" s="33"/>
      <c r="RW225" s="33"/>
      <c r="RX225" s="33"/>
      <c r="RY225" s="33"/>
      <c r="RZ225" s="33"/>
      <c r="SA225" s="33"/>
      <c r="SB225" s="33"/>
      <c r="SC225" s="33"/>
      <c r="SD225" s="33"/>
      <c r="SE225" s="33"/>
      <c r="SF225" s="33"/>
      <c r="SG225" s="33"/>
      <c r="SH225" s="33"/>
      <c r="SI225" s="33"/>
      <c r="SJ225" s="33"/>
      <c r="SK225" s="33"/>
      <c r="SL225" s="33"/>
      <c r="SM225" s="33"/>
      <c r="SN225" s="33"/>
      <c r="SO225" s="33"/>
      <c r="SP225" s="33"/>
      <c r="SQ225" s="33"/>
      <c r="SR225" s="33"/>
      <c r="SS225" s="33"/>
      <c r="ST225" s="33"/>
      <c r="SU225" s="33"/>
      <c r="SV225" s="33"/>
      <c r="SW225" s="33"/>
      <c r="SX225" s="33"/>
      <c r="SY225" s="33"/>
      <c r="SZ225" s="33"/>
      <c r="TA225" s="33"/>
      <c r="TB225" s="33"/>
      <c r="TC225" s="33"/>
      <c r="TD225" s="33"/>
      <c r="TE225" s="33"/>
      <c r="TF225" s="33"/>
      <c r="TG225" s="33"/>
    </row>
    <row r="226" spans="1:527" s="34" customFormat="1" ht="126" x14ac:dyDescent="0.25">
      <c r="A226" s="96"/>
      <c r="B226" s="109"/>
      <c r="C226" s="109"/>
      <c r="D226" s="77" t="s">
        <v>445</v>
      </c>
      <c r="E226" s="98">
        <f>E238</f>
        <v>0</v>
      </c>
      <c r="F226" s="98">
        <f t="shared" ref="F226:P226" si="103">F238</f>
        <v>0</v>
      </c>
      <c r="G226" s="98">
        <f t="shared" si="103"/>
        <v>0</v>
      </c>
      <c r="H226" s="98">
        <f t="shared" si="103"/>
        <v>0</v>
      </c>
      <c r="I226" s="98">
        <f t="shared" si="103"/>
        <v>0</v>
      </c>
      <c r="J226" s="98">
        <f t="shared" si="103"/>
        <v>705587</v>
      </c>
      <c r="K226" s="98">
        <f t="shared" si="103"/>
        <v>705587</v>
      </c>
      <c r="L226" s="98">
        <f t="shared" si="103"/>
        <v>0</v>
      </c>
      <c r="M226" s="98">
        <f t="shared" si="103"/>
        <v>0</v>
      </c>
      <c r="N226" s="98">
        <f t="shared" si="103"/>
        <v>0</v>
      </c>
      <c r="O226" s="98">
        <f t="shared" si="103"/>
        <v>705587</v>
      </c>
      <c r="P226" s="98">
        <f t="shared" si="103"/>
        <v>705587</v>
      </c>
      <c r="Q226" s="33"/>
      <c r="R226" s="32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  <c r="FQ226" s="33"/>
      <c r="FR226" s="33"/>
      <c r="FS226" s="33"/>
      <c r="FT226" s="33"/>
      <c r="FU226" s="33"/>
      <c r="FV226" s="33"/>
      <c r="FW226" s="33"/>
      <c r="FX226" s="33"/>
      <c r="FY226" s="33"/>
      <c r="FZ226" s="33"/>
      <c r="GA226" s="33"/>
      <c r="GB226" s="33"/>
      <c r="GC226" s="33"/>
      <c r="GD226" s="33"/>
      <c r="GE226" s="33"/>
      <c r="GF226" s="33"/>
      <c r="GG226" s="33"/>
      <c r="GH226" s="33"/>
      <c r="GI226" s="33"/>
      <c r="GJ226" s="33"/>
      <c r="GK226" s="33"/>
      <c r="GL226" s="33"/>
      <c r="GM226" s="33"/>
      <c r="GN226" s="33"/>
      <c r="GO226" s="33"/>
      <c r="GP226" s="33"/>
      <c r="GQ226" s="33"/>
      <c r="GR226" s="33"/>
      <c r="GS226" s="33"/>
      <c r="GT226" s="33"/>
      <c r="GU226" s="33"/>
      <c r="GV226" s="33"/>
      <c r="GW226" s="33"/>
      <c r="GX226" s="33"/>
      <c r="GY226" s="33"/>
      <c r="GZ226" s="33"/>
      <c r="HA226" s="33"/>
      <c r="HB226" s="33"/>
      <c r="HC226" s="33"/>
      <c r="HD226" s="33"/>
      <c r="HE226" s="33"/>
      <c r="HF226" s="33"/>
      <c r="HG226" s="33"/>
      <c r="HH226" s="33"/>
      <c r="HI226" s="33"/>
      <c r="HJ226" s="33"/>
      <c r="HK226" s="33"/>
      <c r="HL226" s="33"/>
      <c r="HM226" s="33"/>
      <c r="HN226" s="33"/>
      <c r="HO226" s="33"/>
      <c r="HP226" s="33"/>
      <c r="HQ226" s="33"/>
      <c r="HR226" s="33"/>
      <c r="HS226" s="33"/>
      <c r="HT226" s="33"/>
      <c r="HU226" s="33"/>
      <c r="HV226" s="33"/>
      <c r="HW226" s="33"/>
      <c r="HX226" s="33"/>
      <c r="HY226" s="33"/>
      <c r="HZ226" s="33"/>
      <c r="IA226" s="33"/>
      <c r="IB226" s="33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  <c r="IM226" s="33"/>
      <c r="IN226" s="33"/>
      <c r="IO226" s="33"/>
      <c r="IP226" s="33"/>
      <c r="IQ226" s="33"/>
      <c r="IR226" s="33"/>
      <c r="IS226" s="33"/>
      <c r="IT226" s="33"/>
      <c r="IU226" s="33"/>
      <c r="IV226" s="33"/>
      <c r="IW226" s="33"/>
      <c r="IX226" s="33"/>
      <c r="IY226" s="33"/>
      <c r="IZ226" s="33"/>
      <c r="JA226" s="33"/>
      <c r="JB226" s="33"/>
      <c r="JC226" s="33"/>
      <c r="JD226" s="33"/>
      <c r="JE226" s="33"/>
      <c r="JF226" s="33"/>
      <c r="JG226" s="33"/>
      <c r="JH226" s="33"/>
      <c r="JI226" s="33"/>
      <c r="JJ226" s="33"/>
      <c r="JK226" s="33"/>
      <c r="JL226" s="33"/>
      <c r="JM226" s="33"/>
      <c r="JN226" s="33"/>
      <c r="JO226" s="33"/>
      <c r="JP226" s="33"/>
      <c r="JQ226" s="33"/>
      <c r="JR226" s="33"/>
      <c r="JS226" s="33"/>
      <c r="JT226" s="33"/>
      <c r="JU226" s="33"/>
      <c r="JV226" s="33"/>
      <c r="JW226" s="33"/>
      <c r="JX226" s="33"/>
      <c r="JY226" s="33"/>
      <c r="JZ226" s="33"/>
      <c r="KA226" s="33"/>
      <c r="KB226" s="33"/>
      <c r="KC226" s="33"/>
      <c r="KD226" s="33"/>
      <c r="KE226" s="33"/>
      <c r="KF226" s="33"/>
      <c r="KG226" s="33"/>
      <c r="KH226" s="33"/>
      <c r="KI226" s="33"/>
      <c r="KJ226" s="33"/>
      <c r="KK226" s="33"/>
      <c r="KL226" s="33"/>
      <c r="KM226" s="33"/>
      <c r="KN226" s="33"/>
      <c r="KO226" s="33"/>
      <c r="KP226" s="33"/>
      <c r="KQ226" s="33"/>
      <c r="KR226" s="33"/>
      <c r="KS226" s="33"/>
      <c r="KT226" s="33"/>
      <c r="KU226" s="33"/>
      <c r="KV226" s="33"/>
      <c r="KW226" s="33"/>
      <c r="KX226" s="33"/>
      <c r="KY226" s="33"/>
      <c r="KZ226" s="33"/>
      <c r="LA226" s="33"/>
      <c r="LB226" s="33"/>
      <c r="LC226" s="33"/>
      <c r="LD226" s="33"/>
      <c r="LE226" s="33"/>
      <c r="LF226" s="33"/>
      <c r="LG226" s="33"/>
      <c r="LH226" s="33"/>
      <c r="LI226" s="33"/>
      <c r="LJ226" s="33"/>
      <c r="LK226" s="33"/>
      <c r="LL226" s="33"/>
      <c r="LM226" s="33"/>
      <c r="LN226" s="33"/>
      <c r="LO226" s="33"/>
      <c r="LP226" s="33"/>
      <c r="LQ226" s="33"/>
      <c r="LR226" s="33"/>
      <c r="LS226" s="33"/>
      <c r="LT226" s="33"/>
      <c r="LU226" s="33"/>
      <c r="LV226" s="33"/>
      <c r="LW226" s="33"/>
      <c r="LX226" s="33"/>
      <c r="LY226" s="33"/>
      <c r="LZ226" s="33"/>
      <c r="MA226" s="33"/>
      <c r="MB226" s="33"/>
      <c r="MC226" s="33"/>
      <c r="MD226" s="33"/>
      <c r="ME226" s="33"/>
      <c r="MF226" s="33"/>
      <c r="MG226" s="33"/>
      <c r="MH226" s="33"/>
      <c r="MI226" s="33"/>
      <c r="MJ226" s="33"/>
      <c r="MK226" s="33"/>
      <c r="ML226" s="33"/>
      <c r="MM226" s="33"/>
      <c r="MN226" s="33"/>
      <c r="MO226" s="33"/>
      <c r="MP226" s="33"/>
      <c r="MQ226" s="33"/>
      <c r="MR226" s="33"/>
      <c r="MS226" s="33"/>
      <c r="MT226" s="33"/>
      <c r="MU226" s="33"/>
      <c r="MV226" s="33"/>
      <c r="MW226" s="33"/>
      <c r="MX226" s="33"/>
      <c r="MY226" s="33"/>
      <c r="MZ226" s="33"/>
      <c r="NA226" s="33"/>
      <c r="NB226" s="33"/>
      <c r="NC226" s="33"/>
      <c r="ND226" s="33"/>
      <c r="NE226" s="33"/>
      <c r="NF226" s="33"/>
      <c r="NG226" s="33"/>
      <c r="NH226" s="33"/>
      <c r="NI226" s="33"/>
      <c r="NJ226" s="33"/>
      <c r="NK226" s="33"/>
      <c r="NL226" s="33"/>
      <c r="NM226" s="33"/>
      <c r="NN226" s="33"/>
      <c r="NO226" s="33"/>
      <c r="NP226" s="33"/>
      <c r="NQ226" s="33"/>
      <c r="NR226" s="33"/>
      <c r="NS226" s="33"/>
      <c r="NT226" s="33"/>
      <c r="NU226" s="33"/>
      <c r="NV226" s="33"/>
      <c r="NW226" s="33"/>
      <c r="NX226" s="33"/>
      <c r="NY226" s="33"/>
      <c r="NZ226" s="33"/>
      <c r="OA226" s="33"/>
      <c r="OB226" s="33"/>
      <c r="OC226" s="33"/>
      <c r="OD226" s="33"/>
      <c r="OE226" s="33"/>
      <c r="OF226" s="33"/>
      <c r="OG226" s="33"/>
      <c r="OH226" s="33"/>
      <c r="OI226" s="33"/>
      <c r="OJ226" s="33"/>
      <c r="OK226" s="33"/>
      <c r="OL226" s="33"/>
      <c r="OM226" s="33"/>
      <c r="ON226" s="33"/>
      <c r="OO226" s="33"/>
      <c r="OP226" s="33"/>
      <c r="OQ226" s="33"/>
      <c r="OR226" s="33"/>
      <c r="OS226" s="33"/>
      <c r="OT226" s="33"/>
      <c r="OU226" s="33"/>
      <c r="OV226" s="33"/>
      <c r="OW226" s="33"/>
      <c r="OX226" s="33"/>
      <c r="OY226" s="33"/>
      <c r="OZ226" s="33"/>
      <c r="PA226" s="33"/>
      <c r="PB226" s="33"/>
      <c r="PC226" s="33"/>
      <c r="PD226" s="33"/>
      <c r="PE226" s="33"/>
      <c r="PF226" s="33"/>
      <c r="PG226" s="33"/>
      <c r="PH226" s="33"/>
      <c r="PI226" s="33"/>
      <c r="PJ226" s="33"/>
      <c r="PK226" s="33"/>
      <c r="PL226" s="33"/>
      <c r="PM226" s="33"/>
      <c r="PN226" s="33"/>
      <c r="PO226" s="33"/>
      <c r="PP226" s="33"/>
      <c r="PQ226" s="33"/>
      <c r="PR226" s="33"/>
      <c r="PS226" s="33"/>
      <c r="PT226" s="33"/>
      <c r="PU226" s="33"/>
      <c r="PV226" s="33"/>
      <c r="PW226" s="33"/>
      <c r="PX226" s="33"/>
      <c r="PY226" s="33"/>
      <c r="PZ226" s="33"/>
      <c r="QA226" s="33"/>
      <c r="QB226" s="33"/>
      <c r="QC226" s="33"/>
      <c r="QD226" s="33"/>
      <c r="QE226" s="33"/>
      <c r="QF226" s="33"/>
      <c r="QG226" s="33"/>
      <c r="QH226" s="33"/>
      <c r="QI226" s="33"/>
      <c r="QJ226" s="33"/>
      <c r="QK226" s="33"/>
      <c r="QL226" s="33"/>
      <c r="QM226" s="33"/>
      <c r="QN226" s="33"/>
      <c r="QO226" s="33"/>
      <c r="QP226" s="33"/>
      <c r="QQ226" s="33"/>
      <c r="QR226" s="33"/>
      <c r="QS226" s="33"/>
      <c r="QT226" s="33"/>
      <c r="QU226" s="33"/>
      <c r="QV226" s="33"/>
      <c r="QW226" s="33"/>
      <c r="QX226" s="33"/>
      <c r="QY226" s="33"/>
      <c r="QZ226" s="33"/>
      <c r="RA226" s="33"/>
      <c r="RB226" s="33"/>
      <c r="RC226" s="33"/>
      <c r="RD226" s="33"/>
      <c r="RE226" s="33"/>
      <c r="RF226" s="33"/>
      <c r="RG226" s="33"/>
      <c r="RH226" s="33"/>
      <c r="RI226" s="33"/>
      <c r="RJ226" s="33"/>
      <c r="RK226" s="33"/>
      <c r="RL226" s="33"/>
      <c r="RM226" s="33"/>
      <c r="RN226" s="33"/>
      <c r="RO226" s="33"/>
      <c r="RP226" s="33"/>
      <c r="RQ226" s="33"/>
      <c r="RR226" s="33"/>
      <c r="RS226" s="33"/>
      <c r="RT226" s="33"/>
      <c r="RU226" s="33"/>
      <c r="RV226" s="33"/>
      <c r="RW226" s="33"/>
      <c r="RX226" s="33"/>
      <c r="RY226" s="33"/>
      <c r="RZ226" s="33"/>
      <c r="SA226" s="33"/>
      <c r="SB226" s="33"/>
      <c r="SC226" s="33"/>
      <c r="SD226" s="33"/>
      <c r="SE226" s="33"/>
      <c r="SF226" s="33"/>
      <c r="SG226" s="33"/>
      <c r="SH226" s="33"/>
      <c r="SI226" s="33"/>
      <c r="SJ226" s="33"/>
      <c r="SK226" s="33"/>
      <c r="SL226" s="33"/>
      <c r="SM226" s="33"/>
      <c r="SN226" s="33"/>
      <c r="SO226" s="33"/>
      <c r="SP226" s="33"/>
      <c r="SQ226" s="33"/>
      <c r="SR226" s="33"/>
      <c r="SS226" s="33"/>
      <c r="ST226" s="33"/>
      <c r="SU226" s="33"/>
      <c r="SV226" s="33"/>
      <c r="SW226" s="33"/>
      <c r="SX226" s="33"/>
      <c r="SY226" s="33"/>
      <c r="SZ226" s="33"/>
      <c r="TA226" s="33"/>
      <c r="TB226" s="33"/>
      <c r="TC226" s="33"/>
      <c r="TD226" s="33"/>
      <c r="TE226" s="33"/>
      <c r="TF226" s="33"/>
      <c r="TG226" s="33"/>
    </row>
    <row r="227" spans="1:527" s="34" customFormat="1" ht="15.75" x14ac:dyDescent="0.25">
      <c r="A227" s="96"/>
      <c r="B227" s="109"/>
      <c r="C227" s="109"/>
      <c r="D227" s="83" t="s">
        <v>393</v>
      </c>
      <c r="E227" s="98">
        <f>E249+E254</f>
        <v>200000</v>
      </c>
      <c r="F227" s="98">
        <f t="shared" ref="F227:P227" si="104">F249+F254</f>
        <v>200000</v>
      </c>
      <c r="G227" s="98">
        <f t="shared" si="104"/>
        <v>0</v>
      </c>
      <c r="H227" s="98">
        <f t="shared" si="104"/>
        <v>0</v>
      </c>
      <c r="I227" s="98">
        <f t="shared" si="104"/>
        <v>0</v>
      </c>
      <c r="J227" s="98">
        <f t="shared" si="104"/>
        <v>200000</v>
      </c>
      <c r="K227" s="98">
        <f t="shared" si="104"/>
        <v>200000</v>
      </c>
      <c r="L227" s="98">
        <f t="shared" si="104"/>
        <v>0</v>
      </c>
      <c r="M227" s="98">
        <f t="shared" si="104"/>
        <v>0</v>
      </c>
      <c r="N227" s="98">
        <f t="shared" si="104"/>
        <v>0</v>
      </c>
      <c r="O227" s="98">
        <f t="shared" si="104"/>
        <v>200000</v>
      </c>
      <c r="P227" s="98">
        <f t="shared" si="104"/>
        <v>400000</v>
      </c>
      <c r="Q227" s="33"/>
      <c r="R227" s="32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3"/>
      <c r="GC227" s="33"/>
      <c r="GD227" s="33"/>
      <c r="GE227" s="33"/>
      <c r="GF227" s="33"/>
      <c r="GG227" s="33"/>
      <c r="GH227" s="33"/>
      <c r="GI227" s="33"/>
      <c r="GJ227" s="33"/>
      <c r="GK227" s="33"/>
      <c r="GL227" s="33"/>
      <c r="GM227" s="33"/>
      <c r="GN227" s="33"/>
      <c r="GO227" s="33"/>
      <c r="GP227" s="33"/>
      <c r="GQ227" s="33"/>
      <c r="GR227" s="33"/>
      <c r="GS227" s="33"/>
      <c r="GT227" s="33"/>
      <c r="GU227" s="33"/>
      <c r="GV227" s="33"/>
      <c r="GW227" s="33"/>
      <c r="GX227" s="33"/>
      <c r="GY227" s="33"/>
      <c r="GZ227" s="33"/>
      <c r="HA227" s="33"/>
      <c r="HB227" s="33"/>
      <c r="HC227" s="33"/>
      <c r="HD227" s="33"/>
      <c r="HE227" s="33"/>
      <c r="HF227" s="33"/>
      <c r="HG227" s="33"/>
      <c r="HH227" s="33"/>
      <c r="HI227" s="33"/>
      <c r="HJ227" s="33"/>
      <c r="HK227" s="33"/>
      <c r="HL227" s="33"/>
      <c r="HM227" s="33"/>
      <c r="HN227" s="33"/>
      <c r="HO227" s="3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  <c r="IM227" s="33"/>
      <c r="IN227" s="33"/>
      <c r="IO227" s="33"/>
      <c r="IP227" s="33"/>
      <c r="IQ227" s="33"/>
      <c r="IR227" s="33"/>
      <c r="IS227" s="33"/>
      <c r="IT227" s="33"/>
      <c r="IU227" s="33"/>
      <c r="IV227" s="33"/>
      <c r="IW227" s="33"/>
      <c r="IX227" s="33"/>
      <c r="IY227" s="33"/>
      <c r="IZ227" s="33"/>
      <c r="JA227" s="33"/>
      <c r="JB227" s="33"/>
      <c r="JC227" s="33"/>
      <c r="JD227" s="33"/>
      <c r="JE227" s="33"/>
      <c r="JF227" s="33"/>
      <c r="JG227" s="33"/>
      <c r="JH227" s="33"/>
      <c r="JI227" s="33"/>
      <c r="JJ227" s="33"/>
      <c r="JK227" s="33"/>
      <c r="JL227" s="33"/>
      <c r="JM227" s="33"/>
      <c r="JN227" s="33"/>
      <c r="JO227" s="33"/>
      <c r="JP227" s="33"/>
      <c r="JQ227" s="33"/>
      <c r="JR227" s="33"/>
      <c r="JS227" s="33"/>
      <c r="JT227" s="33"/>
      <c r="JU227" s="33"/>
      <c r="JV227" s="33"/>
      <c r="JW227" s="33"/>
      <c r="JX227" s="33"/>
      <c r="JY227" s="33"/>
      <c r="JZ227" s="33"/>
      <c r="KA227" s="33"/>
      <c r="KB227" s="33"/>
      <c r="KC227" s="33"/>
      <c r="KD227" s="33"/>
      <c r="KE227" s="33"/>
      <c r="KF227" s="33"/>
      <c r="KG227" s="33"/>
      <c r="KH227" s="33"/>
      <c r="KI227" s="33"/>
      <c r="KJ227" s="33"/>
      <c r="KK227" s="33"/>
      <c r="KL227" s="33"/>
      <c r="KM227" s="33"/>
      <c r="KN227" s="33"/>
      <c r="KO227" s="33"/>
      <c r="KP227" s="33"/>
      <c r="KQ227" s="33"/>
      <c r="KR227" s="33"/>
      <c r="KS227" s="33"/>
      <c r="KT227" s="33"/>
      <c r="KU227" s="33"/>
      <c r="KV227" s="33"/>
      <c r="KW227" s="33"/>
      <c r="KX227" s="33"/>
      <c r="KY227" s="33"/>
      <c r="KZ227" s="33"/>
      <c r="LA227" s="33"/>
      <c r="LB227" s="33"/>
      <c r="LC227" s="33"/>
      <c r="LD227" s="33"/>
      <c r="LE227" s="33"/>
      <c r="LF227" s="33"/>
      <c r="LG227" s="33"/>
      <c r="LH227" s="33"/>
      <c r="LI227" s="33"/>
      <c r="LJ227" s="33"/>
      <c r="LK227" s="33"/>
      <c r="LL227" s="33"/>
      <c r="LM227" s="33"/>
      <c r="LN227" s="33"/>
      <c r="LO227" s="33"/>
      <c r="LP227" s="33"/>
      <c r="LQ227" s="33"/>
      <c r="LR227" s="33"/>
      <c r="LS227" s="33"/>
      <c r="LT227" s="33"/>
      <c r="LU227" s="33"/>
      <c r="LV227" s="33"/>
      <c r="LW227" s="33"/>
      <c r="LX227" s="33"/>
      <c r="LY227" s="33"/>
      <c r="LZ227" s="33"/>
      <c r="MA227" s="33"/>
      <c r="MB227" s="33"/>
      <c r="MC227" s="33"/>
      <c r="MD227" s="33"/>
      <c r="ME227" s="33"/>
      <c r="MF227" s="33"/>
      <c r="MG227" s="33"/>
      <c r="MH227" s="33"/>
      <c r="MI227" s="33"/>
      <c r="MJ227" s="33"/>
      <c r="MK227" s="33"/>
      <c r="ML227" s="33"/>
      <c r="MM227" s="33"/>
      <c r="MN227" s="33"/>
      <c r="MO227" s="33"/>
      <c r="MP227" s="33"/>
      <c r="MQ227" s="33"/>
      <c r="MR227" s="33"/>
      <c r="MS227" s="33"/>
      <c r="MT227" s="33"/>
      <c r="MU227" s="33"/>
      <c r="MV227" s="33"/>
      <c r="MW227" s="33"/>
      <c r="MX227" s="33"/>
      <c r="MY227" s="33"/>
      <c r="MZ227" s="33"/>
      <c r="NA227" s="33"/>
      <c r="NB227" s="33"/>
      <c r="NC227" s="33"/>
      <c r="ND227" s="33"/>
      <c r="NE227" s="33"/>
      <c r="NF227" s="33"/>
      <c r="NG227" s="33"/>
      <c r="NH227" s="33"/>
      <c r="NI227" s="33"/>
      <c r="NJ227" s="33"/>
      <c r="NK227" s="33"/>
      <c r="NL227" s="33"/>
      <c r="NM227" s="33"/>
      <c r="NN227" s="33"/>
      <c r="NO227" s="33"/>
      <c r="NP227" s="33"/>
      <c r="NQ227" s="33"/>
      <c r="NR227" s="33"/>
      <c r="NS227" s="33"/>
      <c r="NT227" s="33"/>
      <c r="NU227" s="33"/>
      <c r="NV227" s="33"/>
      <c r="NW227" s="33"/>
      <c r="NX227" s="33"/>
      <c r="NY227" s="33"/>
      <c r="NZ227" s="33"/>
      <c r="OA227" s="33"/>
      <c r="OB227" s="33"/>
      <c r="OC227" s="33"/>
      <c r="OD227" s="33"/>
      <c r="OE227" s="33"/>
      <c r="OF227" s="33"/>
      <c r="OG227" s="33"/>
      <c r="OH227" s="33"/>
      <c r="OI227" s="33"/>
      <c r="OJ227" s="33"/>
      <c r="OK227" s="33"/>
      <c r="OL227" s="33"/>
      <c r="OM227" s="33"/>
      <c r="ON227" s="33"/>
      <c r="OO227" s="33"/>
      <c r="OP227" s="33"/>
      <c r="OQ227" s="33"/>
      <c r="OR227" s="33"/>
      <c r="OS227" s="33"/>
      <c r="OT227" s="33"/>
      <c r="OU227" s="33"/>
      <c r="OV227" s="33"/>
      <c r="OW227" s="33"/>
      <c r="OX227" s="33"/>
      <c r="OY227" s="33"/>
      <c r="OZ227" s="33"/>
      <c r="PA227" s="33"/>
      <c r="PB227" s="33"/>
      <c r="PC227" s="33"/>
      <c r="PD227" s="33"/>
      <c r="PE227" s="33"/>
      <c r="PF227" s="33"/>
      <c r="PG227" s="33"/>
      <c r="PH227" s="33"/>
      <c r="PI227" s="33"/>
      <c r="PJ227" s="33"/>
      <c r="PK227" s="33"/>
      <c r="PL227" s="33"/>
      <c r="PM227" s="33"/>
      <c r="PN227" s="33"/>
      <c r="PO227" s="33"/>
      <c r="PP227" s="33"/>
      <c r="PQ227" s="33"/>
      <c r="PR227" s="33"/>
      <c r="PS227" s="33"/>
      <c r="PT227" s="33"/>
      <c r="PU227" s="33"/>
      <c r="PV227" s="33"/>
      <c r="PW227" s="33"/>
      <c r="PX227" s="33"/>
      <c r="PY227" s="33"/>
      <c r="PZ227" s="33"/>
      <c r="QA227" s="33"/>
      <c r="QB227" s="33"/>
      <c r="QC227" s="33"/>
      <c r="QD227" s="33"/>
      <c r="QE227" s="33"/>
      <c r="QF227" s="33"/>
      <c r="QG227" s="33"/>
      <c r="QH227" s="33"/>
      <c r="QI227" s="33"/>
      <c r="QJ227" s="33"/>
      <c r="QK227" s="33"/>
      <c r="QL227" s="33"/>
      <c r="QM227" s="33"/>
      <c r="QN227" s="33"/>
      <c r="QO227" s="33"/>
      <c r="QP227" s="33"/>
      <c r="QQ227" s="33"/>
      <c r="QR227" s="33"/>
      <c r="QS227" s="33"/>
      <c r="QT227" s="33"/>
      <c r="QU227" s="33"/>
      <c r="QV227" s="33"/>
      <c r="QW227" s="33"/>
      <c r="QX227" s="33"/>
      <c r="QY227" s="33"/>
      <c r="QZ227" s="33"/>
      <c r="RA227" s="33"/>
      <c r="RB227" s="33"/>
      <c r="RC227" s="33"/>
      <c r="RD227" s="33"/>
      <c r="RE227" s="33"/>
      <c r="RF227" s="33"/>
      <c r="RG227" s="33"/>
      <c r="RH227" s="33"/>
      <c r="RI227" s="33"/>
      <c r="RJ227" s="33"/>
      <c r="RK227" s="33"/>
      <c r="RL227" s="33"/>
      <c r="RM227" s="33"/>
      <c r="RN227" s="33"/>
      <c r="RO227" s="33"/>
      <c r="RP227" s="33"/>
      <c r="RQ227" s="33"/>
      <c r="RR227" s="33"/>
      <c r="RS227" s="33"/>
      <c r="RT227" s="33"/>
      <c r="RU227" s="33"/>
      <c r="RV227" s="33"/>
      <c r="RW227" s="33"/>
      <c r="RX227" s="33"/>
      <c r="RY227" s="33"/>
      <c r="RZ227" s="33"/>
      <c r="SA227" s="33"/>
      <c r="SB227" s="33"/>
      <c r="SC227" s="33"/>
      <c r="SD227" s="33"/>
      <c r="SE227" s="33"/>
      <c r="SF227" s="33"/>
      <c r="SG227" s="33"/>
      <c r="SH227" s="33"/>
      <c r="SI227" s="33"/>
      <c r="SJ227" s="33"/>
      <c r="SK227" s="33"/>
      <c r="SL227" s="33"/>
      <c r="SM227" s="33"/>
      <c r="SN227" s="33"/>
      <c r="SO227" s="33"/>
      <c r="SP227" s="33"/>
      <c r="SQ227" s="33"/>
      <c r="SR227" s="33"/>
      <c r="SS227" s="33"/>
      <c r="ST227" s="33"/>
      <c r="SU227" s="33"/>
      <c r="SV227" s="33"/>
      <c r="SW227" s="33"/>
      <c r="SX227" s="33"/>
      <c r="SY227" s="33"/>
      <c r="SZ227" s="33"/>
      <c r="TA227" s="33"/>
      <c r="TB227" s="33"/>
      <c r="TC227" s="33"/>
      <c r="TD227" s="33"/>
      <c r="TE227" s="33"/>
      <c r="TF227" s="33"/>
      <c r="TG227" s="33"/>
    </row>
    <row r="228" spans="1:527" s="34" customFormat="1" ht="15.75" x14ac:dyDescent="0.25">
      <c r="A228" s="96"/>
      <c r="B228" s="109"/>
      <c r="C228" s="109"/>
      <c r="D228" s="83" t="s">
        <v>419</v>
      </c>
      <c r="E228" s="98">
        <f>E258</f>
        <v>0</v>
      </c>
      <c r="F228" s="98">
        <f t="shared" ref="F228:P228" si="105">F258</f>
        <v>0</v>
      </c>
      <c r="G228" s="98">
        <f t="shared" si="105"/>
        <v>0</v>
      </c>
      <c r="H228" s="98">
        <f t="shared" si="105"/>
        <v>0</v>
      </c>
      <c r="I228" s="98">
        <f t="shared" si="105"/>
        <v>0</v>
      </c>
      <c r="J228" s="98">
        <f t="shared" si="105"/>
        <v>26250000</v>
      </c>
      <c r="K228" s="98">
        <f t="shared" si="105"/>
        <v>26250000</v>
      </c>
      <c r="L228" s="98">
        <f t="shared" si="105"/>
        <v>0</v>
      </c>
      <c r="M228" s="98">
        <f t="shared" si="105"/>
        <v>0</v>
      </c>
      <c r="N228" s="98">
        <f t="shared" si="105"/>
        <v>0</v>
      </c>
      <c r="O228" s="98">
        <f t="shared" si="105"/>
        <v>26250000</v>
      </c>
      <c r="P228" s="98">
        <f t="shared" si="105"/>
        <v>26250000</v>
      </c>
      <c r="Q228" s="33"/>
      <c r="R228" s="32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  <c r="FQ228" s="33"/>
      <c r="FR228" s="33"/>
      <c r="FS228" s="33"/>
      <c r="FT228" s="33"/>
      <c r="FU228" s="33"/>
      <c r="FV228" s="33"/>
      <c r="FW228" s="33"/>
      <c r="FX228" s="33"/>
      <c r="FY228" s="33"/>
      <c r="FZ228" s="33"/>
      <c r="GA228" s="33"/>
      <c r="GB228" s="33"/>
      <c r="GC228" s="33"/>
      <c r="GD228" s="33"/>
      <c r="GE228" s="33"/>
      <c r="GF228" s="33"/>
      <c r="GG228" s="33"/>
      <c r="GH228" s="33"/>
      <c r="GI228" s="33"/>
      <c r="GJ228" s="33"/>
      <c r="GK228" s="33"/>
      <c r="GL228" s="33"/>
      <c r="GM228" s="33"/>
      <c r="GN228" s="33"/>
      <c r="GO228" s="33"/>
      <c r="GP228" s="33"/>
      <c r="GQ228" s="33"/>
      <c r="GR228" s="33"/>
      <c r="GS228" s="33"/>
      <c r="GT228" s="33"/>
      <c r="GU228" s="33"/>
      <c r="GV228" s="33"/>
      <c r="GW228" s="33"/>
      <c r="GX228" s="33"/>
      <c r="GY228" s="33"/>
      <c r="GZ228" s="33"/>
      <c r="HA228" s="33"/>
      <c r="HB228" s="33"/>
      <c r="HC228" s="33"/>
      <c r="HD228" s="33"/>
      <c r="HE228" s="33"/>
      <c r="HF228" s="33"/>
      <c r="HG228" s="33"/>
      <c r="HH228" s="33"/>
      <c r="HI228" s="33"/>
      <c r="HJ228" s="33"/>
      <c r="HK228" s="33"/>
      <c r="HL228" s="33"/>
      <c r="HM228" s="33"/>
      <c r="HN228" s="33"/>
      <c r="HO228" s="33"/>
      <c r="HP228" s="33"/>
      <c r="HQ228" s="33"/>
      <c r="HR228" s="33"/>
      <c r="HS228" s="33"/>
      <c r="HT228" s="33"/>
      <c r="HU228" s="33"/>
      <c r="HV228" s="33"/>
      <c r="HW228" s="33"/>
      <c r="HX228" s="33"/>
      <c r="HY228" s="33"/>
      <c r="HZ228" s="33"/>
      <c r="IA228" s="33"/>
      <c r="IB228" s="33"/>
      <c r="IC228" s="33"/>
      <c r="ID228" s="33"/>
      <c r="IE228" s="33"/>
      <c r="IF228" s="33"/>
      <c r="IG228" s="33"/>
      <c r="IH228" s="33"/>
      <c r="II228" s="33"/>
      <c r="IJ228" s="33"/>
      <c r="IK228" s="33"/>
      <c r="IL228" s="33"/>
      <c r="IM228" s="33"/>
      <c r="IN228" s="33"/>
      <c r="IO228" s="33"/>
      <c r="IP228" s="33"/>
      <c r="IQ228" s="33"/>
      <c r="IR228" s="33"/>
      <c r="IS228" s="33"/>
      <c r="IT228" s="33"/>
      <c r="IU228" s="33"/>
      <c r="IV228" s="33"/>
      <c r="IW228" s="33"/>
      <c r="IX228" s="33"/>
      <c r="IY228" s="33"/>
      <c r="IZ228" s="33"/>
      <c r="JA228" s="33"/>
      <c r="JB228" s="33"/>
      <c r="JC228" s="33"/>
      <c r="JD228" s="33"/>
      <c r="JE228" s="33"/>
      <c r="JF228" s="33"/>
      <c r="JG228" s="33"/>
      <c r="JH228" s="33"/>
      <c r="JI228" s="33"/>
      <c r="JJ228" s="33"/>
      <c r="JK228" s="33"/>
      <c r="JL228" s="33"/>
      <c r="JM228" s="33"/>
      <c r="JN228" s="33"/>
      <c r="JO228" s="33"/>
      <c r="JP228" s="33"/>
      <c r="JQ228" s="33"/>
      <c r="JR228" s="33"/>
      <c r="JS228" s="33"/>
      <c r="JT228" s="33"/>
      <c r="JU228" s="33"/>
      <c r="JV228" s="33"/>
      <c r="JW228" s="33"/>
      <c r="JX228" s="33"/>
      <c r="JY228" s="33"/>
      <c r="JZ228" s="33"/>
      <c r="KA228" s="33"/>
      <c r="KB228" s="33"/>
      <c r="KC228" s="33"/>
      <c r="KD228" s="33"/>
      <c r="KE228" s="33"/>
      <c r="KF228" s="33"/>
      <c r="KG228" s="33"/>
      <c r="KH228" s="33"/>
      <c r="KI228" s="33"/>
      <c r="KJ228" s="33"/>
      <c r="KK228" s="33"/>
      <c r="KL228" s="33"/>
      <c r="KM228" s="33"/>
      <c r="KN228" s="33"/>
      <c r="KO228" s="33"/>
      <c r="KP228" s="33"/>
      <c r="KQ228" s="33"/>
      <c r="KR228" s="33"/>
      <c r="KS228" s="33"/>
      <c r="KT228" s="33"/>
      <c r="KU228" s="33"/>
      <c r="KV228" s="33"/>
      <c r="KW228" s="33"/>
      <c r="KX228" s="33"/>
      <c r="KY228" s="33"/>
      <c r="KZ228" s="33"/>
      <c r="LA228" s="33"/>
      <c r="LB228" s="33"/>
      <c r="LC228" s="33"/>
      <c r="LD228" s="33"/>
      <c r="LE228" s="33"/>
      <c r="LF228" s="33"/>
      <c r="LG228" s="33"/>
      <c r="LH228" s="33"/>
      <c r="LI228" s="33"/>
      <c r="LJ228" s="33"/>
      <c r="LK228" s="33"/>
      <c r="LL228" s="33"/>
      <c r="LM228" s="33"/>
      <c r="LN228" s="33"/>
      <c r="LO228" s="33"/>
      <c r="LP228" s="33"/>
      <c r="LQ228" s="33"/>
      <c r="LR228" s="33"/>
      <c r="LS228" s="33"/>
      <c r="LT228" s="33"/>
      <c r="LU228" s="33"/>
      <c r="LV228" s="33"/>
      <c r="LW228" s="33"/>
      <c r="LX228" s="33"/>
      <c r="LY228" s="33"/>
      <c r="LZ228" s="33"/>
      <c r="MA228" s="33"/>
      <c r="MB228" s="33"/>
      <c r="MC228" s="33"/>
      <c r="MD228" s="33"/>
      <c r="ME228" s="33"/>
      <c r="MF228" s="33"/>
      <c r="MG228" s="33"/>
      <c r="MH228" s="33"/>
      <c r="MI228" s="33"/>
      <c r="MJ228" s="33"/>
      <c r="MK228" s="33"/>
      <c r="ML228" s="33"/>
      <c r="MM228" s="33"/>
      <c r="MN228" s="33"/>
      <c r="MO228" s="33"/>
      <c r="MP228" s="33"/>
      <c r="MQ228" s="33"/>
      <c r="MR228" s="33"/>
      <c r="MS228" s="33"/>
      <c r="MT228" s="33"/>
      <c r="MU228" s="33"/>
      <c r="MV228" s="33"/>
      <c r="MW228" s="33"/>
      <c r="MX228" s="33"/>
      <c r="MY228" s="33"/>
      <c r="MZ228" s="33"/>
      <c r="NA228" s="33"/>
      <c r="NB228" s="33"/>
      <c r="NC228" s="33"/>
      <c r="ND228" s="33"/>
      <c r="NE228" s="33"/>
      <c r="NF228" s="33"/>
      <c r="NG228" s="33"/>
      <c r="NH228" s="33"/>
      <c r="NI228" s="33"/>
      <c r="NJ228" s="33"/>
      <c r="NK228" s="33"/>
      <c r="NL228" s="33"/>
      <c r="NM228" s="33"/>
      <c r="NN228" s="33"/>
      <c r="NO228" s="33"/>
      <c r="NP228" s="33"/>
      <c r="NQ228" s="33"/>
      <c r="NR228" s="33"/>
      <c r="NS228" s="33"/>
      <c r="NT228" s="33"/>
      <c r="NU228" s="33"/>
      <c r="NV228" s="33"/>
      <c r="NW228" s="33"/>
      <c r="NX228" s="33"/>
      <c r="NY228" s="33"/>
      <c r="NZ228" s="33"/>
      <c r="OA228" s="33"/>
      <c r="OB228" s="33"/>
      <c r="OC228" s="33"/>
      <c r="OD228" s="33"/>
      <c r="OE228" s="33"/>
      <c r="OF228" s="33"/>
      <c r="OG228" s="33"/>
      <c r="OH228" s="33"/>
      <c r="OI228" s="33"/>
      <c r="OJ228" s="33"/>
      <c r="OK228" s="33"/>
      <c r="OL228" s="33"/>
      <c r="OM228" s="33"/>
      <c r="ON228" s="33"/>
      <c r="OO228" s="33"/>
      <c r="OP228" s="33"/>
      <c r="OQ228" s="33"/>
      <c r="OR228" s="33"/>
      <c r="OS228" s="33"/>
      <c r="OT228" s="33"/>
      <c r="OU228" s="33"/>
      <c r="OV228" s="33"/>
      <c r="OW228" s="33"/>
      <c r="OX228" s="33"/>
      <c r="OY228" s="33"/>
      <c r="OZ228" s="33"/>
      <c r="PA228" s="33"/>
      <c r="PB228" s="33"/>
      <c r="PC228" s="33"/>
      <c r="PD228" s="33"/>
      <c r="PE228" s="33"/>
      <c r="PF228" s="33"/>
      <c r="PG228" s="33"/>
      <c r="PH228" s="33"/>
      <c r="PI228" s="33"/>
      <c r="PJ228" s="33"/>
      <c r="PK228" s="33"/>
      <c r="PL228" s="33"/>
      <c r="PM228" s="33"/>
      <c r="PN228" s="33"/>
      <c r="PO228" s="33"/>
      <c r="PP228" s="33"/>
      <c r="PQ228" s="33"/>
      <c r="PR228" s="33"/>
      <c r="PS228" s="33"/>
      <c r="PT228" s="33"/>
      <c r="PU228" s="33"/>
      <c r="PV228" s="33"/>
      <c r="PW228" s="33"/>
      <c r="PX228" s="33"/>
      <c r="PY228" s="33"/>
      <c r="PZ228" s="33"/>
      <c r="QA228" s="33"/>
      <c r="QB228" s="33"/>
      <c r="QC228" s="33"/>
      <c r="QD228" s="33"/>
      <c r="QE228" s="33"/>
      <c r="QF228" s="33"/>
      <c r="QG228" s="33"/>
      <c r="QH228" s="33"/>
      <c r="QI228" s="33"/>
      <c r="QJ228" s="33"/>
      <c r="QK228" s="33"/>
      <c r="QL228" s="33"/>
      <c r="QM228" s="33"/>
      <c r="QN228" s="33"/>
      <c r="QO228" s="33"/>
      <c r="QP228" s="33"/>
      <c r="QQ228" s="33"/>
      <c r="QR228" s="33"/>
      <c r="QS228" s="33"/>
      <c r="QT228" s="33"/>
      <c r="QU228" s="33"/>
      <c r="QV228" s="33"/>
      <c r="QW228" s="33"/>
      <c r="QX228" s="33"/>
      <c r="QY228" s="33"/>
      <c r="QZ228" s="33"/>
      <c r="RA228" s="33"/>
      <c r="RB228" s="33"/>
      <c r="RC228" s="33"/>
      <c r="RD228" s="33"/>
      <c r="RE228" s="33"/>
      <c r="RF228" s="33"/>
      <c r="RG228" s="33"/>
      <c r="RH228" s="33"/>
      <c r="RI228" s="33"/>
      <c r="RJ228" s="33"/>
      <c r="RK228" s="33"/>
      <c r="RL228" s="33"/>
      <c r="RM228" s="33"/>
      <c r="RN228" s="33"/>
      <c r="RO228" s="33"/>
      <c r="RP228" s="33"/>
      <c r="RQ228" s="33"/>
      <c r="RR228" s="33"/>
      <c r="RS228" s="33"/>
      <c r="RT228" s="33"/>
      <c r="RU228" s="33"/>
      <c r="RV228" s="33"/>
      <c r="RW228" s="33"/>
      <c r="RX228" s="33"/>
      <c r="RY228" s="33"/>
      <c r="RZ228" s="33"/>
      <c r="SA228" s="33"/>
      <c r="SB228" s="33"/>
      <c r="SC228" s="33"/>
      <c r="SD228" s="33"/>
      <c r="SE228" s="33"/>
      <c r="SF228" s="33"/>
      <c r="SG228" s="33"/>
      <c r="SH228" s="33"/>
      <c r="SI228" s="33"/>
      <c r="SJ228" s="33"/>
      <c r="SK228" s="33"/>
      <c r="SL228" s="33"/>
      <c r="SM228" s="33"/>
      <c r="SN228" s="33"/>
      <c r="SO228" s="33"/>
      <c r="SP228" s="33"/>
      <c r="SQ228" s="33"/>
      <c r="SR228" s="33"/>
      <c r="SS228" s="33"/>
      <c r="ST228" s="33"/>
      <c r="SU228" s="33"/>
      <c r="SV228" s="33"/>
      <c r="SW228" s="33"/>
      <c r="SX228" s="33"/>
      <c r="SY228" s="33"/>
      <c r="SZ228" s="33"/>
      <c r="TA228" s="33"/>
      <c r="TB228" s="33"/>
      <c r="TC228" s="33"/>
      <c r="TD228" s="33"/>
      <c r="TE228" s="33"/>
      <c r="TF228" s="33"/>
      <c r="TG228" s="33"/>
    </row>
    <row r="229" spans="1:527" s="22" customFormat="1" ht="47.25" x14ac:dyDescent="0.25">
      <c r="A229" s="59" t="s">
        <v>196</v>
      </c>
      <c r="B229" s="59" t="str">
        <f>'дод 8'!A19</f>
        <v>0160</v>
      </c>
      <c r="C229" s="59" t="str">
        <f>'дод 8'!B19</f>
        <v>0111</v>
      </c>
      <c r="D229" s="94" t="s">
        <v>494</v>
      </c>
      <c r="E229" s="99">
        <f t="shared" ref="E229:E264" si="106">F229+I229</f>
        <v>14495155</v>
      </c>
      <c r="F229" s="99">
        <f>14436900+5575-23920+76600</f>
        <v>14495155</v>
      </c>
      <c r="G229" s="99">
        <f>11274000-19600</f>
        <v>11254400</v>
      </c>
      <c r="H229" s="99">
        <f>203100+5575+76600</f>
        <v>285275</v>
      </c>
      <c r="I229" s="99"/>
      <c r="J229" s="99">
        <f>L229+O229</f>
        <v>0</v>
      </c>
      <c r="K229" s="99"/>
      <c r="L229" s="99"/>
      <c r="M229" s="99"/>
      <c r="N229" s="99"/>
      <c r="O229" s="99"/>
      <c r="P229" s="99">
        <f t="shared" ref="P229:P264" si="107">E229+J229</f>
        <v>14495155</v>
      </c>
      <c r="Q229" s="23"/>
      <c r="R229" s="32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23"/>
      <c r="IV229" s="23"/>
      <c r="IW229" s="23"/>
      <c r="IX229" s="23"/>
      <c r="IY229" s="23"/>
      <c r="IZ229" s="23"/>
      <c r="JA229" s="23"/>
      <c r="JB229" s="23"/>
      <c r="JC229" s="23"/>
      <c r="JD229" s="23"/>
      <c r="JE229" s="23"/>
      <c r="JF229" s="23"/>
      <c r="JG229" s="23"/>
      <c r="JH229" s="23"/>
      <c r="JI229" s="23"/>
      <c r="JJ229" s="23"/>
      <c r="JK229" s="23"/>
      <c r="JL229" s="23"/>
      <c r="JM229" s="23"/>
      <c r="JN229" s="23"/>
      <c r="JO229" s="23"/>
      <c r="JP229" s="23"/>
      <c r="JQ229" s="23"/>
      <c r="JR229" s="23"/>
      <c r="JS229" s="23"/>
      <c r="JT229" s="23"/>
      <c r="JU229" s="23"/>
      <c r="JV229" s="23"/>
      <c r="JW229" s="23"/>
      <c r="JX229" s="23"/>
      <c r="JY229" s="23"/>
      <c r="JZ229" s="23"/>
      <c r="KA229" s="23"/>
      <c r="KB229" s="23"/>
      <c r="KC229" s="23"/>
      <c r="KD229" s="23"/>
      <c r="KE229" s="23"/>
      <c r="KF229" s="23"/>
      <c r="KG229" s="23"/>
      <c r="KH229" s="23"/>
      <c r="KI229" s="23"/>
      <c r="KJ229" s="23"/>
      <c r="KK229" s="23"/>
      <c r="KL229" s="23"/>
      <c r="KM229" s="23"/>
      <c r="KN229" s="23"/>
      <c r="KO229" s="23"/>
      <c r="KP229" s="23"/>
      <c r="KQ229" s="23"/>
      <c r="KR229" s="23"/>
      <c r="KS229" s="23"/>
      <c r="KT229" s="23"/>
      <c r="KU229" s="23"/>
      <c r="KV229" s="23"/>
      <c r="KW229" s="23"/>
      <c r="KX229" s="23"/>
      <c r="KY229" s="23"/>
      <c r="KZ229" s="23"/>
      <c r="LA229" s="23"/>
      <c r="LB229" s="23"/>
      <c r="LC229" s="23"/>
      <c r="LD229" s="23"/>
      <c r="LE229" s="23"/>
      <c r="LF229" s="23"/>
      <c r="LG229" s="23"/>
      <c r="LH229" s="23"/>
      <c r="LI229" s="23"/>
      <c r="LJ229" s="23"/>
      <c r="LK229" s="23"/>
      <c r="LL229" s="23"/>
      <c r="LM229" s="23"/>
      <c r="LN229" s="23"/>
      <c r="LO229" s="23"/>
      <c r="LP229" s="23"/>
      <c r="LQ229" s="23"/>
      <c r="LR229" s="23"/>
      <c r="LS229" s="23"/>
      <c r="LT229" s="23"/>
      <c r="LU229" s="23"/>
      <c r="LV229" s="23"/>
      <c r="LW229" s="23"/>
      <c r="LX229" s="23"/>
      <c r="LY229" s="23"/>
      <c r="LZ229" s="23"/>
      <c r="MA229" s="23"/>
      <c r="MB229" s="23"/>
      <c r="MC229" s="23"/>
      <c r="MD229" s="23"/>
      <c r="ME229" s="23"/>
      <c r="MF229" s="23"/>
      <c r="MG229" s="23"/>
      <c r="MH229" s="23"/>
      <c r="MI229" s="23"/>
      <c r="MJ229" s="23"/>
      <c r="MK229" s="23"/>
      <c r="ML229" s="23"/>
      <c r="MM229" s="23"/>
      <c r="MN229" s="23"/>
      <c r="MO229" s="23"/>
      <c r="MP229" s="23"/>
      <c r="MQ229" s="23"/>
      <c r="MR229" s="23"/>
      <c r="MS229" s="23"/>
      <c r="MT229" s="23"/>
      <c r="MU229" s="23"/>
      <c r="MV229" s="23"/>
      <c r="MW229" s="23"/>
      <c r="MX229" s="23"/>
      <c r="MY229" s="23"/>
      <c r="MZ229" s="23"/>
      <c r="NA229" s="23"/>
      <c r="NB229" s="23"/>
      <c r="NC229" s="23"/>
      <c r="ND229" s="23"/>
      <c r="NE229" s="23"/>
      <c r="NF229" s="23"/>
      <c r="NG229" s="23"/>
      <c r="NH229" s="23"/>
      <c r="NI229" s="23"/>
      <c r="NJ229" s="23"/>
      <c r="NK229" s="23"/>
      <c r="NL229" s="23"/>
      <c r="NM229" s="23"/>
      <c r="NN229" s="23"/>
      <c r="NO229" s="23"/>
      <c r="NP229" s="23"/>
      <c r="NQ229" s="23"/>
      <c r="NR229" s="23"/>
      <c r="NS229" s="23"/>
      <c r="NT229" s="23"/>
      <c r="NU229" s="23"/>
      <c r="NV229" s="23"/>
      <c r="NW229" s="23"/>
      <c r="NX229" s="23"/>
      <c r="NY229" s="23"/>
      <c r="NZ229" s="23"/>
      <c r="OA229" s="23"/>
      <c r="OB229" s="23"/>
      <c r="OC229" s="23"/>
      <c r="OD229" s="23"/>
      <c r="OE229" s="23"/>
      <c r="OF229" s="23"/>
      <c r="OG229" s="23"/>
      <c r="OH229" s="23"/>
      <c r="OI229" s="23"/>
      <c r="OJ229" s="23"/>
      <c r="OK229" s="23"/>
      <c r="OL229" s="23"/>
      <c r="OM229" s="23"/>
      <c r="ON229" s="23"/>
      <c r="OO229" s="23"/>
      <c r="OP229" s="23"/>
      <c r="OQ229" s="23"/>
      <c r="OR229" s="23"/>
      <c r="OS229" s="23"/>
      <c r="OT229" s="23"/>
      <c r="OU229" s="23"/>
      <c r="OV229" s="23"/>
      <c r="OW229" s="23"/>
      <c r="OX229" s="23"/>
      <c r="OY229" s="23"/>
      <c r="OZ229" s="23"/>
      <c r="PA229" s="23"/>
      <c r="PB229" s="23"/>
      <c r="PC229" s="23"/>
      <c r="PD229" s="23"/>
      <c r="PE229" s="23"/>
      <c r="PF229" s="23"/>
      <c r="PG229" s="23"/>
      <c r="PH229" s="23"/>
      <c r="PI229" s="23"/>
      <c r="PJ229" s="23"/>
      <c r="PK229" s="23"/>
      <c r="PL229" s="23"/>
      <c r="PM229" s="23"/>
      <c r="PN229" s="23"/>
      <c r="PO229" s="23"/>
      <c r="PP229" s="23"/>
      <c r="PQ229" s="23"/>
      <c r="PR229" s="23"/>
      <c r="PS229" s="23"/>
      <c r="PT229" s="23"/>
      <c r="PU229" s="23"/>
      <c r="PV229" s="23"/>
      <c r="PW229" s="23"/>
      <c r="PX229" s="23"/>
      <c r="PY229" s="23"/>
      <c r="PZ229" s="23"/>
      <c r="QA229" s="23"/>
      <c r="QB229" s="23"/>
      <c r="QC229" s="23"/>
      <c r="QD229" s="23"/>
      <c r="QE229" s="23"/>
      <c r="QF229" s="23"/>
      <c r="QG229" s="23"/>
      <c r="QH229" s="23"/>
      <c r="QI229" s="23"/>
      <c r="QJ229" s="23"/>
      <c r="QK229" s="23"/>
      <c r="QL229" s="23"/>
      <c r="QM229" s="23"/>
      <c r="QN229" s="23"/>
      <c r="QO229" s="23"/>
      <c r="QP229" s="23"/>
      <c r="QQ229" s="23"/>
      <c r="QR229" s="23"/>
      <c r="QS229" s="23"/>
      <c r="QT229" s="23"/>
      <c r="QU229" s="23"/>
      <c r="QV229" s="23"/>
      <c r="QW229" s="23"/>
      <c r="QX229" s="23"/>
      <c r="QY229" s="23"/>
      <c r="QZ229" s="23"/>
      <c r="RA229" s="23"/>
      <c r="RB229" s="23"/>
      <c r="RC229" s="23"/>
      <c r="RD229" s="23"/>
      <c r="RE229" s="23"/>
      <c r="RF229" s="23"/>
      <c r="RG229" s="23"/>
      <c r="RH229" s="23"/>
      <c r="RI229" s="23"/>
      <c r="RJ229" s="23"/>
      <c r="RK229" s="23"/>
      <c r="RL229" s="23"/>
      <c r="RM229" s="23"/>
      <c r="RN229" s="23"/>
      <c r="RO229" s="23"/>
      <c r="RP229" s="23"/>
      <c r="RQ229" s="23"/>
      <c r="RR229" s="23"/>
      <c r="RS229" s="23"/>
      <c r="RT229" s="23"/>
      <c r="RU229" s="23"/>
      <c r="RV229" s="23"/>
      <c r="RW229" s="23"/>
      <c r="RX229" s="23"/>
      <c r="RY229" s="23"/>
      <c r="RZ229" s="23"/>
      <c r="SA229" s="23"/>
      <c r="SB229" s="23"/>
      <c r="SC229" s="23"/>
      <c r="SD229" s="23"/>
      <c r="SE229" s="23"/>
      <c r="SF229" s="23"/>
      <c r="SG229" s="23"/>
      <c r="SH229" s="23"/>
      <c r="SI229" s="23"/>
      <c r="SJ229" s="23"/>
      <c r="SK229" s="23"/>
      <c r="SL229" s="23"/>
      <c r="SM229" s="23"/>
      <c r="SN229" s="23"/>
      <c r="SO229" s="23"/>
      <c r="SP229" s="23"/>
      <c r="SQ229" s="23"/>
      <c r="SR229" s="23"/>
      <c r="SS229" s="23"/>
      <c r="ST229" s="23"/>
      <c r="SU229" s="23"/>
      <c r="SV229" s="23"/>
      <c r="SW229" s="23"/>
      <c r="SX229" s="23"/>
      <c r="SY229" s="23"/>
      <c r="SZ229" s="23"/>
      <c r="TA229" s="23"/>
      <c r="TB229" s="23"/>
      <c r="TC229" s="23"/>
      <c r="TD229" s="23"/>
      <c r="TE229" s="23"/>
      <c r="TF229" s="23"/>
      <c r="TG229" s="23"/>
    </row>
    <row r="230" spans="1:527" s="22" customFormat="1" ht="23.25" customHeight="1" x14ac:dyDescent="0.25">
      <c r="A230" s="59" t="s">
        <v>543</v>
      </c>
      <c r="B230" s="59" t="s">
        <v>45</v>
      </c>
      <c r="C230" s="59" t="s">
        <v>93</v>
      </c>
      <c r="D230" s="94" t="s">
        <v>242</v>
      </c>
      <c r="E230" s="99">
        <f t="shared" si="106"/>
        <v>600000</v>
      </c>
      <c r="F230" s="99">
        <f>1000000-400000</f>
        <v>600000</v>
      </c>
      <c r="G230" s="99"/>
      <c r="H230" s="99"/>
      <c r="I230" s="99"/>
      <c r="J230" s="99">
        <f>L230+O230</f>
        <v>0</v>
      </c>
      <c r="K230" s="99"/>
      <c r="L230" s="99"/>
      <c r="M230" s="99"/>
      <c r="N230" s="99"/>
      <c r="O230" s="99"/>
      <c r="P230" s="99">
        <f t="shared" si="107"/>
        <v>600000</v>
      </c>
      <c r="Q230" s="23"/>
      <c r="R230" s="32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  <c r="IW230" s="23"/>
      <c r="IX230" s="23"/>
      <c r="IY230" s="23"/>
      <c r="IZ230" s="23"/>
      <c r="JA230" s="23"/>
      <c r="JB230" s="23"/>
      <c r="JC230" s="23"/>
      <c r="JD230" s="23"/>
      <c r="JE230" s="23"/>
      <c r="JF230" s="23"/>
      <c r="JG230" s="23"/>
      <c r="JH230" s="23"/>
      <c r="JI230" s="23"/>
      <c r="JJ230" s="23"/>
      <c r="JK230" s="23"/>
      <c r="JL230" s="23"/>
      <c r="JM230" s="23"/>
      <c r="JN230" s="23"/>
      <c r="JO230" s="23"/>
      <c r="JP230" s="23"/>
      <c r="JQ230" s="23"/>
      <c r="JR230" s="23"/>
      <c r="JS230" s="23"/>
      <c r="JT230" s="23"/>
      <c r="JU230" s="23"/>
      <c r="JV230" s="23"/>
      <c r="JW230" s="23"/>
      <c r="JX230" s="23"/>
      <c r="JY230" s="23"/>
      <c r="JZ230" s="23"/>
      <c r="KA230" s="23"/>
      <c r="KB230" s="23"/>
      <c r="KC230" s="23"/>
      <c r="KD230" s="23"/>
      <c r="KE230" s="23"/>
      <c r="KF230" s="23"/>
      <c r="KG230" s="23"/>
      <c r="KH230" s="23"/>
      <c r="KI230" s="23"/>
      <c r="KJ230" s="23"/>
      <c r="KK230" s="23"/>
      <c r="KL230" s="23"/>
      <c r="KM230" s="23"/>
      <c r="KN230" s="23"/>
      <c r="KO230" s="23"/>
      <c r="KP230" s="23"/>
      <c r="KQ230" s="23"/>
      <c r="KR230" s="23"/>
      <c r="KS230" s="23"/>
      <c r="KT230" s="23"/>
      <c r="KU230" s="23"/>
      <c r="KV230" s="23"/>
      <c r="KW230" s="23"/>
      <c r="KX230" s="23"/>
      <c r="KY230" s="23"/>
      <c r="KZ230" s="23"/>
      <c r="LA230" s="23"/>
      <c r="LB230" s="23"/>
      <c r="LC230" s="23"/>
      <c r="LD230" s="23"/>
      <c r="LE230" s="23"/>
      <c r="LF230" s="23"/>
      <c r="LG230" s="23"/>
      <c r="LH230" s="23"/>
      <c r="LI230" s="23"/>
      <c r="LJ230" s="23"/>
      <c r="LK230" s="23"/>
      <c r="LL230" s="23"/>
      <c r="LM230" s="23"/>
      <c r="LN230" s="23"/>
      <c r="LO230" s="23"/>
      <c r="LP230" s="23"/>
      <c r="LQ230" s="23"/>
      <c r="LR230" s="23"/>
      <c r="LS230" s="23"/>
      <c r="LT230" s="23"/>
      <c r="LU230" s="23"/>
      <c r="LV230" s="23"/>
      <c r="LW230" s="23"/>
      <c r="LX230" s="23"/>
      <c r="LY230" s="23"/>
      <c r="LZ230" s="23"/>
      <c r="MA230" s="23"/>
      <c r="MB230" s="23"/>
      <c r="MC230" s="23"/>
      <c r="MD230" s="23"/>
      <c r="ME230" s="23"/>
      <c r="MF230" s="23"/>
      <c r="MG230" s="23"/>
      <c r="MH230" s="23"/>
      <c r="MI230" s="23"/>
      <c r="MJ230" s="23"/>
      <c r="MK230" s="23"/>
      <c r="ML230" s="23"/>
      <c r="MM230" s="23"/>
      <c r="MN230" s="23"/>
      <c r="MO230" s="23"/>
      <c r="MP230" s="23"/>
      <c r="MQ230" s="23"/>
      <c r="MR230" s="23"/>
      <c r="MS230" s="23"/>
      <c r="MT230" s="23"/>
      <c r="MU230" s="23"/>
      <c r="MV230" s="23"/>
      <c r="MW230" s="23"/>
      <c r="MX230" s="23"/>
      <c r="MY230" s="23"/>
      <c r="MZ230" s="23"/>
      <c r="NA230" s="23"/>
      <c r="NB230" s="23"/>
      <c r="NC230" s="23"/>
      <c r="ND230" s="23"/>
      <c r="NE230" s="23"/>
      <c r="NF230" s="23"/>
      <c r="NG230" s="23"/>
      <c r="NH230" s="23"/>
      <c r="NI230" s="23"/>
      <c r="NJ230" s="23"/>
      <c r="NK230" s="23"/>
      <c r="NL230" s="23"/>
      <c r="NM230" s="23"/>
      <c r="NN230" s="23"/>
      <c r="NO230" s="23"/>
      <c r="NP230" s="23"/>
      <c r="NQ230" s="23"/>
      <c r="NR230" s="23"/>
      <c r="NS230" s="23"/>
      <c r="NT230" s="23"/>
      <c r="NU230" s="23"/>
      <c r="NV230" s="23"/>
      <c r="NW230" s="23"/>
      <c r="NX230" s="23"/>
      <c r="NY230" s="23"/>
      <c r="NZ230" s="23"/>
      <c r="OA230" s="23"/>
      <c r="OB230" s="23"/>
      <c r="OC230" s="23"/>
      <c r="OD230" s="23"/>
      <c r="OE230" s="23"/>
      <c r="OF230" s="23"/>
      <c r="OG230" s="23"/>
      <c r="OH230" s="23"/>
      <c r="OI230" s="23"/>
      <c r="OJ230" s="23"/>
      <c r="OK230" s="23"/>
      <c r="OL230" s="23"/>
      <c r="OM230" s="23"/>
      <c r="ON230" s="23"/>
      <c r="OO230" s="23"/>
      <c r="OP230" s="23"/>
      <c r="OQ230" s="23"/>
      <c r="OR230" s="23"/>
      <c r="OS230" s="23"/>
      <c r="OT230" s="23"/>
      <c r="OU230" s="23"/>
      <c r="OV230" s="23"/>
      <c r="OW230" s="23"/>
      <c r="OX230" s="23"/>
      <c r="OY230" s="23"/>
      <c r="OZ230" s="23"/>
      <c r="PA230" s="23"/>
      <c r="PB230" s="23"/>
      <c r="PC230" s="23"/>
      <c r="PD230" s="23"/>
      <c r="PE230" s="23"/>
      <c r="PF230" s="23"/>
      <c r="PG230" s="23"/>
      <c r="PH230" s="23"/>
      <c r="PI230" s="23"/>
      <c r="PJ230" s="23"/>
      <c r="PK230" s="23"/>
      <c r="PL230" s="23"/>
      <c r="PM230" s="23"/>
      <c r="PN230" s="23"/>
      <c r="PO230" s="23"/>
      <c r="PP230" s="23"/>
      <c r="PQ230" s="23"/>
      <c r="PR230" s="23"/>
      <c r="PS230" s="23"/>
      <c r="PT230" s="23"/>
      <c r="PU230" s="23"/>
      <c r="PV230" s="23"/>
      <c r="PW230" s="23"/>
      <c r="PX230" s="23"/>
      <c r="PY230" s="23"/>
      <c r="PZ230" s="23"/>
      <c r="QA230" s="23"/>
      <c r="QB230" s="23"/>
      <c r="QC230" s="23"/>
      <c r="QD230" s="23"/>
      <c r="QE230" s="23"/>
      <c r="QF230" s="23"/>
      <c r="QG230" s="23"/>
      <c r="QH230" s="23"/>
      <c r="QI230" s="23"/>
      <c r="QJ230" s="23"/>
      <c r="QK230" s="23"/>
      <c r="QL230" s="23"/>
      <c r="QM230" s="23"/>
      <c r="QN230" s="23"/>
      <c r="QO230" s="23"/>
      <c r="QP230" s="23"/>
      <c r="QQ230" s="23"/>
      <c r="QR230" s="23"/>
      <c r="QS230" s="23"/>
      <c r="QT230" s="23"/>
      <c r="QU230" s="23"/>
      <c r="QV230" s="23"/>
      <c r="QW230" s="23"/>
      <c r="QX230" s="23"/>
      <c r="QY230" s="23"/>
      <c r="QZ230" s="23"/>
      <c r="RA230" s="23"/>
      <c r="RB230" s="23"/>
      <c r="RC230" s="23"/>
      <c r="RD230" s="23"/>
      <c r="RE230" s="23"/>
      <c r="RF230" s="23"/>
      <c r="RG230" s="23"/>
      <c r="RH230" s="23"/>
      <c r="RI230" s="23"/>
      <c r="RJ230" s="23"/>
      <c r="RK230" s="23"/>
      <c r="RL230" s="23"/>
      <c r="RM230" s="23"/>
      <c r="RN230" s="23"/>
      <c r="RO230" s="23"/>
      <c r="RP230" s="23"/>
      <c r="RQ230" s="23"/>
      <c r="RR230" s="23"/>
      <c r="RS230" s="23"/>
      <c r="RT230" s="23"/>
      <c r="RU230" s="23"/>
      <c r="RV230" s="23"/>
      <c r="RW230" s="23"/>
      <c r="RX230" s="23"/>
      <c r="RY230" s="23"/>
      <c r="RZ230" s="23"/>
      <c r="SA230" s="23"/>
      <c r="SB230" s="23"/>
      <c r="SC230" s="23"/>
      <c r="SD230" s="23"/>
      <c r="SE230" s="23"/>
      <c r="SF230" s="23"/>
      <c r="SG230" s="23"/>
      <c r="SH230" s="23"/>
      <c r="SI230" s="23"/>
      <c r="SJ230" s="23"/>
      <c r="SK230" s="23"/>
      <c r="SL230" s="23"/>
      <c r="SM230" s="23"/>
      <c r="SN230" s="23"/>
      <c r="SO230" s="23"/>
      <c r="SP230" s="23"/>
      <c r="SQ230" s="23"/>
      <c r="SR230" s="23"/>
      <c r="SS230" s="23"/>
      <c r="ST230" s="23"/>
      <c r="SU230" s="23"/>
      <c r="SV230" s="23"/>
      <c r="SW230" s="23"/>
      <c r="SX230" s="23"/>
      <c r="SY230" s="23"/>
      <c r="SZ230" s="23"/>
      <c r="TA230" s="23"/>
      <c r="TB230" s="23"/>
      <c r="TC230" s="23"/>
      <c r="TD230" s="23"/>
      <c r="TE230" s="23"/>
      <c r="TF230" s="23"/>
      <c r="TG230" s="23"/>
    </row>
    <row r="231" spans="1:527" s="22" customFormat="1" ht="19.5" customHeight="1" x14ac:dyDescent="0.25">
      <c r="A231" s="103" t="s">
        <v>302</v>
      </c>
      <c r="B231" s="42" t="str">
        <f>'дод 8'!A131</f>
        <v>3210</v>
      </c>
      <c r="C231" s="42" t="str">
        <f>'дод 8'!B131</f>
        <v>1050</v>
      </c>
      <c r="D231" s="36" t="str">
        <f>'дод 8'!C131</f>
        <v>Організація та проведення громадських робіт</v>
      </c>
      <c r="E231" s="99">
        <f t="shared" si="106"/>
        <v>160000</v>
      </c>
      <c r="F231" s="99">
        <f>200000-40000</f>
        <v>160000</v>
      </c>
      <c r="G231" s="99"/>
      <c r="H231" s="99"/>
      <c r="I231" s="99"/>
      <c r="J231" s="99">
        <f t="shared" ref="J231:J264" si="108">L231+O231</f>
        <v>0</v>
      </c>
      <c r="K231" s="99"/>
      <c r="L231" s="99"/>
      <c r="M231" s="99"/>
      <c r="N231" s="99"/>
      <c r="O231" s="99"/>
      <c r="P231" s="99">
        <f t="shared" si="107"/>
        <v>160000</v>
      </c>
      <c r="Q231" s="23"/>
      <c r="R231" s="32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  <c r="TF231" s="23"/>
      <c r="TG231" s="23"/>
    </row>
    <row r="232" spans="1:527" s="22" customFormat="1" ht="33.75" customHeight="1" x14ac:dyDescent="0.25">
      <c r="A232" s="59" t="s">
        <v>197</v>
      </c>
      <c r="B232" s="93" t="str">
        <f>'дод 8'!A157</f>
        <v>6011</v>
      </c>
      <c r="C232" s="93" t="str">
        <f>'дод 8'!B157</f>
        <v>0610</v>
      </c>
      <c r="D232" s="60" t="str">
        <f>'дод 8'!C157</f>
        <v>Експлуатація та технічне обслуговування житлового фонду</v>
      </c>
      <c r="E232" s="99">
        <f t="shared" si="106"/>
        <v>0</v>
      </c>
      <c r="F232" s="99"/>
      <c r="G232" s="99"/>
      <c r="H232" s="99"/>
      <c r="I232" s="99"/>
      <c r="J232" s="99">
        <f t="shared" si="108"/>
        <v>9271809</v>
      </c>
      <c r="K232" s="99">
        <f>7054092-807126.65+807126.65+172300+40000+154400+169950+593700+23900-19300+37614+100560+126700+49900+62000+204157+49000+650100-124900+49900-365100+44300+162056</f>
        <v>9235329</v>
      </c>
      <c r="L232" s="99"/>
      <c r="M232" s="99"/>
      <c r="N232" s="99"/>
      <c r="O232" s="99">
        <f>7090572-807126.65+807126.65+172300+40000+154400+169950+593700+23900-19300+37614+100560+126700+49900+62000+204157+49000+650100-124900+49900-365100+44300+162056</f>
        <v>9271809</v>
      </c>
      <c r="P232" s="99">
        <f t="shared" si="107"/>
        <v>9271809</v>
      </c>
      <c r="Q232" s="23"/>
      <c r="R232" s="32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  <c r="IW232" s="23"/>
      <c r="IX232" s="23"/>
      <c r="IY232" s="23"/>
      <c r="IZ232" s="23"/>
      <c r="JA232" s="23"/>
      <c r="JB232" s="23"/>
      <c r="JC232" s="23"/>
      <c r="JD232" s="23"/>
      <c r="JE232" s="23"/>
      <c r="JF232" s="23"/>
      <c r="JG232" s="23"/>
      <c r="JH232" s="23"/>
      <c r="JI232" s="23"/>
      <c r="JJ232" s="23"/>
      <c r="JK232" s="23"/>
      <c r="JL232" s="23"/>
      <c r="JM232" s="23"/>
      <c r="JN232" s="23"/>
      <c r="JO232" s="23"/>
      <c r="JP232" s="23"/>
      <c r="JQ232" s="23"/>
      <c r="JR232" s="23"/>
      <c r="JS232" s="23"/>
      <c r="JT232" s="23"/>
      <c r="JU232" s="23"/>
      <c r="JV232" s="23"/>
      <c r="JW232" s="23"/>
      <c r="JX232" s="23"/>
      <c r="JY232" s="23"/>
      <c r="JZ232" s="23"/>
      <c r="KA232" s="23"/>
      <c r="KB232" s="23"/>
      <c r="KC232" s="23"/>
      <c r="KD232" s="23"/>
      <c r="KE232" s="23"/>
      <c r="KF232" s="23"/>
      <c r="KG232" s="23"/>
      <c r="KH232" s="23"/>
      <c r="KI232" s="23"/>
      <c r="KJ232" s="23"/>
      <c r="KK232" s="23"/>
      <c r="KL232" s="23"/>
      <c r="KM232" s="23"/>
      <c r="KN232" s="23"/>
      <c r="KO232" s="23"/>
      <c r="KP232" s="23"/>
      <c r="KQ232" s="23"/>
      <c r="KR232" s="23"/>
      <c r="KS232" s="23"/>
      <c r="KT232" s="23"/>
      <c r="KU232" s="23"/>
      <c r="KV232" s="23"/>
      <c r="KW232" s="23"/>
      <c r="KX232" s="23"/>
      <c r="KY232" s="23"/>
      <c r="KZ232" s="23"/>
      <c r="LA232" s="23"/>
      <c r="LB232" s="23"/>
      <c r="LC232" s="23"/>
      <c r="LD232" s="23"/>
      <c r="LE232" s="23"/>
      <c r="LF232" s="23"/>
      <c r="LG232" s="23"/>
      <c r="LH232" s="23"/>
      <c r="LI232" s="23"/>
      <c r="LJ232" s="23"/>
      <c r="LK232" s="23"/>
      <c r="LL232" s="23"/>
      <c r="LM232" s="23"/>
      <c r="LN232" s="23"/>
      <c r="LO232" s="23"/>
      <c r="LP232" s="23"/>
      <c r="LQ232" s="23"/>
      <c r="LR232" s="23"/>
      <c r="LS232" s="23"/>
      <c r="LT232" s="23"/>
      <c r="LU232" s="23"/>
      <c r="LV232" s="23"/>
      <c r="LW232" s="23"/>
      <c r="LX232" s="23"/>
      <c r="LY232" s="23"/>
      <c r="LZ232" s="23"/>
      <c r="MA232" s="23"/>
      <c r="MB232" s="23"/>
      <c r="MC232" s="23"/>
      <c r="MD232" s="23"/>
      <c r="ME232" s="23"/>
      <c r="MF232" s="23"/>
      <c r="MG232" s="23"/>
      <c r="MH232" s="23"/>
      <c r="MI232" s="23"/>
      <c r="MJ232" s="23"/>
      <c r="MK232" s="23"/>
      <c r="ML232" s="23"/>
      <c r="MM232" s="23"/>
      <c r="MN232" s="23"/>
      <c r="MO232" s="23"/>
      <c r="MP232" s="23"/>
      <c r="MQ232" s="23"/>
      <c r="MR232" s="23"/>
      <c r="MS232" s="23"/>
      <c r="MT232" s="23"/>
      <c r="MU232" s="23"/>
      <c r="MV232" s="23"/>
      <c r="MW232" s="23"/>
      <c r="MX232" s="23"/>
      <c r="MY232" s="23"/>
      <c r="MZ232" s="23"/>
      <c r="NA232" s="23"/>
      <c r="NB232" s="23"/>
      <c r="NC232" s="23"/>
      <c r="ND232" s="23"/>
      <c r="NE232" s="23"/>
      <c r="NF232" s="23"/>
      <c r="NG232" s="23"/>
      <c r="NH232" s="23"/>
      <c r="NI232" s="23"/>
      <c r="NJ232" s="23"/>
      <c r="NK232" s="23"/>
      <c r="NL232" s="23"/>
      <c r="NM232" s="23"/>
      <c r="NN232" s="23"/>
      <c r="NO232" s="23"/>
      <c r="NP232" s="23"/>
      <c r="NQ232" s="23"/>
      <c r="NR232" s="23"/>
      <c r="NS232" s="23"/>
      <c r="NT232" s="23"/>
      <c r="NU232" s="23"/>
      <c r="NV232" s="23"/>
      <c r="NW232" s="23"/>
      <c r="NX232" s="23"/>
      <c r="NY232" s="23"/>
      <c r="NZ232" s="23"/>
      <c r="OA232" s="23"/>
      <c r="OB232" s="23"/>
      <c r="OC232" s="23"/>
      <c r="OD232" s="23"/>
      <c r="OE232" s="23"/>
      <c r="OF232" s="23"/>
      <c r="OG232" s="23"/>
      <c r="OH232" s="23"/>
      <c r="OI232" s="23"/>
      <c r="OJ232" s="23"/>
      <c r="OK232" s="23"/>
      <c r="OL232" s="23"/>
      <c r="OM232" s="23"/>
      <c r="ON232" s="23"/>
      <c r="OO232" s="23"/>
      <c r="OP232" s="23"/>
      <c r="OQ232" s="23"/>
      <c r="OR232" s="23"/>
      <c r="OS232" s="23"/>
      <c r="OT232" s="23"/>
      <c r="OU232" s="23"/>
      <c r="OV232" s="23"/>
      <c r="OW232" s="23"/>
      <c r="OX232" s="23"/>
      <c r="OY232" s="23"/>
      <c r="OZ232" s="23"/>
      <c r="PA232" s="23"/>
      <c r="PB232" s="23"/>
      <c r="PC232" s="23"/>
      <c r="PD232" s="23"/>
      <c r="PE232" s="23"/>
      <c r="PF232" s="23"/>
      <c r="PG232" s="23"/>
      <c r="PH232" s="23"/>
      <c r="PI232" s="23"/>
      <c r="PJ232" s="23"/>
      <c r="PK232" s="23"/>
      <c r="PL232" s="23"/>
      <c r="PM232" s="23"/>
      <c r="PN232" s="23"/>
      <c r="PO232" s="23"/>
      <c r="PP232" s="23"/>
      <c r="PQ232" s="23"/>
      <c r="PR232" s="23"/>
      <c r="PS232" s="23"/>
      <c r="PT232" s="23"/>
      <c r="PU232" s="23"/>
      <c r="PV232" s="23"/>
      <c r="PW232" s="23"/>
      <c r="PX232" s="23"/>
      <c r="PY232" s="23"/>
      <c r="PZ232" s="23"/>
      <c r="QA232" s="23"/>
      <c r="QB232" s="23"/>
      <c r="QC232" s="23"/>
      <c r="QD232" s="23"/>
      <c r="QE232" s="23"/>
      <c r="QF232" s="23"/>
      <c r="QG232" s="23"/>
      <c r="QH232" s="23"/>
      <c r="QI232" s="23"/>
      <c r="QJ232" s="23"/>
      <c r="QK232" s="23"/>
      <c r="QL232" s="23"/>
      <c r="QM232" s="23"/>
      <c r="QN232" s="23"/>
      <c r="QO232" s="23"/>
      <c r="QP232" s="23"/>
      <c r="QQ232" s="23"/>
      <c r="QR232" s="23"/>
      <c r="QS232" s="23"/>
      <c r="QT232" s="23"/>
      <c r="QU232" s="23"/>
      <c r="QV232" s="23"/>
      <c r="QW232" s="23"/>
      <c r="QX232" s="23"/>
      <c r="QY232" s="23"/>
      <c r="QZ232" s="23"/>
      <c r="RA232" s="23"/>
      <c r="RB232" s="23"/>
      <c r="RC232" s="23"/>
      <c r="RD232" s="23"/>
      <c r="RE232" s="23"/>
      <c r="RF232" s="23"/>
      <c r="RG232" s="23"/>
      <c r="RH232" s="23"/>
      <c r="RI232" s="23"/>
      <c r="RJ232" s="23"/>
      <c r="RK232" s="23"/>
      <c r="RL232" s="23"/>
      <c r="RM232" s="23"/>
      <c r="RN232" s="23"/>
      <c r="RO232" s="23"/>
      <c r="RP232" s="23"/>
      <c r="RQ232" s="23"/>
      <c r="RR232" s="23"/>
      <c r="RS232" s="23"/>
      <c r="RT232" s="23"/>
      <c r="RU232" s="23"/>
      <c r="RV232" s="23"/>
      <c r="RW232" s="23"/>
      <c r="RX232" s="23"/>
      <c r="RY232" s="23"/>
      <c r="RZ232" s="23"/>
      <c r="SA232" s="23"/>
      <c r="SB232" s="23"/>
      <c r="SC232" s="23"/>
      <c r="SD232" s="23"/>
      <c r="SE232" s="23"/>
      <c r="SF232" s="23"/>
      <c r="SG232" s="23"/>
      <c r="SH232" s="23"/>
      <c r="SI232" s="23"/>
      <c r="SJ232" s="23"/>
      <c r="SK232" s="23"/>
      <c r="SL232" s="23"/>
      <c r="SM232" s="23"/>
      <c r="SN232" s="23"/>
      <c r="SO232" s="23"/>
      <c r="SP232" s="23"/>
      <c r="SQ232" s="23"/>
      <c r="SR232" s="23"/>
      <c r="SS232" s="23"/>
      <c r="ST232" s="23"/>
      <c r="SU232" s="23"/>
      <c r="SV232" s="23"/>
      <c r="SW232" s="23"/>
      <c r="SX232" s="23"/>
      <c r="SY232" s="23"/>
      <c r="SZ232" s="23"/>
      <c r="TA232" s="23"/>
      <c r="TB232" s="23"/>
      <c r="TC232" s="23"/>
      <c r="TD232" s="23"/>
      <c r="TE232" s="23"/>
      <c r="TF232" s="23"/>
      <c r="TG232" s="23"/>
    </row>
    <row r="233" spans="1:527" s="22" customFormat="1" ht="31.5" x14ac:dyDescent="0.25">
      <c r="A233" s="59" t="s">
        <v>198</v>
      </c>
      <c r="B233" s="93" t="str">
        <f>'дод 8'!A158</f>
        <v>6013</v>
      </c>
      <c r="C233" s="93" t="str">
        <f>'дод 8'!B158</f>
        <v>0620</v>
      </c>
      <c r="D233" s="60" t="str">
        <f>'дод 8'!C158</f>
        <v>Забезпечення діяльності водопровідно-каналізаційного господарства</v>
      </c>
      <c r="E233" s="99">
        <f t="shared" si="106"/>
        <v>29375568</v>
      </c>
      <c r="F233" s="99">
        <f>3610000-3000000+164040+30000+40000+270000-153472-85000</f>
        <v>875568</v>
      </c>
      <c r="G233" s="99"/>
      <c r="H233" s="99"/>
      <c r="I233" s="99">
        <f>25250000-100000+3350000</f>
        <v>28500000</v>
      </c>
      <c r="J233" s="99">
        <f t="shared" si="108"/>
        <v>200000</v>
      </c>
      <c r="K233" s="99">
        <f>230000-30000</f>
        <v>200000</v>
      </c>
      <c r="L233" s="99"/>
      <c r="M233" s="99"/>
      <c r="N233" s="99"/>
      <c r="O233" s="99">
        <f>230000-30000</f>
        <v>200000</v>
      </c>
      <c r="P233" s="99">
        <f t="shared" si="107"/>
        <v>29575568</v>
      </c>
      <c r="Q233" s="23"/>
      <c r="R233" s="32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  <c r="IW233" s="23"/>
      <c r="IX233" s="23"/>
      <c r="IY233" s="23"/>
      <c r="IZ233" s="23"/>
      <c r="JA233" s="23"/>
      <c r="JB233" s="23"/>
      <c r="JC233" s="23"/>
      <c r="JD233" s="23"/>
      <c r="JE233" s="23"/>
      <c r="JF233" s="23"/>
      <c r="JG233" s="23"/>
      <c r="JH233" s="23"/>
      <c r="JI233" s="23"/>
      <c r="JJ233" s="23"/>
      <c r="JK233" s="23"/>
      <c r="JL233" s="23"/>
      <c r="JM233" s="23"/>
      <c r="JN233" s="23"/>
      <c r="JO233" s="23"/>
      <c r="JP233" s="23"/>
      <c r="JQ233" s="23"/>
      <c r="JR233" s="23"/>
      <c r="JS233" s="23"/>
      <c r="JT233" s="23"/>
      <c r="JU233" s="23"/>
      <c r="JV233" s="23"/>
      <c r="JW233" s="23"/>
      <c r="JX233" s="23"/>
      <c r="JY233" s="23"/>
      <c r="JZ233" s="23"/>
      <c r="KA233" s="23"/>
      <c r="KB233" s="23"/>
      <c r="KC233" s="23"/>
      <c r="KD233" s="23"/>
      <c r="KE233" s="23"/>
      <c r="KF233" s="23"/>
      <c r="KG233" s="23"/>
      <c r="KH233" s="23"/>
      <c r="KI233" s="23"/>
      <c r="KJ233" s="23"/>
      <c r="KK233" s="23"/>
      <c r="KL233" s="23"/>
      <c r="KM233" s="23"/>
      <c r="KN233" s="23"/>
      <c r="KO233" s="23"/>
      <c r="KP233" s="23"/>
      <c r="KQ233" s="23"/>
      <c r="KR233" s="23"/>
      <c r="KS233" s="23"/>
      <c r="KT233" s="23"/>
      <c r="KU233" s="23"/>
      <c r="KV233" s="23"/>
      <c r="KW233" s="23"/>
      <c r="KX233" s="23"/>
      <c r="KY233" s="23"/>
      <c r="KZ233" s="23"/>
      <c r="LA233" s="23"/>
      <c r="LB233" s="23"/>
      <c r="LC233" s="23"/>
      <c r="LD233" s="23"/>
      <c r="LE233" s="23"/>
      <c r="LF233" s="23"/>
      <c r="LG233" s="23"/>
      <c r="LH233" s="23"/>
      <c r="LI233" s="23"/>
      <c r="LJ233" s="23"/>
      <c r="LK233" s="23"/>
      <c r="LL233" s="23"/>
      <c r="LM233" s="23"/>
      <c r="LN233" s="23"/>
      <c r="LO233" s="23"/>
      <c r="LP233" s="23"/>
      <c r="LQ233" s="23"/>
      <c r="LR233" s="23"/>
      <c r="LS233" s="23"/>
      <c r="LT233" s="23"/>
      <c r="LU233" s="23"/>
      <c r="LV233" s="23"/>
      <c r="LW233" s="23"/>
      <c r="LX233" s="23"/>
      <c r="LY233" s="23"/>
      <c r="LZ233" s="23"/>
      <c r="MA233" s="23"/>
      <c r="MB233" s="23"/>
      <c r="MC233" s="23"/>
      <c r="MD233" s="23"/>
      <c r="ME233" s="23"/>
      <c r="MF233" s="23"/>
      <c r="MG233" s="23"/>
      <c r="MH233" s="23"/>
      <c r="MI233" s="23"/>
      <c r="MJ233" s="23"/>
      <c r="MK233" s="23"/>
      <c r="ML233" s="23"/>
      <c r="MM233" s="23"/>
      <c r="MN233" s="23"/>
      <c r="MO233" s="23"/>
      <c r="MP233" s="23"/>
      <c r="MQ233" s="23"/>
      <c r="MR233" s="23"/>
      <c r="MS233" s="23"/>
      <c r="MT233" s="23"/>
      <c r="MU233" s="23"/>
      <c r="MV233" s="23"/>
      <c r="MW233" s="23"/>
      <c r="MX233" s="23"/>
      <c r="MY233" s="23"/>
      <c r="MZ233" s="23"/>
      <c r="NA233" s="23"/>
      <c r="NB233" s="23"/>
      <c r="NC233" s="23"/>
      <c r="ND233" s="23"/>
      <c r="NE233" s="23"/>
      <c r="NF233" s="23"/>
      <c r="NG233" s="23"/>
      <c r="NH233" s="23"/>
      <c r="NI233" s="23"/>
      <c r="NJ233" s="23"/>
      <c r="NK233" s="23"/>
      <c r="NL233" s="23"/>
      <c r="NM233" s="23"/>
      <c r="NN233" s="23"/>
      <c r="NO233" s="23"/>
      <c r="NP233" s="23"/>
      <c r="NQ233" s="23"/>
      <c r="NR233" s="23"/>
      <c r="NS233" s="23"/>
      <c r="NT233" s="23"/>
      <c r="NU233" s="23"/>
      <c r="NV233" s="23"/>
      <c r="NW233" s="23"/>
      <c r="NX233" s="23"/>
      <c r="NY233" s="23"/>
      <c r="NZ233" s="23"/>
      <c r="OA233" s="23"/>
      <c r="OB233" s="23"/>
      <c r="OC233" s="23"/>
      <c r="OD233" s="23"/>
      <c r="OE233" s="23"/>
      <c r="OF233" s="23"/>
      <c r="OG233" s="23"/>
      <c r="OH233" s="23"/>
      <c r="OI233" s="23"/>
      <c r="OJ233" s="23"/>
      <c r="OK233" s="23"/>
      <c r="OL233" s="23"/>
      <c r="OM233" s="23"/>
      <c r="ON233" s="23"/>
      <c r="OO233" s="23"/>
      <c r="OP233" s="23"/>
      <c r="OQ233" s="23"/>
      <c r="OR233" s="23"/>
      <c r="OS233" s="23"/>
      <c r="OT233" s="23"/>
      <c r="OU233" s="23"/>
      <c r="OV233" s="23"/>
      <c r="OW233" s="23"/>
      <c r="OX233" s="23"/>
      <c r="OY233" s="23"/>
      <c r="OZ233" s="23"/>
      <c r="PA233" s="23"/>
      <c r="PB233" s="23"/>
      <c r="PC233" s="23"/>
      <c r="PD233" s="23"/>
      <c r="PE233" s="23"/>
      <c r="PF233" s="23"/>
      <c r="PG233" s="23"/>
      <c r="PH233" s="23"/>
      <c r="PI233" s="23"/>
      <c r="PJ233" s="23"/>
      <c r="PK233" s="23"/>
      <c r="PL233" s="23"/>
      <c r="PM233" s="23"/>
      <c r="PN233" s="23"/>
      <c r="PO233" s="23"/>
      <c r="PP233" s="23"/>
      <c r="PQ233" s="23"/>
      <c r="PR233" s="23"/>
      <c r="PS233" s="23"/>
      <c r="PT233" s="23"/>
      <c r="PU233" s="23"/>
      <c r="PV233" s="23"/>
      <c r="PW233" s="23"/>
      <c r="PX233" s="23"/>
      <c r="PY233" s="23"/>
      <c r="PZ233" s="23"/>
      <c r="QA233" s="23"/>
      <c r="QB233" s="23"/>
      <c r="QC233" s="23"/>
      <c r="QD233" s="23"/>
      <c r="QE233" s="23"/>
      <c r="QF233" s="23"/>
      <c r="QG233" s="23"/>
      <c r="QH233" s="23"/>
      <c r="QI233" s="23"/>
      <c r="QJ233" s="23"/>
      <c r="QK233" s="23"/>
      <c r="QL233" s="23"/>
      <c r="QM233" s="23"/>
      <c r="QN233" s="23"/>
      <c r="QO233" s="23"/>
      <c r="QP233" s="23"/>
      <c r="QQ233" s="23"/>
      <c r="QR233" s="23"/>
      <c r="QS233" s="23"/>
      <c r="QT233" s="23"/>
      <c r="QU233" s="23"/>
      <c r="QV233" s="23"/>
      <c r="QW233" s="23"/>
      <c r="QX233" s="23"/>
      <c r="QY233" s="23"/>
      <c r="QZ233" s="23"/>
      <c r="RA233" s="23"/>
      <c r="RB233" s="23"/>
      <c r="RC233" s="23"/>
      <c r="RD233" s="23"/>
      <c r="RE233" s="23"/>
      <c r="RF233" s="23"/>
      <c r="RG233" s="23"/>
      <c r="RH233" s="23"/>
      <c r="RI233" s="23"/>
      <c r="RJ233" s="23"/>
      <c r="RK233" s="23"/>
      <c r="RL233" s="23"/>
      <c r="RM233" s="23"/>
      <c r="RN233" s="23"/>
      <c r="RO233" s="23"/>
      <c r="RP233" s="23"/>
      <c r="RQ233" s="23"/>
      <c r="RR233" s="23"/>
      <c r="RS233" s="23"/>
      <c r="RT233" s="23"/>
      <c r="RU233" s="23"/>
      <c r="RV233" s="23"/>
      <c r="RW233" s="23"/>
      <c r="RX233" s="23"/>
      <c r="RY233" s="23"/>
      <c r="RZ233" s="23"/>
      <c r="SA233" s="23"/>
      <c r="SB233" s="23"/>
      <c r="SC233" s="23"/>
      <c r="SD233" s="23"/>
      <c r="SE233" s="23"/>
      <c r="SF233" s="23"/>
      <c r="SG233" s="23"/>
      <c r="SH233" s="23"/>
      <c r="SI233" s="23"/>
      <c r="SJ233" s="23"/>
      <c r="SK233" s="23"/>
      <c r="SL233" s="23"/>
      <c r="SM233" s="23"/>
      <c r="SN233" s="23"/>
      <c r="SO233" s="23"/>
      <c r="SP233" s="23"/>
      <c r="SQ233" s="23"/>
      <c r="SR233" s="23"/>
      <c r="SS233" s="23"/>
      <c r="ST233" s="23"/>
      <c r="SU233" s="23"/>
      <c r="SV233" s="23"/>
      <c r="SW233" s="23"/>
      <c r="SX233" s="23"/>
      <c r="SY233" s="23"/>
      <c r="SZ233" s="23"/>
      <c r="TA233" s="23"/>
      <c r="TB233" s="23"/>
      <c r="TC233" s="23"/>
      <c r="TD233" s="23"/>
      <c r="TE233" s="23"/>
      <c r="TF233" s="23"/>
      <c r="TG233" s="23"/>
    </row>
    <row r="234" spans="1:527" s="22" customFormat="1" ht="33" customHeight="1" x14ac:dyDescent="0.25">
      <c r="A234" s="59" t="s">
        <v>259</v>
      </c>
      <c r="B234" s="93" t="str">
        <f>'дод 8'!A159</f>
        <v>6015</v>
      </c>
      <c r="C234" s="93" t="str">
        <f>'дод 8'!B159</f>
        <v>0620</v>
      </c>
      <c r="D234" s="60" t="str">
        <f>'дод 8'!C159</f>
        <v>Забезпечення надійної та безперебійної експлуатації ліфтів</v>
      </c>
      <c r="E234" s="99">
        <f t="shared" si="106"/>
        <v>155980</v>
      </c>
      <c r="F234" s="99">
        <f>99980+8000+16000+8000-16000+40000</f>
        <v>155980</v>
      </c>
      <c r="G234" s="99"/>
      <c r="H234" s="99"/>
      <c r="I234" s="99"/>
      <c r="J234" s="99">
        <f t="shared" si="108"/>
        <v>33240150</v>
      </c>
      <c r="K234" s="99">
        <f>6600000-96212+96212+4439600+1450000+700000+590000+232000-200000-200000+50000+318000+80000+592000+16000+65000+17450000+447450+835000+75000-115000-234900</f>
        <v>33190150</v>
      </c>
      <c r="L234" s="99"/>
      <c r="M234" s="99"/>
      <c r="N234" s="99"/>
      <c r="O234" s="99">
        <f>6650000-96212+96212+4439600+1450000+700000+590000+232000-200000-200000+50000+318000+80000+592000+16000+65000+17450000+447450+835000+75000-115000-234900</f>
        <v>33240150</v>
      </c>
      <c r="P234" s="99">
        <f t="shared" si="107"/>
        <v>33396130</v>
      </c>
      <c r="Q234" s="23"/>
      <c r="R234" s="32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  <c r="TF234" s="23"/>
      <c r="TG234" s="23"/>
    </row>
    <row r="235" spans="1:527" s="22" customFormat="1" ht="32.25" customHeight="1" x14ac:dyDescent="0.25">
      <c r="A235" s="59" t="s">
        <v>262</v>
      </c>
      <c r="B235" s="93" t="str">
        <f>'дод 8'!A160</f>
        <v>6017</v>
      </c>
      <c r="C235" s="93" t="str">
        <f>'дод 8'!B160</f>
        <v>0620</v>
      </c>
      <c r="D235" s="60" t="str">
        <f>'дод 8'!C160</f>
        <v>Інша діяльність, пов’язана з експлуатацією об’єктів житлово-комунального господарства</v>
      </c>
      <c r="E235" s="99">
        <f t="shared" si="106"/>
        <v>100000</v>
      </c>
      <c r="F235" s="99">
        <v>100000</v>
      </c>
      <c r="G235" s="99"/>
      <c r="H235" s="99"/>
      <c r="I235" s="99"/>
      <c r="J235" s="99">
        <f t="shared" si="108"/>
        <v>0</v>
      </c>
      <c r="K235" s="99"/>
      <c r="L235" s="99"/>
      <c r="M235" s="99"/>
      <c r="N235" s="99"/>
      <c r="O235" s="99"/>
      <c r="P235" s="99">
        <f t="shared" si="107"/>
        <v>100000</v>
      </c>
      <c r="Q235" s="23"/>
      <c r="R235" s="32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  <c r="TF235" s="23"/>
      <c r="TG235" s="23"/>
    </row>
    <row r="236" spans="1:527" s="22" customFormat="1" ht="47.25" x14ac:dyDescent="0.25">
      <c r="A236" s="59" t="s">
        <v>199</v>
      </c>
      <c r="B236" s="93" t="str">
        <f>'дод 8'!A161</f>
        <v>6020</v>
      </c>
      <c r="C236" s="93" t="str">
        <f>'дод 8'!B161</f>
        <v>0620</v>
      </c>
      <c r="D236" s="60" t="str">
        <f>'дод 8'!C161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36" s="99">
        <f t="shared" si="106"/>
        <v>1786258.4800000004</v>
      </c>
      <c r="F236" s="99"/>
      <c r="G236" s="99"/>
      <c r="H236" s="99"/>
      <c r="I236" s="99">
        <f>300000+1541958.48-85000+3000000-3000000+29300</f>
        <v>1786258.4800000004</v>
      </c>
      <c r="J236" s="99">
        <f t="shared" si="108"/>
        <v>85000</v>
      </c>
      <c r="K236" s="99">
        <f>85000</f>
        <v>85000</v>
      </c>
      <c r="L236" s="99"/>
      <c r="M236" s="99"/>
      <c r="N236" s="99"/>
      <c r="O236" s="99">
        <f>85000</f>
        <v>85000</v>
      </c>
      <c r="P236" s="99">
        <f t="shared" si="107"/>
        <v>1871258.4800000004</v>
      </c>
      <c r="Q236" s="23"/>
      <c r="R236" s="32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  <c r="TF236" s="23"/>
      <c r="TG236" s="23"/>
    </row>
    <row r="237" spans="1:527" s="22" customFormat="1" ht="24.75" customHeight="1" x14ac:dyDescent="0.25">
      <c r="A237" s="59" t="s">
        <v>200</v>
      </c>
      <c r="B237" s="93" t="str">
        <f>'дод 8'!A162</f>
        <v>6030</v>
      </c>
      <c r="C237" s="93" t="str">
        <f>'дод 8'!B162</f>
        <v>0620</v>
      </c>
      <c r="D237" s="60" t="str">
        <f>'дод 8'!C162</f>
        <v>Організація благоустрою населених пунктів</v>
      </c>
      <c r="E237" s="99">
        <f t="shared" si="106"/>
        <v>243940773.78</v>
      </c>
      <c r="F237" s="99">
        <f>220864874.13-7011318-49900-211983.47+990000+100000+72800+872900-100000-18473.69+60000-45080.64-164040+1592924+340394+200000-50500+299310+199600+1500000+98000+310136+40000+1000000+129000-29300+1012980+853612.73-90000+87900+371540.45+253200+30000-200000+31500+500000+250000+1250000-50000+190000+40000-23473+1000000+1855210+250000-49000+1791373.27-94200+246388+11500000+300000+250000+1000000+300000-5600</f>
        <v>243840773.78</v>
      </c>
      <c r="G237" s="99"/>
      <c r="H237" s="99">
        <f>34504500-600000-164040+1250000</f>
        <v>34990460</v>
      </c>
      <c r="I237" s="99">
        <v>100000</v>
      </c>
      <c r="J237" s="99">
        <f t="shared" si="108"/>
        <v>41839801.579999991</v>
      </c>
      <c r="K237" s="99">
        <f>28422020-300000+7011318-1359437.09+1978809.98+72800-72800+129900+18473.69-60000+170000+50000-1500000+49900+49900-2800000-1150000+250000-2000000+5000000+49000+90000+49000-30000-1000000+694744-7000000+350000+3000000+528294.5-528294.5+23473-300000+115000-250000+99800-400000-407000+45000+49900+4500000+1200000+7000000</f>
        <v>41839801.579999991</v>
      </c>
      <c r="L237" s="113"/>
      <c r="M237" s="99"/>
      <c r="N237" s="99"/>
      <c r="O237" s="99">
        <f>28422020-300000+7011318-1359437.09+1978809.98+72800-72800+129900+18473.69-60000+170000+50000-1500000+49900+49900-2800000-1150000+250000-2000000+5000000+49000+90000+49000-30000-1000000+694744-7000000+350000+3000000+528294.5-528294.5+23473-300000+115000-250000+99800-400000-407000+45000+49900+4500000+1200000+7000000</f>
        <v>41839801.579999991</v>
      </c>
      <c r="P237" s="99">
        <f t="shared" si="107"/>
        <v>285780575.36000001</v>
      </c>
      <c r="Q237" s="23"/>
      <c r="R237" s="32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  <c r="SQ237" s="23"/>
      <c r="SR237" s="23"/>
      <c r="SS237" s="23"/>
      <c r="ST237" s="23"/>
      <c r="SU237" s="23"/>
      <c r="SV237" s="23"/>
      <c r="SW237" s="23"/>
      <c r="SX237" s="23"/>
      <c r="SY237" s="23"/>
      <c r="SZ237" s="23"/>
      <c r="TA237" s="23"/>
      <c r="TB237" s="23"/>
      <c r="TC237" s="23"/>
      <c r="TD237" s="23"/>
      <c r="TE237" s="23"/>
      <c r="TF237" s="23"/>
      <c r="TG237" s="23"/>
    </row>
    <row r="238" spans="1:527" s="22" customFormat="1" ht="94.5" x14ac:dyDescent="0.25">
      <c r="A238" s="59" t="s">
        <v>621</v>
      </c>
      <c r="B238" s="93">
        <v>6083</v>
      </c>
      <c r="C238" s="59" t="s">
        <v>68</v>
      </c>
      <c r="D238" s="11" t="s">
        <v>438</v>
      </c>
      <c r="E238" s="99">
        <f>F238+I238</f>
        <v>0</v>
      </c>
      <c r="F238" s="99"/>
      <c r="G238" s="99"/>
      <c r="H238" s="99"/>
      <c r="I238" s="99"/>
      <c r="J238" s="99">
        <f t="shared" si="108"/>
        <v>705587</v>
      </c>
      <c r="K238" s="99">
        <f>615000+90587</f>
        <v>705587</v>
      </c>
      <c r="L238" s="99"/>
      <c r="M238" s="99"/>
      <c r="N238" s="99"/>
      <c r="O238" s="99">
        <f>615000+90587</f>
        <v>705587</v>
      </c>
      <c r="P238" s="99">
        <f>E238+J238</f>
        <v>705587</v>
      </c>
      <c r="Q238" s="23"/>
      <c r="R238" s="32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  <c r="SQ238" s="23"/>
      <c r="SR238" s="23"/>
      <c r="SS238" s="23"/>
      <c r="ST238" s="23"/>
      <c r="SU238" s="23"/>
      <c r="SV238" s="23"/>
      <c r="SW238" s="23"/>
      <c r="SX238" s="23"/>
      <c r="SY238" s="23"/>
      <c r="SZ238" s="23"/>
      <c r="TA238" s="23"/>
      <c r="TB238" s="23"/>
      <c r="TC238" s="23"/>
      <c r="TD238" s="23"/>
      <c r="TE238" s="23"/>
      <c r="TF238" s="23"/>
      <c r="TG238" s="23"/>
    </row>
    <row r="239" spans="1:527" s="22" customFormat="1" ht="126" x14ac:dyDescent="0.25">
      <c r="A239" s="84"/>
      <c r="B239" s="111"/>
      <c r="C239" s="84"/>
      <c r="D239" s="90" t="s">
        <v>445</v>
      </c>
      <c r="E239" s="99">
        <f>F239+I239</f>
        <v>0</v>
      </c>
      <c r="F239" s="101"/>
      <c r="G239" s="101"/>
      <c r="H239" s="101"/>
      <c r="I239" s="101"/>
      <c r="J239" s="99">
        <f t="shared" si="108"/>
        <v>705587</v>
      </c>
      <c r="K239" s="101">
        <f>615000+90587</f>
        <v>705587</v>
      </c>
      <c r="L239" s="101"/>
      <c r="M239" s="101"/>
      <c r="N239" s="101"/>
      <c r="O239" s="101">
        <f>615000+90587</f>
        <v>705587</v>
      </c>
      <c r="P239" s="99">
        <f>E239+J239</f>
        <v>705587</v>
      </c>
      <c r="Q239" s="23"/>
      <c r="R239" s="32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  <c r="TF239" s="23"/>
      <c r="TG239" s="23"/>
    </row>
    <row r="240" spans="1:527" s="22" customFormat="1" ht="31.5" customHeight="1" x14ac:dyDescent="0.25">
      <c r="A240" s="59" t="s">
        <v>252</v>
      </c>
      <c r="B240" s="93" t="str">
        <f>'дод 8'!A166</f>
        <v>6090</v>
      </c>
      <c r="C240" s="93" t="str">
        <f>'дод 8'!B166</f>
        <v>0640</v>
      </c>
      <c r="D240" s="60" t="str">
        <f>'дод 8'!C166</f>
        <v>Інша діяльність у сфері житлово-комунального господарства</v>
      </c>
      <c r="E240" s="99">
        <f t="shared" si="106"/>
        <v>7538903.0100000016</v>
      </c>
      <c r="F240" s="99">
        <f>47773888-76000+38050-9241451.18+49000-200000-6163260-25000-20000+45080.64-300000-4102174-1899640+200000+19300+50500-101200-418760+20000-263600-25000-184814-1453016-25000-78100-179000-2382803-1663012.73-1050451+2500-371540.45-1522530+3000+153472-4875998-3792773.27+22090-722854</f>
        <v>7238903.0100000016</v>
      </c>
      <c r="G240" s="99"/>
      <c r="H240" s="99">
        <f>24500+3000+22090</f>
        <v>49590</v>
      </c>
      <c r="I240" s="99">
        <v>300000</v>
      </c>
      <c r="J240" s="99">
        <f t="shared" si="108"/>
        <v>1785000</v>
      </c>
      <c r="K240" s="99"/>
      <c r="L240" s="99">
        <v>1785000</v>
      </c>
      <c r="M240" s="99"/>
      <c r="N240" s="99"/>
      <c r="O240" s="99"/>
      <c r="P240" s="99">
        <f t="shared" si="107"/>
        <v>9323903.0100000016</v>
      </c>
      <c r="Q240" s="23"/>
      <c r="R240" s="32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  <c r="TF240" s="23"/>
      <c r="TG240" s="23"/>
    </row>
    <row r="241" spans="1:527" s="22" customFormat="1" ht="34.5" x14ac:dyDescent="0.25">
      <c r="A241" s="59" t="s">
        <v>271</v>
      </c>
      <c r="B241" s="93" t="str">
        <f>'дод 8'!A177</f>
        <v>7310</v>
      </c>
      <c r="C241" s="93" t="str">
        <f>'дод 8'!B177</f>
        <v>0443</v>
      </c>
      <c r="D241" s="6" t="s">
        <v>552</v>
      </c>
      <c r="E241" s="99">
        <f t="shared" si="106"/>
        <v>0</v>
      </c>
      <c r="F241" s="99"/>
      <c r="G241" s="99"/>
      <c r="H241" s="99"/>
      <c r="I241" s="99"/>
      <c r="J241" s="99">
        <f t="shared" si="108"/>
        <v>23941791.07</v>
      </c>
      <c r="K241" s="99">
        <f>19836513+300000-38050+50000+200000-169950-49900-49900+49900-49900+85000-200000-3000000+600000-33000+1500000+600000+5700078.07-1389000</f>
        <v>23941791.07</v>
      </c>
      <c r="L241" s="99"/>
      <c r="M241" s="99"/>
      <c r="N241" s="99"/>
      <c r="O241" s="99">
        <f>19836513+300000-38050+50000+200000-169950-49900-49900+49900-49900+85000-200000-3000000+600000-33000+1500000+600000+5700078.07-1389000</f>
        <v>23941791.07</v>
      </c>
      <c r="P241" s="99">
        <f t="shared" si="107"/>
        <v>23941791.07</v>
      </c>
      <c r="Q241" s="23"/>
      <c r="R241" s="32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  <c r="TF241" s="23"/>
      <c r="TG241" s="23"/>
    </row>
    <row r="242" spans="1:527" s="22" customFormat="1" ht="21" customHeight="1" x14ac:dyDescent="0.25">
      <c r="A242" s="59" t="s">
        <v>273</v>
      </c>
      <c r="B242" s="93" t="str">
        <f>'дод 8'!A184</f>
        <v>7330</v>
      </c>
      <c r="C242" s="93" t="str">
        <f>'дод 8'!B184</f>
        <v>0443</v>
      </c>
      <c r="D242" s="6" t="s">
        <v>547</v>
      </c>
      <c r="E242" s="99">
        <f t="shared" si="106"/>
        <v>0</v>
      </c>
      <c r="F242" s="99"/>
      <c r="G242" s="99"/>
      <c r="H242" s="99"/>
      <c r="I242" s="99"/>
      <c r="J242" s="99">
        <f t="shared" si="108"/>
        <v>19164175.579999998</v>
      </c>
      <c r="K242" s="99">
        <f>22088598+49900-407389.42-200000+3500000-4000000+500000+30000+250000+49900-70000+1000000-726244-230045-3300000+990000+151656+1300000-1300000+50000-190000+300000-1201200+240000+104000+20000+115000+50000</f>
        <v>19164175.579999998</v>
      </c>
      <c r="L242" s="99"/>
      <c r="M242" s="99"/>
      <c r="N242" s="99"/>
      <c r="O242" s="99">
        <f>22088598+49900-407389.42-200000+3500000-4000000+500000+30000+250000+49900-70000+1000000-726244-230045-3300000+990000+151656+1300000-1300000+50000-190000+300000-1201200+240000+104000+20000+115000+50000</f>
        <v>19164175.579999998</v>
      </c>
      <c r="P242" s="99">
        <f t="shared" si="107"/>
        <v>19164175.579999998</v>
      </c>
      <c r="Q242" s="23"/>
      <c r="R242" s="32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  <c r="TF242" s="23"/>
      <c r="TG242" s="23"/>
    </row>
    <row r="243" spans="1:527" s="22" customFormat="1" ht="33" customHeight="1" x14ac:dyDescent="0.25">
      <c r="A243" s="59" t="s">
        <v>201</v>
      </c>
      <c r="B243" s="93">
        <v>7340</v>
      </c>
      <c r="C243" s="93" t="str">
        <f>'дод 8'!B183</f>
        <v>0443</v>
      </c>
      <c r="D243" s="60" t="str">
        <f>'дод 8'!C185</f>
        <v>Проектування, реставрація та охорона пам'яток архітектури</v>
      </c>
      <c r="E243" s="99">
        <f t="shared" ref="E243" si="109">F243+I243</f>
        <v>0</v>
      </c>
      <c r="F243" s="99"/>
      <c r="G243" s="99"/>
      <c r="H243" s="99"/>
      <c r="I243" s="99"/>
      <c r="J243" s="99">
        <f t="shared" ref="J243" si="110">L243+O243</f>
        <v>3250000</v>
      </c>
      <c r="K243" s="99">
        <f>3250000</f>
        <v>3250000</v>
      </c>
      <c r="L243" s="99"/>
      <c r="M243" s="99"/>
      <c r="N243" s="99"/>
      <c r="O243" s="99">
        <f>3250000</f>
        <v>3250000</v>
      </c>
      <c r="P243" s="99">
        <f t="shared" ref="P243" si="111">E243+J243</f>
        <v>3250000</v>
      </c>
      <c r="Q243" s="23"/>
      <c r="R243" s="32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  <c r="IW243" s="23"/>
      <c r="IX243" s="23"/>
      <c r="IY243" s="23"/>
      <c r="IZ243" s="23"/>
      <c r="JA243" s="23"/>
      <c r="JB243" s="23"/>
      <c r="JC243" s="23"/>
      <c r="JD243" s="23"/>
      <c r="JE243" s="23"/>
      <c r="JF243" s="23"/>
      <c r="JG243" s="23"/>
      <c r="JH243" s="23"/>
      <c r="JI243" s="23"/>
      <c r="JJ243" s="23"/>
      <c r="JK243" s="23"/>
      <c r="JL243" s="23"/>
      <c r="JM243" s="23"/>
      <c r="JN243" s="23"/>
      <c r="JO243" s="23"/>
      <c r="JP243" s="23"/>
      <c r="JQ243" s="23"/>
      <c r="JR243" s="23"/>
      <c r="JS243" s="23"/>
      <c r="JT243" s="23"/>
      <c r="JU243" s="23"/>
      <c r="JV243" s="23"/>
      <c r="JW243" s="23"/>
      <c r="JX243" s="23"/>
      <c r="JY243" s="23"/>
      <c r="JZ243" s="23"/>
      <c r="KA243" s="23"/>
      <c r="KB243" s="23"/>
      <c r="KC243" s="23"/>
      <c r="KD243" s="23"/>
      <c r="KE243" s="23"/>
      <c r="KF243" s="23"/>
      <c r="KG243" s="23"/>
      <c r="KH243" s="23"/>
      <c r="KI243" s="23"/>
      <c r="KJ243" s="23"/>
      <c r="KK243" s="23"/>
      <c r="KL243" s="23"/>
      <c r="KM243" s="23"/>
      <c r="KN243" s="23"/>
      <c r="KO243" s="23"/>
      <c r="KP243" s="23"/>
      <c r="KQ243" s="23"/>
      <c r="KR243" s="23"/>
      <c r="KS243" s="23"/>
      <c r="KT243" s="23"/>
      <c r="KU243" s="23"/>
      <c r="KV243" s="23"/>
      <c r="KW243" s="23"/>
      <c r="KX243" s="23"/>
      <c r="KY243" s="23"/>
      <c r="KZ243" s="23"/>
      <c r="LA243" s="23"/>
      <c r="LB243" s="23"/>
      <c r="LC243" s="23"/>
      <c r="LD243" s="23"/>
      <c r="LE243" s="23"/>
      <c r="LF243" s="23"/>
      <c r="LG243" s="23"/>
      <c r="LH243" s="23"/>
      <c r="LI243" s="23"/>
      <c r="LJ243" s="23"/>
      <c r="LK243" s="23"/>
      <c r="LL243" s="23"/>
      <c r="LM243" s="23"/>
      <c r="LN243" s="23"/>
      <c r="LO243" s="23"/>
      <c r="LP243" s="23"/>
      <c r="LQ243" s="23"/>
      <c r="LR243" s="23"/>
      <c r="LS243" s="23"/>
      <c r="LT243" s="23"/>
      <c r="LU243" s="23"/>
      <c r="LV243" s="23"/>
      <c r="LW243" s="23"/>
      <c r="LX243" s="23"/>
      <c r="LY243" s="23"/>
      <c r="LZ243" s="23"/>
      <c r="MA243" s="23"/>
      <c r="MB243" s="23"/>
      <c r="MC243" s="23"/>
      <c r="MD243" s="23"/>
      <c r="ME243" s="23"/>
      <c r="MF243" s="23"/>
      <c r="MG243" s="23"/>
      <c r="MH243" s="23"/>
      <c r="MI243" s="23"/>
      <c r="MJ243" s="23"/>
      <c r="MK243" s="23"/>
      <c r="ML243" s="23"/>
      <c r="MM243" s="23"/>
      <c r="MN243" s="23"/>
      <c r="MO243" s="23"/>
      <c r="MP243" s="23"/>
      <c r="MQ243" s="23"/>
      <c r="MR243" s="23"/>
      <c r="MS243" s="23"/>
      <c r="MT243" s="23"/>
      <c r="MU243" s="23"/>
      <c r="MV243" s="23"/>
      <c r="MW243" s="23"/>
      <c r="MX243" s="23"/>
      <c r="MY243" s="23"/>
      <c r="MZ243" s="23"/>
      <c r="NA243" s="23"/>
      <c r="NB243" s="23"/>
      <c r="NC243" s="23"/>
      <c r="ND243" s="23"/>
      <c r="NE243" s="23"/>
      <c r="NF243" s="23"/>
      <c r="NG243" s="23"/>
      <c r="NH243" s="23"/>
      <c r="NI243" s="23"/>
      <c r="NJ243" s="23"/>
      <c r="NK243" s="23"/>
      <c r="NL243" s="23"/>
      <c r="NM243" s="23"/>
      <c r="NN243" s="23"/>
      <c r="NO243" s="23"/>
      <c r="NP243" s="23"/>
      <c r="NQ243" s="23"/>
      <c r="NR243" s="23"/>
      <c r="NS243" s="23"/>
      <c r="NT243" s="23"/>
      <c r="NU243" s="23"/>
      <c r="NV243" s="23"/>
      <c r="NW243" s="23"/>
      <c r="NX243" s="23"/>
      <c r="NY243" s="23"/>
      <c r="NZ243" s="23"/>
      <c r="OA243" s="23"/>
      <c r="OB243" s="23"/>
      <c r="OC243" s="23"/>
      <c r="OD243" s="23"/>
      <c r="OE243" s="23"/>
      <c r="OF243" s="23"/>
      <c r="OG243" s="23"/>
      <c r="OH243" s="23"/>
      <c r="OI243" s="23"/>
      <c r="OJ243" s="23"/>
      <c r="OK243" s="23"/>
      <c r="OL243" s="23"/>
      <c r="OM243" s="23"/>
      <c r="ON243" s="23"/>
      <c r="OO243" s="23"/>
      <c r="OP243" s="23"/>
      <c r="OQ243" s="23"/>
      <c r="OR243" s="23"/>
      <c r="OS243" s="23"/>
      <c r="OT243" s="23"/>
      <c r="OU243" s="23"/>
      <c r="OV243" s="23"/>
      <c r="OW243" s="23"/>
      <c r="OX243" s="23"/>
      <c r="OY243" s="23"/>
      <c r="OZ243" s="23"/>
      <c r="PA243" s="23"/>
      <c r="PB243" s="23"/>
      <c r="PC243" s="23"/>
      <c r="PD243" s="23"/>
      <c r="PE243" s="23"/>
      <c r="PF243" s="23"/>
      <c r="PG243" s="23"/>
      <c r="PH243" s="23"/>
      <c r="PI243" s="23"/>
      <c r="PJ243" s="23"/>
      <c r="PK243" s="23"/>
      <c r="PL243" s="23"/>
      <c r="PM243" s="23"/>
      <c r="PN243" s="23"/>
      <c r="PO243" s="23"/>
      <c r="PP243" s="23"/>
      <c r="PQ243" s="23"/>
      <c r="PR243" s="23"/>
      <c r="PS243" s="23"/>
      <c r="PT243" s="23"/>
      <c r="PU243" s="23"/>
      <c r="PV243" s="23"/>
      <c r="PW243" s="23"/>
      <c r="PX243" s="23"/>
      <c r="PY243" s="23"/>
      <c r="PZ243" s="23"/>
      <c r="QA243" s="23"/>
      <c r="QB243" s="23"/>
      <c r="QC243" s="23"/>
      <c r="QD243" s="23"/>
      <c r="QE243" s="23"/>
      <c r="QF243" s="23"/>
      <c r="QG243" s="23"/>
      <c r="QH243" s="23"/>
      <c r="QI243" s="23"/>
      <c r="QJ243" s="23"/>
      <c r="QK243" s="23"/>
      <c r="QL243" s="23"/>
      <c r="QM243" s="23"/>
      <c r="QN243" s="23"/>
      <c r="QO243" s="23"/>
      <c r="QP243" s="23"/>
      <c r="QQ243" s="23"/>
      <c r="QR243" s="23"/>
      <c r="QS243" s="23"/>
      <c r="QT243" s="23"/>
      <c r="QU243" s="23"/>
      <c r="QV243" s="23"/>
      <c r="QW243" s="23"/>
      <c r="QX243" s="23"/>
      <c r="QY243" s="23"/>
      <c r="QZ243" s="23"/>
      <c r="RA243" s="23"/>
      <c r="RB243" s="23"/>
      <c r="RC243" s="23"/>
      <c r="RD243" s="23"/>
      <c r="RE243" s="23"/>
      <c r="RF243" s="23"/>
      <c r="RG243" s="23"/>
      <c r="RH243" s="23"/>
      <c r="RI243" s="23"/>
      <c r="RJ243" s="23"/>
      <c r="RK243" s="23"/>
      <c r="RL243" s="23"/>
      <c r="RM243" s="23"/>
      <c r="RN243" s="23"/>
      <c r="RO243" s="23"/>
      <c r="RP243" s="23"/>
      <c r="RQ243" s="23"/>
      <c r="RR243" s="23"/>
      <c r="RS243" s="23"/>
      <c r="RT243" s="23"/>
      <c r="RU243" s="23"/>
      <c r="RV243" s="23"/>
      <c r="RW243" s="23"/>
      <c r="RX243" s="23"/>
      <c r="RY243" s="23"/>
      <c r="RZ243" s="23"/>
      <c r="SA243" s="23"/>
      <c r="SB243" s="23"/>
      <c r="SC243" s="23"/>
      <c r="SD243" s="23"/>
      <c r="SE243" s="23"/>
      <c r="SF243" s="23"/>
      <c r="SG243" s="23"/>
      <c r="SH243" s="23"/>
      <c r="SI243" s="23"/>
      <c r="SJ243" s="23"/>
      <c r="SK243" s="23"/>
      <c r="SL243" s="23"/>
      <c r="SM243" s="23"/>
      <c r="SN243" s="23"/>
      <c r="SO243" s="23"/>
      <c r="SP243" s="23"/>
      <c r="SQ243" s="23"/>
      <c r="SR243" s="23"/>
      <c r="SS243" s="23"/>
      <c r="ST243" s="23"/>
      <c r="SU243" s="23"/>
      <c r="SV243" s="23"/>
      <c r="SW243" s="23"/>
      <c r="SX243" s="23"/>
      <c r="SY243" s="23"/>
      <c r="SZ243" s="23"/>
      <c r="TA243" s="23"/>
      <c r="TB243" s="23"/>
      <c r="TC243" s="23"/>
      <c r="TD243" s="23"/>
      <c r="TE243" s="23"/>
      <c r="TF243" s="23"/>
      <c r="TG243" s="23"/>
    </row>
    <row r="244" spans="1:527" s="22" customFormat="1" ht="49.5" hidden="1" customHeight="1" x14ac:dyDescent="0.25">
      <c r="A244" s="59" t="s">
        <v>370</v>
      </c>
      <c r="B244" s="93">
        <f>'дод 8'!A187</f>
        <v>7361</v>
      </c>
      <c r="C244" s="93" t="str">
        <f>'дод 8'!B187</f>
        <v>0490</v>
      </c>
      <c r="D244" s="60" t="str">
        <f>'дод 8'!C187</f>
        <v>Співфінансування інвестиційних проектів, що реалізуються за рахунок коштів державного фонду регіонального розвитку</v>
      </c>
      <c r="E244" s="99">
        <f t="shared" si="106"/>
        <v>0</v>
      </c>
      <c r="F244" s="99"/>
      <c r="G244" s="99"/>
      <c r="H244" s="99"/>
      <c r="I244" s="99"/>
      <c r="J244" s="99">
        <f t="shared" si="108"/>
        <v>0</v>
      </c>
      <c r="K244" s="99"/>
      <c r="L244" s="99"/>
      <c r="M244" s="99"/>
      <c r="N244" s="99"/>
      <c r="O244" s="99"/>
      <c r="P244" s="99">
        <f t="shared" si="107"/>
        <v>0</v>
      </c>
      <c r="Q244" s="23"/>
      <c r="R244" s="32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  <c r="TF244" s="23"/>
      <c r="TG244" s="23"/>
    </row>
    <row r="245" spans="1:527" s="22" customFormat="1" ht="30" hidden="1" customHeight="1" x14ac:dyDescent="0.25">
      <c r="A245" s="59">
        <v>1217362</v>
      </c>
      <c r="B245" s="93">
        <f>'дод 8'!A188</f>
        <v>7362</v>
      </c>
      <c r="C245" s="93" t="str">
        <f>'дод 8'!B188</f>
        <v>0490</v>
      </c>
      <c r="D245" s="60" t="str">
        <f>'дод 8'!C188</f>
        <v>Виконання інвестиційних проектів в рамках підтримки розвитку об'єднаних територіальних громад</v>
      </c>
      <c r="E245" s="99">
        <f t="shared" si="106"/>
        <v>0</v>
      </c>
      <c r="F245" s="99"/>
      <c r="G245" s="99"/>
      <c r="H245" s="99"/>
      <c r="I245" s="99"/>
      <c r="J245" s="99">
        <f t="shared" si="108"/>
        <v>0</v>
      </c>
      <c r="K245" s="99"/>
      <c r="L245" s="99"/>
      <c r="M245" s="99"/>
      <c r="N245" s="99"/>
      <c r="O245" s="99"/>
      <c r="P245" s="99">
        <f t="shared" si="107"/>
        <v>0</v>
      </c>
      <c r="Q245" s="23"/>
      <c r="R245" s="32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  <c r="TF245" s="23"/>
      <c r="TG245" s="23"/>
    </row>
    <row r="246" spans="1:527" s="22" customFormat="1" ht="47.25" x14ac:dyDescent="0.25">
      <c r="A246" s="59" t="s">
        <v>368</v>
      </c>
      <c r="B246" s="93">
        <v>7363</v>
      </c>
      <c r="C246" s="37" t="s">
        <v>82</v>
      </c>
      <c r="D246" s="36" t="s">
        <v>398</v>
      </c>
      <c r="E246" s="99">
        <f t="shared" si="106"/>
        <v>0</v>
      </c>
      <c r="F246" s="99"/>
      <c r="G246" s="99"/>
      <c r="H246" s="99"/>
      <c r="I246" s="99"/>
      <c r="J246" s="99">
        <f t="shared" si="108"/>
        <v>13759984</v>
      </c>
      <c r="K246" s="99">
        <f>2800000+5000000+5359984+400000+200000</f>
        <v>13759984</v>
      </c>
      <c r="L246" s="99"/>
      <c r="M246" s="99"/>
      <c r="N246" s="99"/>
      <c r="O246" s="99">
        <f>2800000+5000000+5359984+400000+200000</f>
        <v>13759984</v>
      </c>
      <c r="P246" s="99">
        <f t="shared" si="107"/>
        <v>13759984</v>
      </c>
      <c r="Q246" s="23"/>
      <c r="R246" s="32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  <c r="SQ246" s="23"/>
      <c r="SR246" s="23"/>
      <c r="SS246" s="23"/>
      <c r="ST246" s="23"/>
      <c r="SU246" s="23"/>
      <c r="SV246" s="23"/>
      <c r="SW246" s="23"/>
      <c r="SX246" s="23"/>
      <c r="SY246" s="23"/>
      <c r="SZ246" s="23"/>
      <c r="TA246" s="23"/>
      <c r="TB246" s="23"/>
      <c r="TC246" s="23"/>
      <c r="TD246" s="23"/>
      <c r="TE246" s="23"/>
      <c r="TF246" s="23"/>
      <c r="TG246" s="23"/>
    </row>
    <row r="247" spans="1:527" s="24" customFormat="1" ht="50.25" customHeight="1" x14ac:dyDescent="0.25">
      <c r="A247" s="84"/>
      <c r="B247" s="111"/>
      <c r="C247" s="111"/>
      <c r="D247" s="87" t="s">
        <v>388</v>
      </c>
      <c r="E247" s="101">
        <f t="shared" si="106"/>
        <v>0</v>
      </c>
      <c r="F247" s="101"/>
      <c r="G247" s="101"/>
      <c r="H247" s="101"/>
      <c r="I247" s="101"/>
      <c r="J247" s="101">
        <f t="shared" si="108"/>
        <v>10359984</v>
      </c>
      <c r="K247" s="101">
        <f>5000000+5359984</f>
        <v>10359984</v>
      </c>
      <c r="L247" s="101"/>
      <c r="M247" s="101"/>
      <c r="N247" s="101"/>
      <c r="O247" s="101">
        <f>5000000+5359984</f>
        <v>10359984</v>
      </c>
      <c r="P247" s="101">
        <f t="shared" si="107"/>
        <v>10359984</v>
      </c>
      <c r="Q247" s="30"/>
      <c r="R247" s="32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0"/>
      <c r="EF247" s="30"/>
      <c r="EG247" s="30"/>
      <c r="EH247" s="30"/>
      <c r="EI247" s="30"/>
      <c r="EJ247" s="30"/>
      <c r="EK247" s="30"/>
      <c r="EL247" s="30"/>
      <c r="EM247" s="30"/>
      <c r="EN247" s="30"/>
      <c r="EO247" s="30"/>
      <c r="EP247" s="30"/>
      <c r="EQ247" s="30"/>
      <c r="ER247" s="30"/>
      <c r="ES247" s="30"/>
      <c r="ET247" s="30"/>
      <c r="EU247" s="30"/>
      <c r="EV247" s="30"/>
      <c r="EW247" s="30"/>
      <c r="EX247" s="30"/>
      <c r="EY247" s="30"/>
      <c r="EZ247" s="30"/>
      <c r="FA247" s="30"/>
      <c r="FB247" s="30"/>
      <c r="FC247" s="30"/>
      <c r="FD247" s="30"/>
      <c r="FE247" s="30"/>
      <c r="FF247" s="30"/>
      <c r="FG247" s="30"/>
      <c r="FH247" s="30"/>
      <c r="FI247" s="30"/>
      <c r="FJ247" s="30"/>
      <c r="FK247" s="30"/>
      <c r="FL247" s="30"/>
      <c r="FM247" s="30"/>
      <c r="FN247" s="30"/>
      <c r="FO247" s="30"/>
      <c r="FP247" s="30"/>
      <c r="FQ247" s="30"/>
      <c r="FR247" s="30"/>
      <c r="FS247" s="30"/>
      <c r="FT247" s="30"/>
      <c r="FU247" s="30"/>
      <c r="FV247" s="30"/>
      <c r="FW247" s="30"/>
      <c r="FX247" s="30"/>
      <c r="FY247" s="30"/>
      <c r="FZ247" s="30"/>
      <c r="GA247" s="30"/>
      <c r="GB247" s="30"/>
      <c r="GC247" s="30"/>
      <c r="GD247" s="30"/>
      <c r="GE247" s="30"/>
      <c r="GF247" s="30"/>
      <c r="GG247" s="30"/>
      <c r="GH247" s="30"/>
      <c r="GI247" s="30"/>
      <c r="GJ247" s="30"/>
      <c r="GK247" s="30"/>
      <c r="GL247" s="30"/>
      <c r="GM247" s="30"/>
      <c r="GN247" s="30"/>
      <c r="GO247" s="30"/>
      <c r="GP247" s="30"/>
      <c r="GQ247" s="30"/>
      <c r="GR247" s="30"/>
      <c r="GS247" s="30"/>
      <c r="GT247" s="30"/>
      <c r="GU247" s="30"/>
      <c r="GV247" s="30"/>
      <c r="GW247" s="30"/>
      <c r="GX247" s="30"/>
      <c r="GY247" s="30"/>
      <c r="GZ247" s="30"/>
      <c r="HA247" s="30"/>
      <c r="HB247" s="30"/>
      <c r="HC247" s="30"/>
      <c r="HD247" s="30"/>
      <c r="HE247" s="30"/>
      <c r="HF247" s="30"/>
      <c r="HG247" s="30"/>
      <c r="HH247" s="30"/>
      <c r="HI247" s="30"/>
      <c r="HJ247" s="30"/>
      <c r="HK247" s="30"/>
      <c r="HL247" s="30"/>
      <c r="HM247" s="30"/>
      <c r="HN247" s="30"/>
      <c r="HO247" s="30"/>
      <c r="HP247" s="30"/>
      <c r="HQ247" s="30"/>
      <c r="HR247" s="30"/>
      <c r="HS247" s="30"/>
      <c r="HT247" s="30"/>
      <c r="HU247" s="30"/>
      <c r="HV247" s="30"/>
      <c r="HW247" s="30"/>
      <c r="HX247" s="30"/>
      <c r="HY247" s="30"/>
      <c r="HZ247" s="30"/>
      <c r="IA247" s="30"/>
      <c r="IB247" s="30"/>
      <c r="IC247" s="30"/>
      <c r="ID247" s="30"/>
      <c r="IE247" s="30"/>
      <c r="IF247" s="30"/>
      <c r="IG247" s="30"/>
      <c r="IH247" s="30"/>
      <c r="II247" s="30"/>
      <c r="IJ247" s="30"/>
      <c r="IK247" s="30"/>
      <c r="IL247" s="30"/>
      <c r="IM247" s="30"/>
      <c r="IN247" s="30"/>
      <c r="IO247" s="30"/>
      <c r="IP247" s="30"/>
      <c r="IQ247" s="30"/>
      <c r="IR247" s="30"/>
      <c r="IS247" s="30"/>
      <c r="IT247" s="30"/>
      <c r="IU247" s="30"/>
      <c r="IV247" s="30"/>
      <c r="IW247" s="30"/>
      <c r="IX247" s="30"/>
      <c r="IY247" s="30"/>
      <c r="IZ247" s="30"/>
      <c r="JA247" s="30"/>
      <c r="JB247" s="30"/>
      <c r="JC247" s="30"/>
      <c r="JD247" s="30"/>
      <c r="JE247" s="30"/>
      <c r="JF247" s="30"/>
      <c r="JG247" s="30"/>
      <c r="JH247" s="30"/>
      <c r="JI247" s="30"/>
      <c r="JJ247" s="30"/>
      <c r="JK247" s="30"/>
      <c r="JL247" s="30"/>
      <c r="JM247" s="30"/>
      <c r="JN247" s="30"/>
      <c r="JO247" s="30"/>
      <c r="JP247" s="30"/>
      <c r="JQ247" s="30"/>
      <c r="JR247" s="30"/>
      <c r="JS247" s="30"/>
      <c r="JT247" s="30"/>
      <c r="JU247" s="30"/>
      <c r="JV247" s="30"/>
      <c r="JW247" s="30"/>
      <c r="JX247" s="30"/>
      <c r="JY247" s="30"/>
      <c r="JZ247" s="30"/>
      <c r="KA247" s="30"/>
      <c r="KB247" s="30"/>
      <c r="KC247" s="30"/>
      <c r="KD247" s="30"/>
      <c r="KE247" s="30"/>
      <c r="KF247" s="30"/>
      <c r="KG247" s="30"/>
      <c r="KH247" s="30"/>
      <c r="KI247" s="30"/>
      <c r="KJ247" s="30"/>
      <c r="KK247" s="30"/>
      <c r="KL247" s="30"/>
      <c r="KM247" s="30"/>
      <c r="KN247" s="30"/>
      <c r="KO247" s="30"/>
      <c r="KP247" s="30"/>
      <c r="KQ247" s="30"/>
      <c r="KR247" s="30"/>
      <c r="KS247" s="30"/>
      <c r="KT247" s="30"/>
      <c r="KU247" s="30"/>
      <c r="KV247" s="30"/>
      <c r="KW247" s="30"/>
      <c r="KX247" s="30"/>
      <c r="KY247" s="30"/>
      <c r="KZ247" s="30"/>
      <c r="LA247" s="30"/>
      <c r="LB247" s="30"/>
      <c r="LC247" s="30"/>
      <c r="LD247" s="30"/>
      <c r="LE247" s="30"/>
      <c r="LF247" s="30"/>
      <c r="LG247" s="30"/>
      <c r="LH247" s="30"/>
      <c r="LI247" s="30"/>
      <c r="LJ247" s="30"/>
      <c r="LK247" s="30"/>
      <c r="LL247" s="30"/>
      <c r="LM247" s="30"/>
      <c r="LN247" s="30"/>
      <c r="LO247" s="30"/>
      <c r="LP247" s="30"/>
      <c r="LQ247" s="30"/>
      <c r="LR247" s="30"/>
      <c r="LS247" s="30"/>
      <c r="LT247" s="30"/>
      <c r="LU247" s="30"/>
      <c r="LV247" s="30"/>
      <c r="LW247" s="30"/>
      <c r="LX247" s="30"/>
      <c r="LY247" s="30"/>
      <c r="LZ247" s="30"/>
      <c r="MA247" s="30"/>
      <c r="MB247" s="30"/>
      <c r="MC247" s="30"/>
      <c r="MD247" s="30"/>
      <c r="ME247" s="30"/>
      <c r="MF247" s="30"/>
      <c r="MG247" s="30"/>
      <c r="MH247" s="30"/>
      <c r="MI247" s="30"/>
      <c r="MJ247" s="30"/>
      <c r="MK247" s="30"/>
      <c r="ML247" s="30"/>
      <c r="MM247" s="30"/>
      <c r="MN247" s="30"/>
      <c r="MO247" s="30"/>
      <c r="MP247" s="30"/>
      <c r="MQ247" s="30"/>
      <c r="MR247" s="30"/>
      <c r="MS247" s="30"/>
      <c r="MT247" s="30"/>
      <c r="MU247" s="30"/>
      <c r="MV247" s="30"/>
      <c r="MW247" s="30"/>
      <c r="MX247" s="30"/>
      <c r="MY247" s="30"/>
      <c r="MZ247" s="30"/>
      <c r="NA247" s="30"/>
      <c r="NB247" s="30"/>
      <c r="NC247" s="30"/>
      <c r="ND247" s="30"/>
      <c r="NE247" s="30"/>
      <c r="NF247" s="30"/>
      <c r="NG247" s="30"/>
      <c r="NH247" s="30"/>
      <c r="NI247" s="30"/>
      <c r="NJ247" s="30"/>
      <c r="NK247" s="30"/>
      <c r="NL247" s="30"/>
      <c r="NM247" s="30"/>
      <c r="NN247" s="30"/>
      <c r="NO247" s="30"/>
      <c r="NP247" s="30"/>
      <c r="NQ247" s="30"/>
      <c r="NR247" s="30"/>
      <c r="NS247" s="30"/>
      <c r="NT247" s="30"/>
      <c r="NU247" s="30"/>
      <c r="NV247" s="30"/>
      <c r="NW247" s="30"/>
      <c r="NX247" s="30"/>
      <c r="NY247" s="30"/>
      <c r="NZ247" s="30"/>
      <c r="OA247" s="30"/>
      <c r="OB247" s="30"/>
      <c r="OC247" s="30"/>
      <c r="OD247" s="30"/>
      <c r="OE247" s="30"/>
      <c r="OF247" s="30"/>
      <c r="OG247" s="30"/>
      <c r="OH247" s="30"/>
      <c r="OI247" s="30"/>
      <c r="OJ247" s="30"/>
      <c r="OK247" s="30"/>
      <c r="OL247" s="30"/>
      <c r="OM247" s="30"/>
      <c r="ON247" s="30"/>
      <c r="OO247" s="30"/>
      <c r="OP247" s="30"/>
      <c r="OQ247" s="30"/>
      <c r="OR247" s="30"/>
      <c r="OS247" s="30"/>
      <c r="OT247" s="30"/>
      <c r="OU247" s="30"/>
      <c r="OV247" s="30"/>
      <c r="OW247" s="30"/>
      <c r="OX247" s="30"/>
      <c r="OY247" s="30"/>
      <c r="OZ247" s="30"/>
      <c r="PA247" s="30"/>
      <c r="PB247" s="30"/>
      <c r="PC247" s="30"/>
      <c r="PD247" s="30"/>
      <c r="PE247" s="30"/>
      <c r="PF247" s="30"/>
      <c r="PG247" s="30"/>
      <c r="PH247" s="30"/>
      <c r="PI247" s="30"/>
      <c r="PJ247" s="30"/>
      <c r="PK247" s="30"/>
      <c r="PL247" s="30"/>
      <c r="PM247" s="30"/>
      <c r="PN247" s="30"/>
      <c r="PO247" s="30"/>
      <c r="PP247" s="30"/>
      <c r="PQ247" s="30"/>
      <c r="PR247" s="30"/>
      <c r="PS247" s="30"/>
      <c r="PT247" s="30"/>
      <c r="PU247" s="30"/>
      <c r="PV247" s="30"/>
      <c r="PW247" s="30"/>
      <c r="PX247" s="30"/>
      <c r="PY247" s="30"/>
      <c r="PZ247" s="30"/>
      <c r="QA247" s="30"/>
      <c r="QB247" s="30"/>
      <c r="QC247" s="30"/>
      <c r="QD247" s="30"/>
      <c r="QE247" s="30"/>
      <c r="QF247" s="30"/>
      <c r="QG247" s="30"/>
      <c r="QH247" s="30"/>
      <c r="QI247" s="30"/>
      <c r="QJ247" s="30"/>
      <c r="QK247" s="30"/>
      <c r="QL247" s="30"/>
      <c r="QM247" s="30"/>
      <c r="QN247" s="30"/>
      <c r="QO247" s="30"/>
      <c r="QP247" s="30"/>
      <c r="QQ247" s="30"/>
      <c r="QR247" s="30"/>
      <c r="QS247" s="30"/>
      <c r="QT247" s="30"/>
      <c r="QU247" s="30"/>
      <c r="QV247" s="30"/>
      <c r="QW247" s="30"/>
      <c r="QX247" s="30"/>
      <c r="QY247" s="30"/>
      <c r="QZ247" s="30"/>
      <c r="RA247" s="30"/>
      <c r="RB247" s="30"/>
      <c r="RC247" s="30"/>
      <c r="RD247" s="30"/>
      <c r="RE247" s="30"/>
      <c r="RF247" s="30"/>
      <c r="RG247" s="30"/>
      <c r="RH247" s="30"/>
      <c r="RI247" s="30"/>
      <c r="RJ247" s="30"/>
      <c r="RK247" s="30"/>
      <c r="RL247" s="30"/>
      <c r="RM247" s="30"/>
      <c r="RN247" s="30"/>
      <c r="RO247" s="30"/>
      <c r="RP247" s="30"/>
      <c r="RQ247" s="30"/>
      <c r="RR247" s="30"/>
      <c r="RS247" s="30"/>
      <c r="RT247" s="30"/>
      <c r="RU247" s="30"/>
      <c r="RV247" s="30"/>
      <c r="RW247" s="30"/>
      <c r="RX247" s="30"/>
      <c r="RY247" s="30"/>
      <c r="RZ247" s="30"/>
      <c r="SA247" s="30"/>
      <c r="SB247" s="30"/>
      <c r="SC247" s="30"/>
      <c r="SD247" s="30"/>
      <c r="SE247" s="30"/>
      <c r="SF247" s="30"/>
      <c r="SG247" s="30"/>
      <c r="SH247" s="30"/>
      <c r="SI247" s="30"/>
      <c r="SJ247" s="30"/>
      <c r="SK247" s="30"/>
      <c r="SL247" s="30"/>
      <c r="SM247" s="30"/>
      <c r="SN247" s="30"/>
      <c r="SO247" s="30"/>
      <c r="SP247" s="30"/>
      <c r="SQ247" s="30"/>
      <c r="SR247" s="30"/>
      <c r="SS247" s="30"/>
      <c r="ST247" s="30"/>
      <c r="SU247" s="30"/>
      <c r="SV247" s="30"/>
      <c r="SW247" s="30"/>
      <c r="SX247" s="30"/>
      <c r="SY247" s="30"/>
      <c r="SZ247" s="30"/>
      <c r="TA247" s="30"/>
      <c r="TB247" s="30"/>
      <c r="TC247" s="30"/>
      <c r="TD247" s="30"/>
      <c r="TE247" s="30"/>
      <c r="TF247" s="30"/>
      <c r="TG247" s="30"/>
    </row>
    <row r="248" spans="1:527" s="24" customFormat="1" ht="31.5" x14ac:dyDescent="0.25">
      <c r="A248" s="59" t="s">
        <v>591</v>
      </c>
      <c r="B248" s="93">
        <v>7368</v>
      </c>
      <c r="C248" s="37" t="s">
        <v>82</v>
      </c>
      <c r="D248" s="36" t="s">
        <v>592</v>
      </c>
      <c r="E248" s="99">
        <f t="shared" si="106"/>
        <v>0</v>
      </c>
      <c r="F248" s="101"/>
      <c r="G248" s="101"/>
      <c r="H248" s="101"/>
      <c r="I248" s="101"/>
      <c r="J248" s="99">
        <f t="shared" si="108"/>
        <v>200000</v>
      </c>
      <c r="K248" s="99">
        <v>200000</v>
      </c>
      <c r="L248" s="99"/>
      <c r="M248" s="99"/>
      <c r="N248" s="99"/>
      <c r="O248" s="99">
        <v>200000</v>
      </c>
      <c r="P248" s="99">
        <f t="shared" si="107"/>
        <v>200000</v>
      </c>
      <c r="Q248" s="30"/>
      <c r="R248" s="32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  <c r="EF248" s="30"/>
      <c r="EG248" s="30"/>
      <c r="EH248" s="30"/>
      <c r="EI248" s="30"/>
      <c r="EJ248" s="30"/>
      <c r="EK248" s="30"/>
      <c r="EL248" s="30"/>
      <c r="EM248" s="30"/>
      <c r="EN248" s="30"/>
      <c r="EO248" s="30"/>
      <c r="EP248" s="30"/>
      <c r="EQ248" s="30"/>
      <c r="ER248" s="30"/>
      <c r="ES248" s="30"/>
      <c r="ET248" s="30"/>
      <c r="EU248" s="30"/>
      <c r="EV248" s="30"/>
      <c r="EW248" s="30"/>
      <c r="EX248" s="30"/>
      <c r="EY248" s="30"/>
      <c r="EZ248" s="30"/>
      <c r="FA248" s="30"/>
      <c r="FB248" s="30"/>
      <c r="FC248" s="30"/>
      <c r="FD248" s="30"/>
      <c r="FE248" s="30"/>
      <c r="FF248" s="30"/>
      <c r="FG248" s="30"/>
      <c r="FH248" s="30"/>
      <c r="FI248" s="30"/>
      <c r="FJ248" s="30"/>
      <c r="FK248" s="30"/>
      <c r="FL248" s="30"/>
      <c r="FM248" s="30"/>
      <c r="FN248" s="30"/>
      <c r="FO248" s="30"/>
      <c r="FP248" s="30"/>
      <c r="FQ248" s="30"/>
      <c r="FR248" s="30"/>
      <c r="FS248" s="30"/>
      <c r="FT248" s="30"/>
      <c r="FU248" s="30"/>
      <c r="FV248" s="30"/>
      <c r="FW248" s="30"/>
      <c r="FX248" s="30"/>
      <c r="FY248" s="30"/>
      <c r="FZ248" s="30"/>
      <c r="GA248" s="30"/>
      <c r="GB248" s="30"/>
      <c r="GC248" s="30"/>
      <c r="GD248" s="30"/>
      <c r="GE248" s="30"/>
      <c r="GF248" s="30"/>
      <c r="GG248" s="30"/>
      <c r="GH248" s="30"/>
      <c r="GI248" s="30"/>
      <c r="GJ248" s="30"/>
      <c r="GK248" s="30"/>
      <c r="GL248" s="30"/>
      <c r="GM248" s="30"/>
      <c r="GN248" s="30"/>
      <c r="GO248" s="30"/>
      <c r="GP248" s="30"/>
      <c r="GQ248" s="30"/>
      <c r="GR248" s="30"/>
      <c r="GS248" s="30"/>
      <c r="GT248" s="30"/>
      <c r="GU248" s="30"/>
      <c r="GV248" s="30"/>
      <c r="GW248" s="30"/>
      <c r="GX248" s="30"/>
      <c r="GY248" s="30"/>
      <c r="GZ248" s="30"/>
      <c r="HA248" s="30"/>
      <c r="HB248" s="30"/>
      <c r="HC248" s="30"/>
      <c r="HD248" s="30"/>
      <c r="HE248" s="30"/>
      <c r="HF248" s="30"/>
      <c r="HG248" s="30"/>
      <c r="HH248" s="30"/>
      <c r="HI248" s="30"/>
      <c r="HJ248" s="30"/>
      <c r="HK248" s="30"/>
      <c r="HL248" s="30"/>
      <c r="HM248" s="30"/>
      <c r="HN248" s="30"/>
      <c r="HO248" s="30"/>
      <c r="HP248" s="30"/>
      <c r="HQ248" s="30"/>
      <c r="HR248" s="30"/>
      <c r="HS248" s="30"/>
      <c r="HT248" s="30"/>
      <c r="HU248" s="30"/>
      <c r="HV248" s="30"/>
      <c r="HW248" s="30"/>
      <c r="HX248" s="30"/>
      <c r="HY248" s="30"/>
      <c r="HZ248" s="30"/>
      <c r="IA248" s="30"/>
      <c r="IB248" s="30"/>
      <c r="IC248" s="30"/>
      <c r="ID248" s="30"/>
      <c r="IE248" s="30"/>
      <c r="IF248" s="30"/>
      <c r="IG248" s="30"/>
      <c r="IH248" s="30"/>
      <c r="II248" s="30"/>
      <c r="IJ248" s="30"/>
      <c r="IK248" s="30"/>
      <c r="IL248" s="30"/>
      <c r="IM248" s="30"/>
      <c r="IN248" s="30"/>
      <c r="IO248" s="30"/>
      <c r="IP248" s="30"/>
      <c r="IQ248" s="30"/>
      <c r="IR248" s="30"/>
      <c r="IS248" s="30"/>
      <c r="IT248" s="30"/>
      <c r="IU248" s="30"/>
      <c r="IV248" s="30"/>
      <c r="IW248" s="30"/>
      <c r="IX248" s="30"/>
      <c r="IY248" s="30"/>
      <c r="IZ248" s="30"/>
      <c r="JA248" s="30"/>
      <c r="JB248" s="30"/>
      <c r="JC248" s="30"/>
      <c r="JD248" s="30"/>
      <c r="JE248" s="30"/>
      <c r="JF248" s="30"/>
      <c r="JG248" s="30"/>
      <c r="JH248" s="30"/>
      <c r="JI248" s="30"/>
      <c r="JJ248" s="30"/>
      <c r="JK248" s="30"/>
      <c r="JL248" s="30"/>
      <c r="JM248" s="30"/>
      <c r="JN248" s="30"/>
      <c r="JO248" s="30"/>
      <c r="JP248" s="30"/>
      <c r="JQ248" s="30"/>
      <c r="JR248" s="30"/>
      <c r="JS248" s="30"/>
      <c r="JT248" s="30"/>
      <c r="JU248" s="30"/>
      <c r="JV248" s="30"/>
      <c r="JW248" s="30"/>
      <c r="JX248" s="30"/>
      <c r="JY248" s="30"/>
      <c r="JZ248" s="30"/>
      <c r="KA248" s="30"/>
      <c r="KB248" s="30"/>
      <c r="KC248" s="30"/>
      <c r="KD248" s="30"/>
      <c r="KE248" s="30"/>
      <c r="KF248" s="30"/>
      <c r="KG248" s="30"/>
      <c r="KH248" s="30"/>
      <c r="KI248" s="30"/>
      <c r="KJ248" s="30"/>
      <c r="KK248" s="30"/>
      <c r="KL248" s="30"/>
      <c r="KM248" s="30"/>
      <c r="KN248" s="30"/>
      <c r="KO248" s="30"/>
      <c r="KP248" s="30"/>
      <c r="KQ248" s="30"/>
      <c r="KR248" s="30"/>
      <c r="KS248" s="30"/>
      <c r="KT248" s="30"/>
      <c r="KU248" s="30"/>
      <c r="KV248" s="30"/>
      <c r="KW248" s="30"/>
      <c r="KX248" s="30"/>
      <c r="KY248" s="30"/>
      <c r="KZ248" s="30"/>
      <c r="LA248" s="30"/>
      <c r="LB248" s="30"/>
      <c r="LC248" s="30"/>
      <c r="LD248" s="30"/>
      <c r="LE248" s="30"/>
      <c r="LF248" s="30"/>
      <c r="LG248" s="30"/>
      <c r="LH248" s="30"/>
      <c r="LI248" s="30"/>
      <c r="LJ248" s="30"/>
      <c r="LK248" s="30"/>
      <c r="LL248" s="30"/>
      <c r="LM248" s="30"/>
      <c r="LN248" s="30"/>
      <c r="LO248" s="30"/>
      <c r="LP248" s="30"/>
      <c r="LQ248" s="30"/>
      <c r="LR248" s="30"/>
      <c r="LS248" s="30"/>
      <c r="LT248" s="30"/>
      <c r="LU248" s="30"/>
      <c r="LV248" s="30"/>
      <c r="LW248" s="30"/>
      <c r="LX248" s="30"/>
      <c r="LY248" s="30"/>
      <c r="LZ248" s="30"/>
      <c r="MA248" s="30"/>
      <c r="MB248" s="30"/>
      <c r="MC248" s="30"/>
      <c r="MD248" s="30"/>
      <c r="ME248" s="30"/>
      <c r="MF248" s="30"/>
      <c r="MG248" s="30"/>
      <c r="MH248" s="30"/>
      <c r="MI248" s="30"/>
      <c r="MJ248" s="30"/>
      <c r="MK248" s="30"/>
      <c r="ML248" s="30"/>
      <c r="MM248" s="30"/>
      <c r="MN248" s="30"/>
      <c r="MO248" s="30"/>
      <c r="MP248" s="30"/>
      <c r="MQ248" s="30"/>
      <c r="MR248" s="30"/>
      <c r="MS248" s="30"/>
      <c r="MT248" s="30"/>
      <c r="MU248" s="30"/>
      <c r="MV248" s="30"/>
      <c r="MW248" s="30"/>
      <c r="MX248" s="30"/>
      <c r="MY248" s="30"/>
      <c r="MZ248" s="30"/>
      <c r="NA248" s="30"/>
      <c r="NB248" s="30"/>
      <c r="NC248" s="30"/>
      <c r="ND248" s="30"/>
      <c r="NE248" s="30"/>
      <c r="NF248" s="30"/>
      <c r="NG248" s="30"/>
      <c r="NH248" s="30"/>
      <c r="NI248" s="30"/>
      <c r="NJ248" s="30"/>
      <c r="NK248" s="30"/>
      <c r="NL248" s="30"/>
      <c r="NM248" s="30"/>
      <c r="NN248" s="30"/>
      <c r="NO248" s="30"/>
      <c r="NP248" s="30"/>
      <c r="NQ248" s="30"/>
      <c r="NR248" s="30"/>
      <c r="NS248" s="30"/>
      <c r="NT248" s="30"/>
      <c r="NU248" s="30"/>
      <c r="NV248" s="30"/>
      <c r="NW248" s="30"/>
      <c r="NX248" s="30"/>
      <c r="NY248" s="30"/>
      <c r="NZ248" s="30"/>
      <c r="OA248" s="30"/>
      <c r="OB248" s="30"/>
      <c r="OC248" s="30"/>
      <c r="OD248" s="30"/>
      <c r="OE248" s="30"/>
      <c r="OF248" s="30"/>
      <c r="OG248" s="30"/>
      <c r="OH248" s="30"/>
      <c r="OI248" s="30"/>
      <c r="OJ248" s="30"/>
      <c r="OK248" s="30"/>
      <c r="OL248" s="30"/>
      <c r="OM248" s="30"/>
      <c r="ON248" s="30"/>
      <c r="OO248" s="30"/>
      <c r="OP248" s="30"/>
      <c r="OQ248" s="30"/>
      <c r="OR248" s="30"/>
      <c r="OS248" s="30"/>
      <c r="OT248" s="30"/>
      <c r="OU248" s="30"/>
      <c r="OV248" s="30"/>
      <c r="OW248" s="30"/>
      <c r="OX248" s="30"/>
      <c r="OY248" s="30"/>
      <c r="OZ248" s="30"/>
      <c r="PA248" s="30"/>
      <c r="PB248" s="30"/>
      <c r="PC248" s="30"/>
      <c r="PD248" s="30"/>
      <c r="PE248" s="30"/>
      <c r="PF248" s="30"/>
      <c r="PG248" s="30"/>
      <c r="PH248" s="30"/>
      <c r="PI248" s="30"/>
      <c r="PJ248" s="30"/>
      <c r="PK248" s="30"/>
      <c r="PL248" s="30"/>
      <c r="PM248" s="30"/>
      <c r="PN248" s="30"/>
      <c r="PO248" s="30"/>
      <c r="PP248" s="30"/>
      <c r="PQ248" s="30"/>
      <c r="PR248" s="30"/>
      <c r="PS248" s="30"/>
      <c r="PT248" s="30"/>
      <c r="PU248" s="30"/>
      <c r="PV248" s="30"/>
      <c r="PW248" s="30"/>
      <c r="PX248" s="30"/>
      <c r="PY248" s="30"/>
      <c r="PZ248" s="30"/>
      <c r="QA248" s="30"/>
      <c r="QB248" s="30"/>
      <c r="QC248" s="30"/>
      <c r="QD248" s="30"/>
      <c r="QE248" s="30"/>
      <c r="QF248" s="30"/>
      <c r="QG248" s="30"/>
      <c r="QH248" s="30"/>
      <c r="QI248" s="30"/>
      <c r="QJ248" s="30"/>
      <c r="QK248" s="30"/>
      <c r="QL248" s="30"/>
      <c r="QM248" s="30"/>
      <c r="QN248" s="30"/>
      <c r="QO248" s="30"/>
      <c r="QP248" s="30"/>
      <c r="QQ248" s="30"/>
      <c r="QR248" s="30"/>
      <c r="QS248" s="30"/>
      <c r="QT248" s="30"/>
      <c r="QU248" s="30"/>
      <c r="QV248" s="30"/>
      <c r="QW248" s="30"/>
      <c r="QX248" s="30"/>
      <c r="QY248" s="30"/>
      <c r="QZ248" s="30"/>
      <c r="RA248" s="30"/>
      <c r="RB248" s="30"/>
      <c r="RC248" s="30"/>
      <c r="RD248" s="30"/>
      <c r="RE248" s="30"/>
      <c r="RF248" s="30"/>
      <c r="RG248" s="30"/>
      <c r="RH248" s="30"/>
      <c r="RI248" s="30"/>
      <c r="RJ248" s="30"/>
      <c r="RK248" s="30"/>
      <c r="RL248" s="30"/>
      <c r="RM248" s="30"/>
      <c r="RN248" s="30"/>
      <c r="RO248" s="30"/>
      <c r="RP248" s="30"/>
      <c r="RQ248" s="30"/>
      <c r="RR248" s="30"/>
      <c r="RS248" s="30"/>
      <c r="RT248" s="30"/>
      <c r="RU248" s="30"/>
      <c r="RV248" s="30"/>
      <c r="RW248" s="30"/>
      <c r="RX248" s="30"/>
      <c r="RY248" s="30"/>
      <c r="RZ248" s="30"/>
      <c r="SA248" s="30"/>
      <c r="SB248" s="30"/>
      <c r="SC248" s="30"/>
      <c r="SD248" s="30"/>
      <c r="SE248" s="30"/>
      <c r="SF248" s="30"/>
      <c r="SG248" s="30"/>
      <c r="SH248" s="30"/>
      <c r="SI248" s="30"/>
      <c r="SJ248" s="30"/>
      <c r="SK248" s="30"/>
      <c r="SL248" s="30"/>
      <c r="SM248" s="30"/>
      <c r="SN248" s="30"/>
      <c r="SO248" s="30"/>
      <c r="SP248" s="30"/>
      <c r="SQ248" s="30"/>
      <c r="SR248" s="30"/>
      <c r="SS248" s="30"/>
      <c r="ST248" s="30"/>
      <c r="SU248" s="30"/>
      <c r="SV248" s="30"/>
      <c r="SW248" s="30"/>
      <c r="SX248" s="30"/>
      <c r="SY248" s="30"/>
      <c r="SZ248" s="30"/>
      <c r="TA248" s="30"/>
      <c r="TB248" s="30"/>
      <c r="TC248" s="30"/>
      <c r="TD248" s="30"/>
      <c r="TE248" s="30"/>
      <c r="TF248" s="30"/>
      <c r="TG248" s="30"/>
    </row>
    <row r="249" spans="1:527" s="24" customFormat="1" ht="15.75" x14ac:dyDescent="0.25">
      <c r="A249" s="84"/>
      <c r="B249" s="111"/>
      <c r="C249" s="111"/>
      <c r="D249" s="85" t="s">
        <v>393</v>
      </c>
      <c r="E249" s="101">
        <f t="shared" si="106"/>
        <v>0</v>
      </c>
      <c r="F249" s="101"/>
      <c r="G249" s="101"/>
      <c r="H249" s="101"/>
      <c r="I249" s="101"/>
      <c r="J249" s="101">
        <f t="shared" si="108"/>
        <v>200000</v>
      </c>
      <c r="K249" s="101">
        <v>200000</v>
      </c>
      <c r="L249" s="101"/>
      <c r="M249" s="101"/>
      <c r="N249" s="101"/>
      <c r="O249" s="101">
        <v>200000</v>
      </c>
      <c r="P249" s="101">
        <f t="shared" si="107"/>
        <v>200000</v>
      </c>
      <c r="Q249" s="30"/>
      <c r="R249" s="32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  <c r="EF249" s="30"/>
      <c r="EG249" s="30"/>
      <c r="EH249" s="30"/>
      <c r="EI249" s="30"/>
      <c r="EJ249" s="30"/>
      <c r="EK249" s="30"/>
      <c r="EL249" s="30"/>
      <c r="EM249" s="30"/>
      <c r="EN249" s="30"/>
      <c r="EO249" s="30"/>
      <c r="EP249" s="30"/>
      <c r="EQ249" s="30"/>
      <c r="ER249" s="30"/>
      <c r="ES249" s="30"/>
      <c r="ET249" s="30"/>
      <c r="EU249" s="30"/>
      <c r="EV249" s="30"/>
      <c r="EW249" s="30"/>
      <c r="EX249" s="30"/>
      <c r="EY249" s="30"/>
      <c r="EZ249" s="30"/>
      <c r="FA249" s="30"/>
      <c r="FB249" s="30"/>
      <c r="FC249" s="30"/>
      <c r="FD249" s="30"/>
      <c r="FE249" s="30"/>
      <c r="FF249" s="30"/>
      <c r="FG249" s="30"/>
      <c r="FH249" s="30"/>
      <c r="FI249" s="30"/>
      <c r="FJ249" s="30"/>
      <c r="FK249" s="30"/>
      <c r="FL249" s="30"/>
      <c r="FM249" s="30"/>
      <c r="FN249" s="30"/>
      <c r="FO249" s="30"/>
      <c r="FP249" s="30"/>
      <c r="FQ249" s="30"/>
      <c r="FR249" s="30"/>
      <c r="FS249" s="30"/>
      <c r="FT249" s="30"/>
      <c r="FU249" s="30"/>
      <c r="FV249" s="30"/>
      <c r="FW249" s="30"/>
      <c r="FX249" s="30"/>
      <c r="FY249" s="30"/>
      <c r="FZ249" s="30"/>
      <c r="GA249" s="30"/>
      <c r="GB249" s="30"/>
      <c r="GC249" s="30"/>
      <c r="GD249" s="30"/>
      <c r="GE249" s="30"/>
      <c r="GF249" s="30"/>
      <c r="GG249" s="30"/>
      <c r="GH249" s="30"/>
      <c r="GI249" s="30"/>
      <c r="GJ249" s="30"/>
      <c r="GK249" s="30"/>
      <c r="GL249" s="30"/>
      <c r="GM249" s="30"/>
      <c r="GN249" s="30"/>
      <c r="GO249" s="30"/>
      <c r="GP249" s="30"/>
      <c r="GQ249" s="30"/>
      <c r="GR249" s="30"/>
      <c r="GS249" s="30"/>
      <c r="GT249" s="30"/>
      <c r="GU249" s="30"/>
      <c r="GV249" s="30"/>
      <c r="GW249" s="30"/>
      <c r="GX249" s="30"/>
      <c r="GY249" s="30"/>
      <c r="GZ249" s="30"/>
      <c r="HA249" s="30"/>
      <c r="HB249" s="30"/>
      <c r="HC249" s="30"/>
      <c r="HD249" s="30"/>
      <c r="HE249" s="30"/>
      <c r="HF249" s="30"/>
      <c r="HG249" s="30"/>
      <c r="HH249" s="30"/>
      <c r="HI249" s="30"/>
      <c r="HJ249" s="30"/>
      <c r="HK249" s="30"/>
      <c r="HL249" s="30"/>
      <c r="HM249" s="30"/>
      <c r="HN249" s="30"/>
      <c r="HO249" s="30"/>
      <c r="HP249" s="30"/>
      <c r="HQ249" s="30"/>
      <c r="HR249" s="30"/>
      <c r="HS249" s="30"/>
      <c r="HT249" s="30"/>
      <c r="HU249" s="30"/>
      <c r="HV249" s="30"/>
      <c r="HW249" s="30"/>
      <c r="HX249" s="30"/>
      <c r="HY249" s="30"/>
      <c r="HZ249" s="30"/>
      <c r="IA249" s="30"/>
      <c r="IB249" s="30"/>
      <c r="IC249" s="30"/>
      <c r="ID249" s="30"/>
      <c r="IE249" s="30"/>
      <c r="IF249" s="30"/>
      <c r="IG249" s="30"/>
      <c r="IH249" s="30"/>
      <c r="II249" s="30"/>
      <c r="IJ249" s="30"/>
      <c r="IK249" s="30"/>
      <c r="IL249" s="30"/>
      <c r="IM249" s="30"/>
      <c r="IN249" s="30"/>
      <c r="IO249" s="30"/>
      <c r="IP249" s="30"/>
      <c r="IQ249" s="30"/>
      <c r="IR249" s="30"/>
      <c r="IS249" s="30"/>
      <c r="IT249" s="30"/>
      <c r="IU249" s="30"/>
      <c r="IV249" s="30"/>
      <c r="IW249" s="30"/>
      <c r="IX249" s="30"/>
      <c r="IY249" s="30"/>
      <c r="IZ249" s="30"/>
      <c r="JA249" s="30"/>
      <c r="JB249" s="30"/>
      <c r="JC249" s="30"/>
      <c r="JD249" s="30"/>
      <c r="JE249" s="30"/>
      <c r="JF249" s="30"/>
      <c r="JG249" s="30"/>
      <c r="JH249" s="30"/>
      <c r="JI249" s="30"/>
      <c r="JJ249" s="30"/>
      <c r="JK249" s="30"/>
      <c r="JL249" s="30"/>
      <c r="JM249" s="30"/>
      <c r="JN249" s="30"/>
      <c r="JO249" s="30"/>
      <c r="JP249" s="30"/>
      <c r="JQ249" s="30"/>
      <c r="JR249" s="30"/>
      <c r="JS249" s="30"/>
      <c r="JT249" s="30"/>
      <c r="JU249" s="30"/>
      <c r="JV249" s="30"/>
      <c r="JW249" s="30"/>
      <c r="JX249" s="30"/>
      <c r="JY249" s="30"/>
      <c r="JZ249" s="30"/>
      <c r="KA249" s="30"/>
      <c r="KB249" s="30"/>
      <c r="KC249" s="30"/>
      <c r="KD249" s="30"/>
      <c r="KE249" s="30"/>
      <c r="KF249" s="30"/>
      <c r="KG249" s="30"/>
      <c r="KH249" s="30"/>
      <c r="KI249" s="30"/>
      <c r="KJ249" s="30"/>
      <c r="KK249" s="30"/>
      <c r="KL249" s="30"/>
      <c r="KM249" s="30"/>
      <c r="KN249" s="30"/>
      <c r="KO249" s="30"/>
      <c r="KP249" s="30"/>
      <c r="KQ249" s="30"/>
      <c r="KR249" s="30"/>
      <c r="KS249" s="30"/>
      <c r="KT249" s="30"/>
      <c r="KU249" s="30"/>
      <c r="KV249" s="30"/>
      <c r="KW249" s="30"/>
      <c r="KX249" s="30"/>
      <c r="KY249" s="30"/>
      <c r="KZ249" s="30"/>
      <c r="LA249" s="30"/>
      <c r="LB249" s="30"/>
      <c r="LC249" s="30"/>
      <c r="LD249" s="30"/>
      <c r="LE249" s="30"/>
      <c r="LF249" s="30"/>
      <c r="LG249" s="30"/>
      <c r="LH249" s="30"/>
      <c r="LI249" s="30"/>
      <c r="LJ249" s="30"/>
      <c r="LK249" s="30"/>
      <c r="LL249" s="30"/>
      <c r="LM249" s="30"/>
      <c r="LN249" s="30"/>
      <c r="LO249" s="30"/>
      <c r="LP249" s="30"/>
      <c r="LQ249" s="30"/>
      <c r="LR249" s="30"/>
      <c r="LS249" s="30"/>
      <c r="LT249" s="30"/>
      <c r="LU249" s="30"/>
      <c r="LV249" s="30"/>
      <c r="LW249" s="30"/>
      <c r="LX249" s="30"/>
      <c r="LY249" s="30"/>
      <c r="LZ249" s="30"/>
      <c r="MA249" s="30"/>
      <c r="MB249" s="30"/>
      <c r="MC249" s="30"/>
      <c r="MD249" s="30"/>
      <c r="ME249" s="30"/>
      <c r="MF249" s="30"/>
      <c r="MG249" s="30"/>
      <c r="MH249" s="30"/>
      <c r="MI249" s="30"/>
      <c r="MJ249" s="30"/>
      <c r="MK249" s="30"/>
      <c r="ML249" s="30"/>
      <c r="MM249" s="30"/>
      <c r="MN249" s="30"/>
      <c r="MO249" s="30"/>
      <c r="MP249" s="30"/>
      <c r="MQ249" s="30"/>
      <c r="MR249" s="30"/>
      <c r="MS249" s="30"/>
      <c r="MT249" s="30"/>
      <c r="MU249" s="30"/>
      <c r="MV249" s="30"/>
      <c r="MW249" s="30"/>
      <c r="MX249" s="30"/>
      <c r="MY249" s="30"/>
      <c r="MZ249" s="30"/>
      <c r="NA249" s="30"/>
      <c r="NB249" s="30"/>
      <c r="NC249" s="30"/>
      <c r="ND249" s="30"/>
      <c r="NE249" s="30"/>
      <c r="NF249" s="30"/>
      <c r="NG249" s="30"/>
      <c r="NH249" s="30"/>
      <c r="NI249" s="30"/>
      <c r="NJ249" s="30"/>
      <c r="NK249" s="30"/>
      <c r="NL249" s="30"/>
      <c r="NM249" s="30"/>
      <c r="NN249" s="30"/>
      <c r="NO249" s="30"/>
      <c r="NP249" s="30"/>
      <c r="NQ249" s="30"/>
      <c r="NR249" s="30"/>
      <c r="NS249" s="30"/>
      <c r="NT249" s="30"/>
      <c r="NU249" s="30"/>
      <c r="NV249" s="30"/>
      <c r="NW249" s="30"/>
      <c r="NX249" s="30"/>
      <c r="NY249" s="30"/>
      <c r="NZ249" s="30"/>
      <c r="OA249" s="30"/>
      <c r="OB249" s="30"/>
      <c r="OC249" s="30"/>
      <c r="OD249" s="30"/>
      <c r="OE249" s="30"/>
      <c r="OF249" s="30"/>
      <c r="OG249" s="30"/>
      <c r="OH249" s="30"/>
      <c r="OI249" s="30"/>
      <c r="OJ249" s="30"/>
      <c r="OK249" s="30"/>
      <c r="OL249" s="30"/>
      <c r="OM249" s="30"/>
      <c r="ON249" s="30"/>
      <c r="OO249" s="30"/>
      <c r="OP249" s="30"/>
      <c r="OQ249" s="30"/>
      <c r="OR249" s="30"/>
      <c r="OS249" s="30"/>
      <c r="OT249" s="30"/>
      <c r="OU249" s="30"/>
      <c r="OV249" s="30"/>
      <c r="OW249" s="30"/>
      <c r="OX249" s="30"/>
      <c r="OY249" s="30"/>
      <c r="OZ249" s="30"/>
      <c r="PA249" s="30"/>
      <c r="PB249" s="30"/>
      <c r="PC249" s="30"/>
      <c r="PD249" s="30"/>
      <c r="PE249" s="30"/>
      <c r="PF249" s="30"/>
      <c r="PG249" s="30"/>
      <c r="PH249" s="30"/>
      <c r="PI249" s="30"/>
      <c r="PJ249" s="30"/>
      <c r="PK249" s="30"/>
      <c r="PL249" s="30"/>
      <c r="PM249" s="30"/>
      <c r="PN249" s="30"/>
      <c r="PO249" s="30"/>
      <c r="PP249" s="30"/>
      <c r="PQ249" s="30"/>
      <c r="PR249" s="30"/>
      <c r="PS249" s="30"/>
      <c r="PT249" s="30"/>
      <c r="PU249" s="30"/>
      <c r="PV249" s="30"/>
      <c r="PW249" s="30"/>
      <c r="PX249" s="30"/>
      <c r="PY249" s="30"/>
      <c r="PZ249" s="30"/>
      <c r="QA249" s="30"/>
      <c r="QB249" s="30"/>
      <c r="QC249" s="30"/>
      <c r="QD249" s="30"/>
      <c r="QE249" s="30"/>
      <c r="QF249" s="30"/>
      <c r="QG249" s="30"/>
      <c r="QH249" s="30"/>
      <c r="QI249" s="30"/>
      <c r="QJ249" s="30"/>
      <c r="QK249" s="30"/>
      <c r="QL249" s="30"/>
      <c r="QM249" s="30"/>
      <c r="QN249" s="30"/>
      <c r="QO249" s="30"/>
      <c r="QP249" s="30"/>
      <c r="QQ249" s="30"/>
      <c r="QR249" s="30"/>
      <c r="QS249" s="30"/>
      <c r="QT249" s="30"/>
      <c r="QU249" s="30"/>
      <c r="QV249" s="30"/>
      <c r="QW249" s="30"/>
      <c r="QX249" s="30"/>
      <c r="QY249" s="30"/>
      <c r="QZ249" s="30"/>
      <c r="RA249" s="30"/>
      <c r="RB249" s="30"/>
      <c r="RC249" s="30"/>
      <c r="RD249" s="30"/>
      <c r="RE249" s="30"/>
      <c r="RF249" s="30"/>
      <c r="RG249" s="30"/>
      <c r="RH249" s="30"/>
      <c r="RI249" s="30"/>
      <c r="RJ249" s="30"/>
      <c r="RK249" s="30"/>
      <c r="RL249" s="30"/>
      <c r="RM249" s="30"/>
      <c r="RN249" s="30"/>
      <c r="RO249" s="30"/>
      <c r="RP249" s="30"/>
      <c r="RQ249" s="30"/>
      <c r="RR249" s="30"/>
      <c r="RS249" s="30"/>
      <c r="RT249" s="30"/>
      <c r="RU249" s="30"/>
      <c r="RV249" s="30"/>
      <c r="RW249" s="30"/>
      <c r="RX249" s="30"/>
      <c r="RY249" s="30"/>
      <c r="RZ249" s="30"/>
      <c r="SA249" s="30"/>
      <c r="SB249" s="30"/>
      <c r="SC249" s="30"/>
      <c r="SD249" s="30"/>
      <c r="SE249" s="30"/>
      <c r="SF249" s="30"/>
      <c r="SG249" s="30"/>
      <c r="SH249" s="30"/>
      <c r="SI249" s="30"/>
      <c r="SJ249" s="30"/>
      <c r="SK249" s="30"/>
      <c r="SL249" s="30"/>
      <c r="SM249" s="30"/>
      <c r="SN249" s="30"/>
      <c r="SO249" s="30"/>
      <c r="SP249" s="30"/>
      <c r="SQ249" s="30"/>
      <c r="SR249" s="30"/>
      <c r="SS249" s="30"/>
      <c r="ST249" s="30"/>
      <c r="SU249" s="30"/>
      <c r="SV249" s="30"/>
      <c r="SW249" s="30"/>
      <c r="SX249" s="30"/>
      <c r="SY249" s="30"/>
      <c r="SZ249" s="30"/>
      <c r="TA249" s="30"/>
      <c r="TB249" s="30"/>
      <c r="TC249" s="30"/>
      <c r="TD249" s="30"/>
      <c r="TE249" s="30"/>
      <c r="TF249" s="30"/>
      <c r="TG249" s="30"/>
    </row>
    <row r="250" spans="1:527" s="22" customFormat="1" ht="47.25" x14ac:dyDescent="0.25">
      <c r="A250" s="59" t="s">
        <v>374</v>
      </c>
      <c r="B250" s="93">
        <f>'дод 8'!A202</f>
        <v>7462</v>
      </c>
      <c r="C250" s="59" t="s">
        <v>400</v>
      </c>
      <c r="D250" s="117" t="s">
        <v>399</v>
      </c>
      <c r="E250" s="99">
        <f t="shared" ref="E250:E255" si="112">F250+I250</f>
        <v>1527346</v>
      </c>
      <c r="F250" s="99">
        <v>1527346</v>
      </c>
      <c r="G250" s="99"/>
      <c r="H250" s="99"/>
      <c r="I250" s="99"/>
      <c r="J250" s="99">
        <f t="shared" ref="J250:J255" si="113">L250+O250</f>
        <v>0</v>
      </c>
      <c r="K250" s="99"/>
      <c r="L250" s="99"/>
      <c r="M250" s="99"/>
      <c r="N250" s="99"/>
      <c r="O250" s="99"/>
      <c r="P250" s="99">
        <f t="shared" ref="P250:P255" si="114">E250+J250</f>
        <v>1527346</v>
      </c>
      <c r="Q250" s="23"/>
      <c r="R250" s="32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  <c r="TF250" s="23"/>
      <c r="TG250" s="23"/>
    </row>
    <row r="251" spans="1:527" s="24" customFormat="1" ht="110.25" hidden="1" customHeight="1" x14ac:dyDescent="0.25">
      <c r="A251" s="84"/>
      <c r="B251" s="111"/>
      <c r="C251" s="111"/>
      <c r="D251" s="87" t="s">
        <v>397</v>
      </c>
      <c r="E251" s="101">
        <f t="shared" si="112"/>
        <v>0</v>
      </c>
      <c r="F251" s="101"/>
      <c r="G251" s="101"/>
      <c r="H251" s="101"/>
      <c r="I251" s="101"/>
      <c r="J251" s="101">
        <f t="shared" si="113"/>
        <v>0</v>
      </c>
      <c r="K251" s="101"/>
      <c r="L251" s="101"/>
      <c r="M251" s="101"/>
      <c r="N251" s="101"/>
      <c r="O251" s="101"/>
      <c r="P251" s="101">
        <f t="shared" si="114"/>
        <v>0</v>
      </c>
      <c r="Q251" s="30"/>
      <c r="R251" s="32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  <c r="EF251" s="30"/>
      <c r="EG251" s="30"/>
      <c r="EH251" s="30"/>
      <c r="EI251" s="30"/>
      <c r="EJ251" s="30"/>
      <c r="EK251" s="30"/>
      <c r="EL251" s="30"/>
      <c r="EM251" s="30"/>
      <c r="EN251" s="30"/>
      <c r="EO251" s="30"/>
      <c r="EP251" s="30"/>
      <c r="EQ251" s="30"/>
      <c r="ER251" s="30"/>
      <c r="ES251" s="30"/>
      <c r="ET251" s="30"/>
      <c r="EU251" s="30"/>
      <c r="EV251" s="30"/>
      <c r="EW251" s="30"/>
      <c r="EX251" s="30"/>
      <c r="EY251" s="30"/>
      <c r="EZ251" s="30"/>
      <c r="FA251" s="30"/>
      <c r="FB251" s="30"/>
      <c r="FC251" s="30"/>
      <c r="FD251" s="30"/>
      <c r="FE251" s="30"/>
      <c r="FF251" s="30"/>
      <c r="FG251" s="30"/>
      <c r="FH251" s="30"/>
      <c r="FI251" s="30"/>
      <c r="FJ251" s="30"/>
      <c r="FK251" s="30"/>
      <c r="FL251" s="30"/>
      <c r="FM251" s="30"/>
      <c r="FN251" s="30"/>
      <c r="FO251" s="30"/>
      <c r="FP251" s="30"/>
      <c r="FQ251" s="30"/>
      <c r="FR251" s="30"/>
      <c r="FS251" s="30"/>
      <c r="FT251" s="30"/>
      <c r="FU251" s="30"/>
      <c r="FV251" s="30"/>
      <c r="FW251" s="30"/>
      <c r="FX251" s="30"/>
      <c r="FY251" s="30"/>
      <c r="FZ251" s="30"/>
      <c r="GA251" s="30"/>
      <c r="GB251" s="30"/>
      <c r="GC251" s="30"/>
      <c r="GD251" s="30"/>
      <c r="GE251" s="30"/>
      <c r="GF251" s="30"/>
      <c r="GG251" s="30"/>
      <c r="GH251" s="30"/>
      <c r="GI251" s="30"/>
      <c r="GJ251" s="30"/>
      <c r="GK251" s="30"/>
      <c r="GL251" s="30"/>
      <c r="GM251" s="30"/>
      <c r="GN251" s="30"/>
      <c r="GO251" s="30"/>
      <c r="GP251" s="30"/>
      <c r="GQ251" s="30"/>
      <c r="GR251" s="30"/>
      <c r="GS251" s="30"/>
      <c r="GT251" s="30"/>
      <c r="GU251" s="30"/>
      <c r="GV251" s="30"/>
      <c r="GW251" s="30"/>
      <c r="GX251" s="30"/>
      <c r="GY251" s="30"/>
      <c r="GZ251" s="30"/>
      <c r="HA251" s="30"/>
      <c r="HB251" s="30"/>
      <c r="HC251" s="30"/>
      <c r="HD251" s="30"/>
      <c r="HE251" s="30"/>
      <c r="HF251" s="30"/>
      <c r="HG251" s="30"/>
      <c r="HH251" s="30"/>
      <c r="HI251" s="30"/>
      <c r="HJ251" s="30"/>
      <c r="HK251" s="30"/>
      <c r="HL251" s="30"/>
      <c r="HM251" s="30"/>
      <c r="HN251" s="30"/>
      <c r="HO251" s="30"/>
      <c r="HP251" s="30"/>
      <c r="HQ251" s="30"/>
      <c r="HR251" s="30"/>
      <c r="HS251" s="30"/>
      <c r="HT251" s="30"/>
      <c r="HU251" s="30"/>
      <c r="HV251" s="30"/>
      <c r="HW251" s="30"/>
      <c r="HX251" s="30"/>
      <c r="HY251" s="30"/>
      <c r="HZ251" s="30"/>
      <c r="IA251" s="30"/>
      <c r="IB251" s="30"/>
      <c r="IC251" s="30"/>
      <c r="ID251" s="30"/>
      <c r="IE251" s="30"/>
      <c r="IF251" s="30"/>
      <c r="IG251" s="30"/>
      <c r="IH251" s="30"/>
      <c r="II251" s="30"/>
      <c r="IJ251" s="30"/>
      <c r="IK251" s="30"/>
      <c r="IL251" s="30"/>
      <c r="IM251" s="30"/>
      <c r="IN251" s="30"/>
      <c r="IO251" s="30"/>
      <c r="IP251" s="30"/>
      <c r="IQ251" s="30"/>
      <c r="IR251" s="30"/>
      <c r="IS251" s="30"/>
      <c r="IT251" s="30"/>
      <c r="IU251" s="30"/>
      <c r="IV251" s="30"/>
      <c r="IW251" s="30"/>
      <c r="IX251" s="30"/>
      <c r="IY251" s="30"/>
      <c r="IZ251" s="30"/>
      <c r="JA251" s="30"/>
      <c r="JB251" s="30"/>
      <c r="JC251" s="30"/>
      <c r="JD251" s="30"/>
      <c r="JE251" s="30"/>
      <c r="JF251" s="30"/>
      <c r="JG251" s="30"/>
      <c r="JH251" s="30"/>
      <c r="JI251" s="30"/>
      <c r="JJ251" s="30"/>
      <c r="JK251" s="30"/>
      <c r="JL251" s="30"/>
      <c r="JM251" s="30"/>
      <c r="JN251" s="30"/>
      <c r="JO251" s="30"/>
      <c r="JP251" s="30"/>
      <c r="JQ251" s="30"/>
      <c r="JR251" s="30"/>
      <c r="JS251" s="30"/>
      <c r="JT251" s="30"/>
      <c r="JU251" s="30"/>
      <c r="JV251" s="30"/>
      <c r="JW251" s="30"/>
      <c r="JX251" s="30"/>
      <c r="JY251" s="30"/>
      <c r="JZ251" s="30"/>
      <c r="KA251" s="30"/>
      <c r="KB251" s="30"/>
      <c r="KC251" s="30"/>
      <c r="KD251" s="30"/>
      <c r="KE251" s="30"/>
      <c r="KF251" s="30"/>
      <c r="KG251" s="30"/>
      <c r="KH251" s="30"/>
      <c r="KI251" s="30"/>
      <c r="KJ251" s="30"/>
      <c r="KK251" s="30"/>
      <c r="KL251" s="30"/>
      <c r="KM251" s="30"/>
      <c r="KN251" s="30"/>
      <c r="KO251" s="30"/>
      <c r="KP251" s="30"/>
      <c r="KQ251" s="30"/>
      <c r="KR251" s="30"/>
      <c r="KS251" s="30"/>
      <c r="KT251" s="30"/>
      <c r="KU251" s="30"/>
      <c r="KV251" s="30"/>
      <c r="KW251" s="30"/>
      <c r="KX251" s="30"/>
      <c r="KY251" s="30"/>
      <c r="KZ251" s="30"/>
      <c r="LA251" s="30"/>
      <c r="LB251" s="30"/>
      <c r="LC251" s="30"/>
      <c r="LD251" s="30"/>
      <c r="LE251" s="30"/>
      <c r="LF251" s="30"/>
      <c r="LG251" s="30"/>
      <c r="LH251" s="30"/>
      <c r="LI251" s="30"/>
      <c r="LJ251" s="30"/>
      <c r="LK251" s="30"/>
      <c r="LL251" s="30"/>
      <c r="LM251" s="30"/>
      <c r="LN251" s="30"/>
      <c r="LO251" s="30"/>
      <c r="LP251" s="30"/>
      <c r="LQ251" s="30"/>
      <c r="LR251" s="30"/>
      <c r="LS251" s="30"/>
      <c r="LT251" s="30"/>
      <c r="LU251" s="30"/>
      <c r="LV251" s="30"/>
      <c r="LW251" s="30"/>
      <c r="LX251" s="30"/>
      <c r="LY251" s="30"/>
      <c r="LZ251" s="30"/>
      <c r="MA251" s="30"/>
      <c r="MB251" s="30"/>
      <c r="MC251" s="30"/>
      <c r="MD251" s="30"/>
      <c r="ME251" s="30"/>
      <c r="MF251" s="30"/>
      <c r="MG251" s="30"/>
      <c r="MH251" s="30"/>
      <c r="MI251" s="30"/>
      <c r="MJ251" s="30"/>
      <c r="MK251" s="30"/>
      <c r="ML251" s="30"/>
      <c r="MM251" s="30"/>
      <c r="MN251" s="30"/>
      <c r="MO251" s="30"/>
      <c r="MP251" s="30"/>
      <c r="MQ251" s="30"/>
      <c r="MR251" s="30"/>
      <c r="MS251" s="30"/>
      <c r="MT251" s="30"/>
      <c r="MU251" s="30"/>
      <c r="MV251" s="30"/>
      <c r="MW251" s="30"/>
      <c r="MX251" s="30"/>
      <c r="MY251" s="30"/>
      <c r="MZ251" s="30"/>
      <c r="NA251" s="30"/>
      <c r="NB251" s="30"/>
      <c r="NC251" s="30"/>
      <c r="ND251" s="30"/>
      <c r="NE251" s="30"/>
      <c r="NF251" s="30"/>
      <c r="NG251" s="30"/>
      <c r="NH251" s="30"/>
      <c r="NI251" s="30"/>
      <c r="NJ251" s="30"/>
      <c r="NK251" s="30"/>
      <c r="NL251" s="30"/>
      <c r="NM251" s="30"/>
      <c r="NN251" s="30"/>
      <c r="NO251" s="30"/>
      <c r="NP251" s="30"/>
      <c r="NQ251" s="30"/>
      <c r="NR251" s="30"/>
      <c r="NS251" s="30"/>
      <c r="NT251" s="30"/>
      <c r="NU251" s="30"/>
      <c r="NV251" s="30"/>
      <c r="NW251" s="30"/>
      <c r="NX251" s="30"/>
      <c r="NY251" s="30"/>
      <c r="NZ251" s="30"/>
      <c r="OA251" s="30"/>
      <c r="OB251" s="30"/>
      <c r="OC251" s="30"/>
      <c r="OD251" s="30"/>
      <c r="OE251" s="30"/>
      <c r="OF251" s="30"/>
      <c r="OG251" s="30"/>
      <c r="OH251" s="30"/>
      <c r="OI251" s="30"/>
      <c r="OJ251" s="30"/>
      <c r="OK251" s="30"/>
      <c r="OL251" s="30"/>
      <c r="OM251" s="30"/>
      <c r="ON251" s="30"/>
      <c r="OO251" s="30"/>
      <c r="OP251" s="30"/>
      <c r="OQ251" s="30"/>
      <c r="OR251" s="30"/>
      <c r="OS251" s="30"/>
      <c r="OT251" s="30"/>
      <c r="OU251" s="30"/>
      <c r="OV251" s="30"/>
      <c r="OW251" s="30"/>
      <c r="OX251" s="30"/>
      <c r="OY251" s="30"/>
      <c r="OZ251" s="30"/>
      <c r="PA251" s="30"/>
      <c r="PB251" s="30"/>
      <c r="PC251" s="30"/>
      <c r="PD251" s="30"/>
      <c r="PE251" s="30"/>
      <c r="PF251" s="30"/>
      <c r="PG251" s="30"/>
      <c r="PH251" s="30"/>
      <c r="PI251" s="30"/>
      <c r="PJ251" s="30"/>
      <c r="PK251" s="30"/>
      <c r="PL251" s="30"/>
      <c r="PM251" s="30"/>
      <c r="PN251" s="30"/>
      <c r="PO251" s="30"/>
      <c r="PP251" s="30"/>
      <c r="PQ251" s="30"/>
      <c r="PR251" s="30"/>
      <c r="PS251" s="30"/>
      <c r="PT251" s="30"/>
      <c r="PU251" s="30"/>
      <c r="PV251" s="30"/>
      <c r="PW251" s="30"/>
      <c r="PX251" s="30"/>
      <c r="PY251" s="30"/>
      <c r="PZ251" s="30"/>
      <c r="QA251" s="30"/>
      <c r="QB251" s="30"/>
      <c r="QC251" s="30"/>
      <c r="QD251" s="30"/>
      <c r="QE251" s="30"/>
      <c r="QF251" s="30"/>
      <c r="QG251" s="30"/>
      <c r="QH251" s="30"/>
      <c r="QI251" s="30"/>
      <c r="QJ251" s="30"/>
      <c r="QK251" s="30"/>
      <c r="QL251" s="30"/>
      <c r="QM251" s="30"/>
      <c r="QN251" s="30"/>
      <c r="QO251" s="30"/>
      <c r="QP251" s="30"/>
      <c r="QQ251" s="30"/>
      <c r="QR251" s="30"/>
      <c r="QS251" s="30"/>
      <c r="QT251" s="30"/>
      <c r="QU251" s="30"/>
      <c r="QV251" s="30"/>
      <c r="QW251" s="30"/>
      <c r="QX251" s="30"/>
      <c r="QY251" s="30"/>
      <c r="QZ251" s="30"/>
      <c r="RA251" s="30"/>
      <c r="RB251" s="30"/>
      <c r="RC251" s="30"/>
      <c r="RD251" s="30"/>
      <c r="RE251" s="30"/>
      <c r="RF251" s="30"/>
      <c r="RG251" s="30"/>
      <c r="RH251" s="30"/>
      <c r="RI251" s="30"/>
      <c r="RJ251" s="30"/>
      <c r="RK251" s="30"/>
      <c r="RL251" s="30"/>
      <c r="RM251" s="30"/>
      <c r="RN251" s="30"/>
      <c r="RO251" s="30"/>
      <c r="RP251" s="30"/>
      <c r="RQ251" s="30"/>
      <c r="RR251" s="30"/>
      <c r="RS251" s="30"/>
      <c r="RT251" s="30"/>
      <c r="RU251" s="30"/>
      <c r="RV251" s="30"/>
      <c r="RW251" s="30"/>
      <c r="RX251" s="30"/>
      <c r="RY251" s="30"/>
      <c r="RZ251" s="30"/>
      <c r="SA251" s="30"/>
      <c r="SB251" s="30"/>
      <c r="SC251" s="30"/>
      <c r="SD251" s="30"/>
      <c r="SE251" s="30"/>
      <c r="SF251" s="30"/>
      <c r="SG251" s="30"/>
      <c r="SH251" s="30"/>
      <c r="SI251" s="30"/>
      <c r="SJ251" s="30"/>
      <c r="SK251" s="30"/>
      <c r="SL251" s="30"/>
      <c r="SM251" s="30"/>
      <c r="SN251" s="30"/>
      <c r="SO251" s="30"/>
      <c r="SP251" s="30"/>
      <c r="SQ251" s="30"/>
      <c r="SR251" s="30"/>
      <c r="SS251" s="30"/>
      <c r="ST251" s="30"/>
      <c r="SU251" s="30"/>
      <c r="SV251" s="30"/>
      <c r="SW251" s="30"/>
      <c r="SX251" s="30"/>
      <c r="SY251" s="30"/>
      <c r="SZ251" s="30"/>
      <c r="TA251" s="30"/>
      <c r="TB251" s="30"/>
      <c r="TC251" s="30"/>
      <c r="TD251" s="30"/>
      <c r="TE251" s="30"/>
      <c r="TF251" s="30"/>
      <c r="TG251" s="30"/>
    </row>
    <row r="252" spans="1:527" s="24" customFormat="1" ht="78.75" x14ac:dyDescent="0.25">
      <c r="A252" s="84"/>
      <c r="B252" s="111"/>
      <c r="C252" s="84"/>
      <c r="D252" s="87" t="s">
        <v>540</v>
      </c>
      <c r="E252" s="101">
        <f t="shared" si="112"/>
        <v>1527346</v>
      </c>
      <c r="F252" s="101">
        <v>1527346</v>
      </c>
      <c r="G252" s="101"/>
      <c r="H252" s="101"/>
      <c r="I252" s="101"/>
      <c r="J252" s="101">
        <f t="shared" si="113"/>
        <v>0</v>
      </c>
      <c r="K252" s="101"/>
      <c r="L252" s="101"/>
      <c r="M252" s="101"/>
      <c r="N252" s="101"/>
      <c r="O252" s="101"/>
      <c r="P252" s="101">
        <f t="shared" si="114"/>
        <v>1527346</v>
      </c>
      <c r="Q252" s="30"/>
      <c r="R252" s="32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  <c r="DP252" s="30"/>
      <c r="DQ252" s="30"/>
      <c r="DR252" s="30"/>
      <c r="DS252" s="30"/>
      <c r="DT252" s="30"/>
      <c r="DU252" s="30"/>
      <c r="DV252" s="30"/>
      <c r="DW252" s="30"/>
      <c r="DX252" s="30"/>
      <c r="DY252" s="30"/>
      <c r="DZ252" s="30"/>
      <c r="EA252" s="30"/>
      <c r="EB252" s="30"/>
      <c r="EC252" s="30"/>
      <c r="ED252" s="30"/>
      <c r="EE252" s="30"/>
      <c r="EF252" s="30"/>
      <c r="EG252" s="30"/>
      <c r="EH252" s="30"/>
      <c r="EI252" s="30"/>
      <c r="EJ252" s="30"/>
      <c r="EK252" s="30"/>
      <c r="EL252" s="30"/>
      <c r="EM252" s="30"/>
      <c r="EN252" s="30"/>
      <c r="EO252" s="30"/>
      <c r="EP252" s="30"/>
      <c r="EQ252" s="30"/>
      <c r="ER252" s="30"/>
      <c r="ES252" s="30"/>
      <c r="ET252" s="30"/>
      <c r="EU252" s="30"/>
      <c r="EV252" s="30"/>
      <c r="EW252" s="30"/>
      <c r="EX252" s="30"/>
      <c r="EY252" s="30"/>
      <c r="EZ252" s="30"/>
      <c r="FA252" s="30"/>
      <c r="FB252" s="30"/>
      <c r="FC252" s="30"/>
      <c r="FD252" s="30"/>
      <c r="FE252" s="30"/>
      <c r="FF252" s="30"/>
      <c r="FG252" s="30"/>
      <c r="FH252" s="30"/>
      <c r="FI252" s="30"/>
      <c r="FJ252" s="30"/>
      <c r="FK252" s="30"/>
      <c r="FL252" s="30"/>
      <c r="FM252" s="30"/>
      <c r="FN252" s="30"/>
      <c r="FO252" s="30"/>
      <c r="FP252" s="30"/>
      <c r="FQ252" s="30"/>
      <c r="FR252" s="30"/>
      <c r="FS252" s="30"/>
      <c r="FT252" s="30"/>
      <c r="FU252" s="30"/>
      <c r="FV252" s="30"/>
      <c r="FW252" s="30"/>
      <c r="FX252" s="30"/>
      <c r="FY252" s="30"/>
      <c r="FZ252" s="30"/>
      <c r="GA252" s="30"/>
      <c r="GB252" s="30"/>
      <c r="GC252" s="30"/>
      <c r="GD252" s="30"/>
      <c r="GE252" s="30"/>
      <c r="GF252" s="30"/>
      <c r="GG252" s="30"/>
      <c r="GH252" s="30"/>
      <c r="GI252" s="30"/>
      <c r="GJ252" s="30"/>
      <c r="GK252" s="30"/>
      <c r="GL252" s="30"/>
      <c r="GM252" s="30"/>
      <c r="GN252" s="30"/>
      <c r="GO252" s="30"/>
      <c r="GP252" s="30"/>
      <c r="GQ252" s="30"/>
      <c r="GR252" s="30"/>
      <c r="GS252" s="30"/>
      <c r="GT252" s="30"/>
      <c r="GU252" s="30"/>
      <c r="GV252" s="30"/>
      <c r="GW252" s="30"/>
      <c r="GX252" s="30"/>
      <c r="GY252" s="30"/>
      <c r="GZ252" s="30"/>
      <c r="HA252" s="30"/>
      <c r="HB252" s="30"/>
      <c r="HC252" s="30"/>
      <c r="HD252" s="30"/>
      <c r="HE252" s="30"/>
      <c r="HF252" s="30"/>
      <c r="HG252" s="30"/>
      <c r="HH252" s="30"/>
      <c r="HI252" s="30"/>
      <c r="HJ252" s="30"/>
      <c r="HK252" s="30"/>
      <c r="HL252" s="30"/>
      <c r="HM252" s="30"/>
      <c r="HN252" s="30"/>
      <c r="HO252" s="30"/>
      <c r="HP252" s="30"/>
      <c r="HQ252" s="30"/>
      <c r="HR252" s="30"/>
      <c r="HS252" s="30"/>
      <c r="HT252" s="30"/>
      <c r="HU252" s="30"/>
      <c r="HV252" s="30"/>
      <c r="HW252" s="30"/>
      <c r="HX252" s="30"/>
      <c r="HY252" s="30"/>
      <c r="HZ252" s="30"/>
      <c r="IA252" s="30"/>
      <c r="IB252" s="30"/>
      <c r="IC252" s="30"/>
      <c r="ID252" s="30"/>
      <c r="IE252" s="30"/>
      <c r="IF252" s="30"/>
      <c r="IG252" s="30"/>
      <c r="IH252" s="30"/>
      <c r="II252" s="30"/>
      <c r="IJ252" s="30"/>
      <c r="IK252" s="30"/>
      <c r="IL252" s="30"/>
      <c r="IM252" s="30"/>
      <c r="IN252" s="30"/>
      <c r="IO252" s="30"/>
      <c r="IP252" s="30"/>
      <c r="IQ252" s="30"/>
      <c r="IR252" s="30"/>
      <c r="IS252" s="30"/>
      <c r="IT252" s="30"/>
      <c r="IU252" s="30"/>
      <c r="IV252" s="30"/>
      <c r="IW252" s="30"/>
      <c r="IX252" s="30"/>
      <c r="IY252" s="30"/>
      <c r="IZ252" s="30"/>
      <c r="JA252" s="30"/>
      <c r="JB252" s="30"/>
      <c r="JC252" s="30"/>
      <c r="JD252" s="30"/>
      <c r="JE252" s="30"/>
      <c r="JF252" s="30"/>
      <c r="JG252" s="30"/>
      <c r="JH252" s="30"/>
      <c r="JI252" s="30"/>
      <c r="JJ252" s="30"/>
      <c r="JK252" s="30"/>
      <c r="JL252" s="30"/>
      <c r="JM252" s="30"/>
      <c r="JN252" s="30"/>
      <c r="JO252" s="30"/>
      <c r="JP252" s="30"/>
      <c r="JQ252" s="30"/>
      <c r="JR252" s="30"/>
      <c r="JS252" s="30"/>
      <c r="JT252" s="30"/>
      <c r="JU252" s="30"/>
      <c r="JV252" s="30"/>
      <c r="JW252" s="30"/>
      <c r="JX252" s="30"/>
      <c r="JY252" s="30"/>
      <c r="JZ252" s="30"/>
      <c r="KA252" s="30"/>
      <c r="KB252" s="30"/>
      <c r="KC252" s="30"/>
      <c r="KD252" s="30"/>
      <c r="KE252" s="30"/>
      <c r="KF252" s="30"/>
      <c r="KG252" s="30"/>
      <c r="KH252" s="30"/>
      <c r="KI252" s="30"/>
      <c r="KJ252" s="30"/>
      <c r="KK252" s="30"/>
      <c r="KL252" s="30"/>
      <c r="KM252" s="30"/>
      <c r="KN252" s="30"/>
      <c r="KO252" s="30"/>
      <c r="KP252" s="30"/>
      <c r="KQ252" s="30"/>
      <c r="KR252" s="30"/>
      <c r="KS252" s="30"/>
      <c r="KT252" s="30"/>
      <c r="KU252" s="30"/>
      <c r="KV252" s="30"/>
      <c r="KW252" s="30"/>
      <c r="KX252" s="30"/>
      <c r="KY252" s="30"/>
      <c r="KZ252" s="30"/>
      <c r="LA252" s="30"/>
      <c r="LB252" s="30"/>
      <c r="LC252" s="30"/>
      <c r="LD252" s="30"/>
      <c r="LE252" s="30"/>
      <c r="LF252" s="30"/>
      <c r="LG252" s="30"/>
      <c r="LH252" s="30"/>
      <c r="LI252" s="30"/>
      <c r="LJ252" s="30"/>
      <c r="LK252" s="30"/>
      <c r="LL252" s="30"/>
      <c r="LM252" s="30"/>
      <c r="LN252" s="30"/>
      <c r="LO252" s="30"/>
      <c r="LP252" s="30"/>
      <c r="LQ252" s="30"/>
      <c r="LR252" s="30"/>
      <c r="LS252" s="30"/>
      <c r="LT252" s="30"/>
      <c r="LU252" s="30"/>
      <c r="LV252" s="30"/>
      <c r="LW252" s="30"/>
      <c r="LX252" s="30"/>
      <c r="LY252" s="30"/>
      <c r="LZ252" s="30"/>
      <c r="MA252" s="30"/>
      <c r="MB252" s="30"/>
      <c r="MC252" s="30"/>
      <c r="MD252" s="30"/>
      <c r="ME252" s="30"/>
      <c r="MF252" s="30"/>
      <c r="MG252" s="30"/>
      <c r="MH252" s="30"/>
      <c r="MI252" s="30"/>
      <c r="MJ252" s="30"/>
      <c r="MK252" s="30"/>
      <c r="ML252" s="30"/>
      <c r="MM252" s="30"/>
      <c r="MN252" s="30"/>
      <c r="MO252" s="30"/>
      <c r="MP252" s="30"/>
      <c r="MQ252" s="30"/>
      <c r="MR252" s="30"/>
      <c r="MS252" s="30"/>
      <c r="MT252" s="30"/>
      <c r="MU252" s="30"/>
      <c r="MV252" s="30"/>
      <c r="MW252" s="30"/>
      <c r="MX252" s="30"/>
      <c r="MY252" s="30"/>
      <c r="MZ252" s="30"/>
      <c r="NA252" s="30"/>
      <c r="NB252" s="30"/>
      <c r="NC252" s="30"/>
      <c r="ND252" s="30"/>
      <c r="NE252" s="30"/>
      <c r="NF252" s="30"/>
      <c r="NG252" s="30"/>
      <c r="NH252" s="30"/>
      <c r="NI252" s="30"/>
      <c r="NJ252" s="30"/>
      <c r="NK252" s="30"/>
      <c r="NL252" s="30"/>
      <c r="NM252" s="30"/>
      <c r="NN252" s="30"/>
      <c r="NO252" s="30"/>
      <c r="NP252" s="30"/>
      <c r="NQ252" s="30"/>
      <c r="NR252" s="30"/>
      <c r="NS252" s="30"/>
      <c r="NT252" s="30"/>
      <c r="NU252" s="30"/>
      <c r="NV252" s="30"/>
      <c r="NW252" s="30"/>
      <c r="NX252" s="30"/>
      <c r="NY252" s="30"/>
      <c r="NZ252" s="30"/>
      <c r="OA252" s="30"/>
      <c r="OB252" s="30"/>
      <c r="OC252" s="30"/>
      <c r="OD252" s="30"/>
      <c r="OE252" s="30"/>
      <c r="OF252" s="30"/>
      <c r="OG252" s="30"/>
      <c r="OH252" s="30"/>
      <c r="OI252" s="30"/>
      <c r="OJ252" s="30"/>
      <c r="OK252" s="30"/>
      <c r="OL252" s="30"/>
      <c r="OM252" s="30"/>
      <c r="ON252" s="30"/>
      <c r="OO252" s="30"/>
      <c r="OP252" s="30"/>
      <c r="OQ252" s="30"/>
      <c r="OR252" s="30"/>
      <c r="OS252" s="30"/>
      <c r="OT252" s="30"/>
      <c r="OU252" s="30"/>
      <c r="OV252" s="30"/>
      <c r="OW252" s="30"/>
      <c r="OX252" s="30"/>
      <c r="OY252" s="30"/>
      <c r="OZ252" s="30"/>
      <c r="PA252" s="30"/>
      <c r="PB252" s="30"/>
      <c r="PC252" s="30"/>
      <c r="PD252" s="30"/>
      <c r="PE252" s="30"/>
      <c r="PF252" s="30"/>
      <c r="PG252" s="30"/>
      <c r="PH252" s="30"/>
      <c r="PI252" s="30"/>
      <c r="PJ252" s="30"/>
      <c r="PK252" s="30"/>
      <c r="PL252" s="30"/>
      <c r="PM252" s="30"/>
      <c r="PN252" s="30"/>
      <c r="PO252" s="30"/>
      <c r="PP252" s="30"/>
      <c r="PQ252" s="30"/>
      <c r="PR252" s="30"/>
      <c r="PS252" s="30"/>
      <c r="PT252" s="30"/>
      <c r="PU252" s="30"/>
      <c r="PV252" s="30"/>
      <c r="PW252" s="30"/>
      <c r="PX252" s="30"/>
      <c r="PY252" s="30"/>
      <c r="PZ252" s="30"/>
      <c r="QA252" s="30"/>
      <c r="QB252" s="30"/>
      <c r="QC252" s="30"/>
      <c r="QD252" s="30"/>
      <c r="QE252" s="30"/>
      <c r="QF252" s="30"/>
      <c r="QG252" s="30"/>
      <c r="QH252" s="30"/>
      <c r="QI252" s="30"/>
      <c r="QJ252" s="30"/>
      <c r="QK252" s="30"/>
      <c r="QL252" s="30"/>
      <c r="QM252" s="30"/>
      <c r="QN252" s="30"/>
      <c r="QO252" s="30"/>
      <c r="QP252" s="30"/>
      <c r="QQ252" s="30"/>
      <c r="QR252" s="30"/>
      <c r="QS252" s="30"/>
      <c r="QT252" s="30"/>
      <c r="QU252" s="30"/>
      <c r="QV252" s="30"/>
      <c r="QW252" s="30"/>
      <c r="QX252" s="30"/>
      <c r="QY252" s="30"/>
      <c r="QZ252" s="30"/>
      <c r="RA252" s="30"/>
      <c r="RB252" s="30"/>
      <c r="RC252" s="30"/>
      <c r="RD252" s="30"/>
      <c r="RE252" s="30"/>
      <c r="RF252" s="30"/>
      <c r="RG252" s="30"/>
      <c r="RH252" s="30"/>
      <c r="RI252" s="30"/>
      <c r="RJ252" s="30"/>
      <c r="RK252" s="30"/>
      <c r="RL252" s="30"/>
      <c r="RM252" s="30"/>
      <c r="RN252" s="30"/>
      <c r="RO252" s="30"/>
      <c r="RP252" s="30"/>
      <c r="RQ252" s="30"/>
      <c r="RR252" s="30"/>
      <c r="RS252" s="30"/>
      <c r="RT252" s="30"/>
      <c r="RU252" s="30"/>
      <c r="RV252" s="30"/>
      <c r="RW252" s="30"/>
      <c r="RX252" s="30"/>
      <c r="RY252" s="30"/>
      <c r="RZ252" s="30"/>
      <c r="SA252" s="30"/>
      <c r="SB252" s="30"/>
      <c r="SC252" s="30"/>
      <c r="SD252" s="30"/>
      <c r="SE252" s="30"/>
      <c r="SF252" s="30"/>
      <c r="SG252" s="30"/>
      <c r="SH252" s="30"/>
      <c r="SI252" s="30"/>
      <c r="SJ252" s="30"/>
      <c r="SK252" s="30"/>
      <c r="SL252" s="30"/>
      <c r="SM252" s="30"/>
      <c r="SN252" s="30"/>
      <c r="SO252" s="30"/>
      <c r="SP252" s="30"/>
      <c r="SQ252" s="30"/>
      <c r="SR252" s="30"/>
      <c r="SS252" s="30"/>
      <c r="ST252" s="30"/>
      <c r="SU252" s="30"/>
      <c r="SV252" s="30"/>
      <c r="SW252" s="30"/>
      <c r="SX252" s="30"/>
      <c r="SY252" s="30"/>
      <c r="SZ252" s="30"/>
      <c r="TA252" s="30"/>
      <c r="TB252" s="30"/>
      <c r="TC252" s="30"/>
      <c r="TD252" s="30"/>
      <c r="TE252" s="30"/>
      <c r="TF252" s="30"/>
      <c r="TG252" s="30"/>
    </row>
    <row r="253" spans="1:527" s="24" customFormat="1" ht="47.25" x14ac:dyDescent="0.25">
      <c r="A253" s="59" t="s">
        <v>589</v>
      </c>
      <c r="B253" s="93">
        <v>7463</v>
      </c>
      <c r="C253" s="59" t="s">
        <v>400</v>
      </c>
      <c r="D253" s="117" t="s">
        <v>590</v>
      </c>
      <c r="E253" s="99">
        <f t="shared" si="112"/>
        <v>200000</v>
      </c>
      <c r="F253" s="99">
        <v>200000</v>
      </c>
      <c r="G253" s="101"/>
      <c r="H253" s="101"/>
      <c r="I253" s="101"/>
      <c r="J253" s="99">
        <f t="shared" si="113"/>
        <v>0</v>
      </c>
      <c r="K253" s="101"/>
      <c r="L253" s="101"/>
      <c r="M253" s="101"/>
      <c r="N253" s="101"/>
      <c r="O253" s="101"/>
      <c r="P253" s="99">
        <f t="shared" si="114"/>
        <v>200000</v>
      </c>
      <c r="Q253" s="30"/>
      <c r="R253" s="32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  <c r="EF253" s="30"/>
      <c r="EG253" s="30"/>
      <c r="EH253" s="30"/>
      <c r="EI253" s="30"/>
      <c r="EJ253" s="30"/>
      <c r="EK253" s="30"/>
      <c r="EL253" s="30"/>
      <c r="EM253" s="30"/>
      <c r="EN253" s="30"/>
      <c r="EO253" s="30"/>
      <c r="EP253" s="30"/>
      <c r="EQ253" s="30"/>
      <c r="ER253" s="30"/>
      <c r="ES253" s="30"/>
      <c r="ET253" s="30"/>
      <c r="EU253" s="30"/>
      <c r="EV253" s="30"/>
      <c r="EW253" s="30"/>
      <c r="EX253" s="30"/>
      <c r="EY253" s="30"/>
      <c r="EZ253" s="30"/>
      <c r="FA253" s="30"/>
      <c r="FB253" s="30"/>
      <c r="FC253" s="30"/>
      <c r="FD253" s="30"/>
      <c r="FE253" s="30"/>
      <c r="FF253" s="30"/>
      <c r="FG253" s="30"/>
      <c r="FH253" s="30"/>
      <c r="FI253" s="30"/>
      <c r="FJ253" s="30"/>
      <c r="FK253" s="30"/>
      <c r="FL253" s="30"/>
      <c r="FM253" s="30"/>
      <c r="FN253" s="30"/>
      <c r="FO253" s="30"/>
      <c r="FP253" s="30"/>
      <c r="FQ253" s="30"/>
      <c r="FR253" s="30"/>
      <c r="FS253" s="30"/>
      <c r="FT253" s="30"/>
      <c r="FU253" s="30"/>
      <c r="FV253" s="30"/>
      <c r="FW253" s="30"/>
      <c r="FX253" s="30"/>
      <c r="FY253" s="30"/>
      <c r="FZ253" s="30"/>
      <c r="GA253" s="30"/>
      <c r="GB253" s="30"/>
      <c r="GC253" s="30"/>
      <c r="GD253" s="30"/>
      <c r="GE253" s="30"/>
      <c r="GF253" s="30"/>
      <c r="GG253" s="30"/>
      <c r="GH253" s="30"/>
      <c r="GI253" s="30"/>
      <c r="GJ253" s="30"/>
      <c r="GK253" s="30"/>
      <c r="GL253" s="30"/>
      <c r="GM253" s="30"/>
      <c r="GN253" s="30"/>
      <c r="GO253" s="30"/>
      <c r="GP253" s="30"/>
      <c r="GQ253" s="30"/>
      <c r="GR253" s="30"/>
      <c r="GS253" s="30"/>
      <c r="GT253" s="30"/>
      <c r="GU253" s="30"/>
      <c r="GV253" s="30"/>
      <c r="GW253" s="30"/>
      <c r="GX253" s="30"/>
      <c r="GY253" s="30"/>
      <c r="GZ253" s="30"/>
      <c r="HA253" s="30"/>
      <c r="HB253" s="30"/>
      <c r="HC253" s="30"/>
      <c r="HD253" s="30"/>
      <c r="HE253" s="30"/>
      <c r="HF253" s="30"/>
      <c r="HG253" s="30"/>
      <c r="HH253" s="30"/>
      <c r="HI253" s="30"/>
      <c r="HJ253" s="30"/>
      <c r="HK253" s="30"/>
      <c r="HL253" s="30"/>
      <c r="HM253" s="30"/>
      <c r="HN253" s="30"/>
      <c r="HO253" s="30"/>
      <c r="HP253" s="30"/>
      <c r="HQ253" s="30"/>
      <c r="HR253" s="30"/>
      <c r="HS253" s="30"/>
      <c r="HT253" s="30"/>
      <c r="HU253" s="30"/>
      <c r="HV253" s="30"/>
      <c r="HW253" s="30"/>
      <c r="HX253" s="30"/>
      <c r="HY253" s="30"/>
      <c r="HZ253" s="30"/>
      <c r="IA253" s="30"/>
      <c r="IB253" s="30"/>
      <c r="IC253" s="30"/>
      <c r="ID253" s="30"/>
      <c r="IE253" s="30"/>
      <c r="IF253" s="30"/>
      <c r="IG253" s="30"/>
      <c r="IH253" s="30"/>
      <c r="II253" s="30"/>
      <c r="IJ253" s="30"/>
      <c r="IK253" s="30"/>
      <c r="IL253" s="30"/>
      <c r="IM253" s="30"/>
      <c r="IN253" s="30"/>
      <c r="IO253" s="30"/>
      <c r="IP253" s="30"/>
      <c r="IQ253" s="30"/>
      <c r="IR253" s="30"/>
      <c r="IS253" s="30"/>
      <c r="IT253" s="30"/>
      <c r="IU253" s="30"/>
      <c r="IV253" s="30"/>
      <c r="IW253" s="30"/>
      <c r="IX253" s="30"/>
      <c r="IY253" s="30"/>
      <c r="IZ253" s="30"/>
      <c r="JA253" s="30"/>
      <c r="JB253" s="30"/>
      <c r="JC253" s="30"/>
      <c r="JD253" s="30"/>
      <c r="JE253" s="30"/>
      <c r="JF253" s="30"/>
      <c r="JG253" s="30"/>
      <c r="JH253" s="30"/>
      <c r="JI253" s="30"/>
      <c r="JJ253" s="30"/>
      <c r="JK253" s="30"/>
      <c r="JL253" s="30"/>
      <c r="JM253" s="30"/>
      <c r="JN253" s="30"/>
      <c r="JO253" s="30"/>
      <c r="JP253" s="30"/>
      <c r="JQ253" s="30"/>
      <c r="JR253" s="30"/>
      <c r="JS253" s="30"/>
      <c r="JT253" s="30"/>
      <c r="JU253" s="30"/>
      <c r="JV253" s="30"/>
      <c r="JW253" s="30"/>
      <c r="JX253" s="30"/>
      <c r="JY253" s="30"/>
      <c r="JZ253" s="30"/>
      <c r="KA253" s="30"/>
      <c r="KB253" s="30"/>
      <c r="KC253" s="30"/>
      <c r="KD253" s="30"/>
      <c r="KE253" s="30"/>
      <c r="KF253" s="30"/>
      <c r="KG253" s="30"/>
      <c r="KH253" s="30"/>
      <c r="KI253" s="30"/>
      <c r="KJ253" s="30"/>
      <c r="KK253" s="30"/>
      <c r="KL253" s="30"/>
      <c r="KM253" s="30"/>
      <c r="KN253" s="30"/>
      <c r="KO253" s="30"/>
      <c r="KP253" s="30"/>
      <c r="KQ253" s="30"/>
      <c r="KR253" s="30"/>
      <c r="KS253" s="30"/>
      <c r="KT253" s="30"/>
      <c r="KU253" s="30"/>
      <c r="KV253" s="30"/>
      <c r="KW253" s="30"/>
      <c r="KX253" s="30"/>
      <c r="KY253" s="30"/>
      <c r="KZ253" s="30"/>
      <c r="LA253" s="30"/>
      <c r="LB253" s="30"/>
      <c r="LC253" s="30"/>
      <c r="LD253" s="30"/>
      <c r="LE253" s="30"/>
      <c r="LF253" s="30"/>
      <c r="LG253" s="30"/>
      <c r="LH253" s="30"/>
      <c r="LI253" s="30"/>
      <c r="LJ253" s="30"/>
      <c r="LK253" s="30"/>
      <c r="LL253" s="30"/>
      <c r="LM253" s="30"/>
      <c r="LN253" s="30"/>
      <c r="LO253" s="30"/>
      <c r="LP253" s="30"/>
      <c r="LQ253" s="30"/>
      <c r="LR253" s="30"/>
      <c r="LS253" s="30"/>
      <c r="LT253" s="30"/>
      <c r="LU253" s="30"/>
      <c r="LV253" s="30"/>
      <c r="LW253" s="30"/>
      <c r="LX253" s="30"/>
      <c r="LY253" s="30"/>
      <c r="LZ253" s="30"/>
      <c r="MA253" s="30"/>
      <c r="MB253" s="30"/>
      <c r="MC253" s="30"/>
      <c r="MD253" s="30"/>
      <c r="ME253" s="30"/>
      <c r="MF253" s="30"/>
      <c r="MG253" s="30"/>
      <c r="MH253" s="30"/>
      <c r="MI253" s="30"/>
      <c r="MJ253" s="30"/>
      <c r="MK253" s="30"/>
      <c r="ML253" s="30"/>
      <c r="MM253" s="30"/>
      <c r="MN253" s="30"/>
      <c r="MO253" s="30"/>
      <c r="MP253" s="30"/>
      <c r="MQ253" s="30"/>
      <c r="MR253" s="30"/>
      <c r="MS253" s="30"/>
      <c r="MT253" s="30"/>
      <c r="MU253" s="30"/>
      <c r="MV253" s="30"/>
      <c r="MW253" s="30"/>
      <c r="MX253" s="30"/>
      <c r="MY253" s="30"/>
      <c r="MZ253" s="30"/>
      <c r="NA253" s="30"/>
      <c r="NB253" s="30"/>
      <c r="NC253" s="30"/>
      <c r="ND253" s="30"/>
      <c r="NE253" s="30"/>
      <c r="NF253" s="30"/>
      <c r="NG253" s="30"/>
      <c r="NH253" s="30"/>
      <c r="NI253" s="30"/>
      <c r="NJ253" s="30"/>
      <c r="NK253" s="30"/>
      <c r="NL253" s="30"/>
      <c r="NM253" s="30"/>
      <c r="NN253" s="30"/>
      <c r="NO253" s="30"/>
      <c r="NP253" s="30"/>
      <c r="NQ253" s="30"/>
      <c r="NR253" s="30"/>
      <c r="NS253" s="30"/>
      <c r="NT253" s="30"/>
      <c r="NU253" s="30"/>
      <c r="NV253" s="30"/>
      <c r="NW253" s="30"/>
      <c r="NX253" s="30"/>
      <c r="NY253" s="30"/>
      <c r="NZ253" s="30"/>
      <c r="OA253" s="30"/>
      <c r="OB253" s="30"/>
      <c r="OC253" s="30"/>
      <c r="OD253" s="30"/>
      <c r="OE253" s="30"/>
      <c r="OF253" s="30"/>
      <c r="OG253" s="30"/>
      <c r="OH253" s="30"/>
      <c r="OI253" s="30"/>
      <c r="OJ253" s="30"/>
      <c r="OK253" s="30"/>
      <c r="OL253" s="30"/>
      <c r="OM253" s="30"/>
      <c r="ON253" s="30"/>
      <c r="OO253" s="30"/>
      <c r="OP253" s="30"/>
      <c r="OQ253" s="30"/>
      <c r="OR253" s="30"/>
      <c r="OS253" s="30"/>
      <c r="OT253" s="30"/>
      <c r="OU253" s="30"/>
      <c r="OV253" s="30"/>
      <c r="OW253" s="30"/>
      <c r="OX253" s="30"/>
      <c r="OY253" s="30"/>
      <c r="OZ253" s="30"/>
      <c r="PA253" s="30"/>
      <c r="PB253" s="30"/>
      <c r="PC253" s="30"/>
      <c r="PD253" s="30"/>
      <c r="PE253" s="30"/>
      <c r="PF253" s="30"/>
      <c r="PG253" s="30"/>
      <c r="PH253" s="30"/>
      <c r="PI253" s="30"/>
      <c r="PJ253" s="30"/>
      <c r="PK253" s="30"/>
      <c r="PL253" s="30"/>
      <c r="PM253" s="30"/>
      <c r="PN253" s="30"/>
      <c r="PO253" s="30"/>
      <c r="PP253" s="30"/>
      <c r="PQ253" s="30"/>
      <c r="PR253" s="30"/>
      <c r="PS253" s="30"/>
      <c r="PT253" s="30"/>
      <c r="PU253" s="30"/>
      <c r="PV253" s="30"/>
      <c r="PW253" s="30"/>
      <c r="PX253" s="30"/>
      <c r="PY253" s="30"/>
      <c r="PZ253" s="30"/>
      <c r="QA253" s="30"/>
      <c r="QB253" s="30"/>
      <c r="QC253" s="30"/>
      <c r="QD253" s="30"/>
      <c r="QE253" s="30"/>
      <c r="QF253" s="30"/>
      <c r="QG253" s="30"/>
      <c r="QH253" s="30"/>
      <c r="QI253" s="30"/>
      <c r="QJ253" s="30"/>
      <c r="QK253" s="30"/>
      <c r="QL253" s="30"/>
      <c r="QM253" s="30"/>
      <c r="QN253" s="30"/>
      <c r="QO253" s="30"/>
      <c r="QP253" s="30"/>
      <c r="QQ253" s="30"/>
      <c r="QR253" s="30"/>
      <c r="QS253" s="30"/>
      <c r="QT253" s="30"/>
      <c r="QU253" s="30"/>
      <c r="QV253" s="30"/>
      <c r="QW253" s="30"/>
      <c r="QX253" s="30"/>
      <c r="QY253" s="30"/>
      <c r="QZ253" s="30"/>
      <c r="RA253" s="30"/>
      <c r="RB253" s="30"/>
      <c r="RC253" s="30"/>
      <c r="RD253" s="30"/>
      <c r="RE253" s="30"/>
      <c r="RF253" s="30"/>
      <c r="RG253" s="30"/>
      <c r="RH253" s="30"/>
      <c r="RI253" s="30"/>
      <c r="RJ253" s="30"/>
      <c r="RK253" s="30"/>
      <c r="RL253" s="30"/>
      <c r="RM253" s="30"/>
      <c r="RN253" s="30"/>
      <c r="RO253" s="30"/>
      <c r="RP253" s="30"/>
      <c r="RQ253" s="30"/>
      <c r="RR253" s="30"/>
      <c r="RS253" s="30"/>
      <c r="RT253" s="30"/>
      <c r="RU253" s="30"/>
      <c r="RV253" s="30"/>
      <c r="RW253" s="30"/>
      <c r="RX253" s="30"/>
      <c r="RY253" s="30"/>
      <c r="RZ253" s="30"/>
      <c r="SA253" s="30"/>
      <c r="SB253" s="30"/>
      <c r="SC253" s="30"/>
      <c r="SD253" s="30"/>
      <c r="SE253" s="30"/>
      <c r="SF253" s="30"/>
      <c r="SG253" s="30"/>
      <c r="SH253" s="30"/>
      <c r="SI253" s="30"/>
      <c r="SJ253" s="30"/>
      <c r="SK253" s="30"/>
      <c r="SL253" s="30"/>
      <c r="SM253" s="30"/>
      <c r="SN253" s="30"/>
      <c r="SO253" s="30"/>
      <c r="SP253" s="30"/>
      <c r="SQ253" s="30"/>
      <c r="SR253" s="30"/>
      <c r="SS253" s="30"/>
      <c r="ST253" s="30"/>
      <c r="SU253" s="30"/>
      <c r="SV253" s="30"/>
      <c r="SW253" s="30"/>
      <c r="SX253" s="30"/>
      <c r="SY253" s="30"/>
      <c r="SZ253" s="30"/>
      <c r="TA253" s="30"/>
      <c r="TB253" s="30"/>
      <c r="TC253" s="30"/>
      <c r="TD253" s="30"/>
      <c r="TE253" s="30"/>
      <c r="TF253" s="30"/>
      <c r="TG253" s="30"/>
    </row>
    <row r="254" spans="1:527" s="24" customFormat="1" ht="15.75" x14ac:dyDescent="0.25">
      <c r="A254" s="84"/>
      <c r="B254" s="111"/>
      <c r="C254" s="84"/>
      <c r="D254" s="85" t="s">
        <v>393</v>
      </c>
      <c r="E254" s="101">
        <f t="shared" si="112"/>
        <v>200000</v>
      </c>
      <c r="F254" s="101">
        <v>200000</v>
      </c>
      <c r="G254" s="101"/>
      <c r="H254" s="101"/>
      <c r="I254" s="101"/>
      <c r="J254" s="101">
        <f t="shared" si="113"/>
        <v>0</v>
      </c>
      <c r="K254" s="101"/>
      <c r="L254" s="101"/>
      <c r="M254" s="101"/>
      <c r="N254" s="101"/>
      <c r="O254" s="101"/>
      <c r="P254" s="101">
        <f t="shared" si="114"/>
        <v>200000</v>
      </c>
      <c r="Q254" s="30"/>
      <c r="R254" s="32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  <c r="FJ254" s="30"/>
      <c r="FK254" s="30"/>
      <c r="FL254" s="30"/>
      <c r="FM254" s="30"/>
      <c r="FN254" s="30"/>
      <c r="FO254" s="30"/>
      <c r="FP254" s="30"/>
      <c r="FQ254" s="30"/>
      <c r="FR254" s="30"/>
      <c r="FS254" s="30"/>
      <c r="FT254" s="30"/>
      <c r="FU254" s="30"/>
      <c r="FV254" s="30"/>
      <c r="FW254" s="30"/>
      <c r="FX254" s="30"/>
      <c r="FY254" s="30"/>
      <c r="FZ254" s="30"/>
      <c r="GA254" s="30"/>
      <c r="GB254" s="30"/>
      <c r="GC254" s="30"/>
      <c r="GD254" s="30"/>
      <c r="GE254" s="30"/>
      <c r="GF254" s="30"/>
      <c r="GG254" s="30"/>
      <c r="GH254" s="30"/>
      <c r="GI254" s="30"/>
      <c r="GJ254" s="30"/>
      <c r="GK254" s="30"/>
      <c r="GL254" s="30"/>
      <c r="GM254" s="30"/>
      <c r="GN254" s="30"/>
      <c r="GO254" s="30"/>
      <c r="GP254" s="30"/>
      <c r="GQ254" s="30"/>
      <c r="GR254" s="30"/>
      <c r="GS254" s="30"/>
      <c r="GT254" s="30"/>
      <c r="GU254" s="30"/>
      <c r="GV254" s="30"/>
      <c r="GW254" s="30"/>
      <c r="GX254" s="30"/>
      <c r="GY254" s="30"/>
      <c r="GZ254" s="30"/>
      <c r="HA254" s="30"/>
      <c r="HB254" s="30"/>
      <c r="HC254" s="30"/>
      <c r="HD254" s="30"/>
      <c r="HE254" s="30"/>
      <c r="HF254" s="30"/>
      <c r="HG254" s="30"/>
      <c r="HH254" s="30"/>
      <c r="HI254" s="30"/>
      <c r="HJ254" s="30"/>
      <c r="HK254" s="30"/>
      <c r="HL254" s="30"/>
      <c r="HM254" s="30"/>
      <c r="HN254" s="30"/>
      <c r="HO254" s="30"/>
      <c r="HP254" s="30"/>
      <c r="HQ254" s="30"/>
      <c r="HR254" s="30"/>
      <c r="HS254" s="30"/>
      <c r="HT254" s="30"/>
      <c r="HU254" s="30"/>
      <c r="HV254" s="30"/>
      <c r="HW254" s="30"/>
      <c r="HX254" s="30"/>
      <c r="HY254" s="30"/>
      <c r="HZ254" s="30"/>
      <c r="IA254" s="30"/>
      <c r="IB254" s="30"/>
      <c r="IC254" s="30"/>
      <c r="ID254" s="30"/>
      <c r="IE254" s="30"/>
      <c r="IF254" s="30"/>
      <c r="IG254" s="30"/>
      <c r="IH254" s="30"/>
      <c r="II254" s="30"/>
      <c r="IJ254" s="30"/>
      <c r="IK254" s="30"/>
      <c r="IL254" s="30"/>
      <c r="IM254" s="30"/>
      <c r="IN254" s="30"/>
      <c r="IO254" s="30"/>
      <c r="IP254" s="30"/>
      <c r="IQ254" s="30"/>
      <c r="IR254" s="30"/>
      <c r="IS254" s="30"/>
      <c r="IT254" s="30"/>
      <c r="IU254" s="30"/>
      <c r="IV254" s="30"/>
      <c r="IW254" s="30"/>
      <c r="IX254" s="30"/>
      <c r="IY254" s="30"/>
      <c r="IZ254" s="30"/>
      <c r="JA254" s="30"/>
      <c r="JB254" s="30"/>
      <c r="JC254" s="30"/>
      <c r="JD254" s="30"/>
      <c r="JE254" s="30"/>
      <c r="JF254" s="30"/>
      <c r="JG254" s="30"/>
      <c r="JH254" s="30"/>
      <c r="JI254" s="30"/>
      <c r="JJ254" s="30"/>
      <c r="JK254" s="30"/>
      <c r="JL254" s="30"/>
      <c r="JM254" s="30"/>
      <c r="JN254" s="30"/>
      <c r="JO254" s="30"/>
      <c r="JP254" s="30"/>
      <c r="JQ254" s="30"/>
      <c r="JR254" s="30"/>
      <c r="JS254" s="30"/>
      <c r="JT254" s="30"/>
      <c r="JU254" s="30"/>
      <c r="JV254" s="30"/>
      <c r="JW254" s="30"/>
      <c r="JX254" s="30"/>
      <c r="JY254" s="30"/>
      <c r="JZ254" s="30"/>
      <c r="KA254" s="30"/>
      <c r="KB254" s="30"/>
      <c r="KC254" s="30"/>
      <c r="KD254" s="30"/>
      <c r="KE254" s="30"/>
      <c r="KF254" s="30"/>
      <c r="KG254" s="30"/>
      <c r="KH254" s="30"/>
      <c r="KI254" s="30"/>
      <c r="KJ254" s="30"/>
      <c r="KK254" s="30"/>
      <c r="KL254" s="30"/>
      <c r="KM254" s="30"/>
      <c r="KN254" s="30"/>
      <c r="KO254" s="30"/>
      <c r="KP254" s="30"/>
      <c r="KQ254" s="30"/>
      <c r="KR254" s="30"/>
      <c r="KS254" s="30"/>
      <c r="KT254" s="30"/>
      <c r="KU254" s="30"/>
      <c r="KV254" s="30"/>
      <c r="KW254" s="30"/>
      <c r="KX254" s="30"/>
      <c r="KY254" s="30"/>
      <c r="KZ254" s="30"/>
      <c r="LA254" s="30"/>
      <c r="LB254" s="30"/>
      <c r="LC254" s="30"/>
      <c r="LD254" s="30"/>
      <c r="LE254" s="30"/>
      <c r="LF254" s="30"/>
      <c r="LG254" s="30"/>
      <c r="LH254" s="30"/>
      <c r="LI254" s="30"/>
      <c r="LJ254" s="30"/>
      <c r="LK254" s="30"/>
      <c r="LL254" s="30"/>
      <c r="LM254" s="30"/>
      <c r="LN254" s="30"/>
      <c r="LO254" s="30"/>
      <c r="LP254" s="30"/>
      <c r="LQ254" s="30"/>
      <c r="LR254" s="30"/>
      <c r="LS254" s="30"/>
      <c r="LT254" s="30"/>
      <c r="LU254" s="30"/>
      <c r="LV254" s="30"/>
      <c r="LW254" s="30"/>
      <c r="LX254" s="30"/>
      <c r="LY254" s="30"/>
      <c r="LZ254" s="30"/>
      <c r="MA254" s="30"/>
      <c r="MB254" s="30"/>
      <c r="MC254" s="30"/>
      <c r="MD254" s="30"/>
      <c r="ME254" s="30"/>
      <c r="MF254" s="30"/>
      <c r="MG254" s="30"/>
      <c r="MH254" s="30"/>
      <c r="MI254" s="30"/>
      <c r="MJ254" s="30"/>
      <c r="MK254" s="30"/>
      <c r="ML254" s="30"/>
      <c r="MM254" s="30"/>
      <c r="MN254" s="30"/>
      <c r="MO254" s="30"/>
      <c r="MP254" s="30"/>
      <c r="MQ254" s="30"/>
      <c r="MR254" s="30"/>
      <c r="MS254" s="30"/>
      <c r="MT254" s="30"/>
      <c r="MU254" s="30"/>
      <c r="MV254" s="30"/>
      <c r="MW254" s="30"/>
      <c r="MX254" s="30"/>
      <c r="MY254" s="30"/>
      <c r="MZ254" s="30"/>
      <c r="NA254" s="30"/>
      <c r="NB254" s="30"/>
      <c r="NC254" s="30"/>
      <c r="ND254" s="30"/>
      <c r="NE254" s="30"/>
      <c r="NF254" s="30"/>
      <c r="NG254" s="30"/>
      <c r="NH254" s="30"/>
      <c r="NI254" s="30"/>
      <c r="NJ254" s="30"/>
      <c r="NK254" s="30"/>
      <c r="NL254" s="30"/>
      <c r="NM254" s="30"/>
      <c r="NN254" s="30"/>
      <c r="NO254" s="30"/>
      <c r="NP254" s="30"/>
      <c r="NQ254" s="30"/>
      <c r="NR254" s="30"/>
      <c r="NS254" s="30"/>
      <c r="NT254" s="30"/>
      <c r="NU254" s="30"/>
      <c r="NV254" s="30"/>
      <c r="NW254" s="30"/>
      <c r="NX254" s="30"/>
      <c r="NY254" s="30"/>
      <c r="NZ254" s="30"/>
      <c r="OA254" s="30"/>
      <c r="OB254" s="30"/>
      <c r="OC254" s="30"/>
      <c r="OD254" s="30"/>
      <c r="OE254" s="30"/>
      <c r="OF254" s="30"/>
      <c r="OG254" s="30"/>
      <c r="OH254" s="30"/>
      <c r="OI254" s="30"/>
      <c r="OJ254" s="30"/>
      <c r="OK254" s="30"/>
      <c r="OL254" s="30"/>
      <c r="OM254" s="30"/>
      <c r="ON254" s="30"/>
      <c r="OO254" s="30"/>
      <c r="OP254" s="30"/>
      <c r="OQ254" s="30"/>
      <c r="OR254" s="30"/>
      <c r="OS254" s="30"/>
      <c r="OT254" s="30"/>
      <c r="OU254" s="30"/>
      <c r="OV254" s="30"/>
      <c r="OW254" s="30"/>
      <c r="OX254" s="30"/>
      <c r="OY254" s="30"/>
      <c r="OZ254" s="30"/>
      <c r="PA254" s="30"/>
      <c r="PB254" s="30"/>
      <c r="PC254" s="30"/>
      <c r="PD254" s="30"/>
      <c r="PE254" s="30"/>
      <c r="PF254" s="30"/>
      <c r="PG254" s="30"/>
      <c r="PH254" s="30"/>
      <c r="PI254" s="30"/>
      <c r="PJ254" s="30"/>
      <c r="PK254" s="30"/>
      <c r="PL254" s="30"/>
      <c r="PM254" s="30"/>
      <c r="PN254" s="30"/>
      <c r="PO254" s="30"/>
      <c r="PP254" s="30"/>
      <c r="PQ254" s="30"/>
      <c r="PR254" s="30"/>
      <c r="PS254" s="30"/>
      <c r="PT254" s="30"/>
      <c r="PU254" s="30"/>
      <c r="PV254" s="30"/>
      <c r="PW254" s="30"/>
      <c r="PX254" s="30"/>
      <c r="PY254" s="30"/>
      <c r="PZ254" s="30"/>
      <c r="QA254" s="30"/>
      <c r="QB254" s="30"/>
      <c r="QC254" s="30"/>
      <c r="QD254" s="30"/>
      <c r="QE254" s="30"/>
      <c r="QF254" s="30"/>
      <c r="QG254" s="30"/>
      <c r="QH254" s="30"/>
      <c r="QI254" s="30"/>
      <c r="QJ254" s="30"/>
      <c r="QK254" s="30"/>
      <c r="QL254" s="30"/>
      <c r="QM254" s="30"/>
      <c r="QN254" s="30"/>
      <c r="QO254" s="30"/>
      <c r="QP254" s="30"/>
      <c r="QQ254" s="30"/>
      <c r="QR254" s="30"/>
      <c r="QS254" s="30"/>
      <c r="QT254" s="30"/>
      <c r="QU254" s="30"/>
      <c r="QV254" s="30"/>
      <c r="QW254" s="30"/>
      <c r="QX254" s="30"/>
      <c r="QY254" s="30"/>
      <c r="QZ254" s="30"/>
      <c r="RA254" s="30"/>
      <c r="RB254" s="30"/>
      <c r="RC254" s="30"/>
      <c r="RD254" s="30"/>
      <c r="RE254" s="30"/>
      <c r="RF254" s="30"/>
      <c r="RG254" s="30"/>
      <c r="RH254" s="30"/>
      <c r="RI254" s="30"/>
      <c r="RJ254" s="30"/>
      <c r="RK254" s="30"/>
      <c r="RL254" s="30"/>
      <c r="RM254" s="30"/>
      <c r="RN254" s="30"/>
      <c r="RO254" s="30"/>
      <c r="RP254" s="30"/>
      <c r="RQ254" s="30"/>
      <c r="RR254" s="30"/>
      <c r="RS254" s="30"/>
      <c r="RT254" s="30"/>
      <c r="RU254" s="30"/>
      <c r="RV254" s="30"/>
      <c r="RW254" s="30"/>
      <c r="RX254" s="30"/>
      <c r="RY254" s="30"/>
      <c r="RZ254" s="30"/>
      <c r="SA254" s="30"/>
      <c r="SB254" s="30"/>
      <c r="SC254" s="30"/>
      <c r="SD254" s="30"/>
      <c r="SE254" s="30"/>
      <c r="SF254" s="30"/>
      <c r="SG254" s="30"/>
      <c r="SH254" s="30"/>
      <c r="SI254" s="30"/>
      <c r="SJ254" s="30"/>
      <c r="SK254" s="30"/>
      <c r="SL254" s="30"/>
      <c r="SM254" s="30"/>
      <c r="SN254" s="30"/>
      <c r="SO254" s="30"/>
      <c r="SP254" s="30"/>
      <c r="SQ254" s="30"/>
      <c r="SR254" s="30"/>
      <c r="SS254" s="30"/>
      <c r="ST254" s="30"/>
      <c r="SU254" s="30"/>
      <c r="SV254" s="30"/>
      <c r="SW254" s="30"/>
      <c r="SX254" s="30"/>
      <c r="SY254" s="30"/>
      <c r="SZ254" s="30"/>
      <c r="TA254" s="30"/>
      <c r="TB254" s="30"/>
      <c r="TC254" s="30"/>
      <c r="TD254" s="30"/>
      <c r="TE254" s="30"/>
      <c r="TF254" s="30"/>
      <c r="TG254" s="30"/>
    </row>
    <row r="255" spans="1:527" s="24" customFormat="1" ht="31.5" hidden="1" x14ac:dyDescent="0.25">
      <c r="A255" s="59" t="s">
        <v>429</v>
      </c>
      <c r="B255" s="93">
        <v>7530</v>
      </c>
      <c r="C255" s="59" t="s">
        <v>236</v>
      </c>
      <c r="D255" s="94" t="s">
        <v>234</v>
      </c>
      <c r="E255" s="99">
        <f t="shared" si="112"/>
        <v>0</v>
      </c>
      <c r="F255" s="99"/>
      <c r="G255" s="101"/>
      <c r="H255" s="101"/>
      <c r="I255" s="101"/>
      <c r="J255" s="99">
        <f t="shared" si="113"/>
        <v>0</v>
      </c>
      <c r="K255" s="99"/>
      <c r="L255" s="99"/>
      <c r="M255" s="99"/>
      <c r="N255" s="99"/>
      <c r="O255" s="99"/>
      <c r="P255" s="99">
        <f t="shared" si="114"/>
        <v>0</v>
      </c>
      <c r="Q255" s="30"/>
      <c r="R255" s="32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30"/>
      <c r="FU255" s="30"/>
      <c r="FV255" s="30"/>
      <c r="FW255" s="30"/>
      <c r="FX255" s="30"/>
      <c r="FY255" s="30"/>
      <c r="FZ255" s="30"/>
      <c r="GA255" s="30"/>
      <c r="GB255" s="30"/>
      <c r="GC255" s="30"/>
      <c r="GD255" s="30"/>
      <c r="GE255" s="30"/>
      <c r="GF255" s="30"/>
      <c r="GG255" s="30"/>
      <c r="GH255" s="30"/>
      <c r="GI255" s="30"/>
      <c r="GJ255" s="30"/>
      <c r="GK255" s="30"/>
      <c r="GL255" s="30"/>
      <c r="GM255" s="30"/>
      <c r="GN255" s="30"/>
      <c r="GO255" s="30"/>
      <c r="GP255" s="30"/>
      <c r="GQ255" s="30"/>
      <c r="GR255" s="30"/>
      <c r="GS255" s="30"/>
      <c r="GT255" s="30"/>
      <c r="GU255" s="30"/>
      <c r="GV255" s="30"/>
      <c r="GW255" s="30"/>
      <c r="GX255" s="30"/>
      <c r="GY255" s="30"/>
      <c r="GZ255" s="30"/>
      <c r="HA255" s="30"/>
      <c r="HB255" s="30"/>
      <c r="HC255" s="30"/>
      <c r="HD255" s="30"/>
      <c r="HE255" s="30"/>
      <c r="HF255" s="30"/>
      <c r="HG255" s="30"/>
      <c r="HH255" s="30"/>
      <c r="HI255" s="30"/>
      <c r="HJ255" s="30"/>
      <c r="HK255" s="30"/>
      <c r="HL255" s="30"/>
      <c r="HM255" s="30"/>
      <c r="HN255" s="30"/>
      <c r="HO255" s="30"/>
      <c r="HP255" s="30"/>
      <c r="HQ255" s="30"/>
      <c r="HR255" s="30"/>
      <c r="HS255" s="30"/>
      <c r="HT255" s="30"/>
      <c r="HU255" s="30"/>
      <c r="HV255" s="30"/>
      <c r="HW255" s="30"/>
      <c r="HX255" s="30"/>
      <c r="HY255" s="30"/>
      <c r="HZ255" s="30"/>
      <c r="IA255" s="30"/>
      <c r="IB255" s="30"/>
      <c r="IC255" s="30"/>
      <c r="ID255" s="30"/>
      <c r="IE255" s="30"/>
      <c r="IF255" s="30"/>
      <c r="IG255" s="30"/>
      <c r="IH255" s="30"/>
      <c r="II255" s="30"/>
      <c r="IJ255" s="30"/>
      <c r="IK255" s="30"/>
      <c r="IL255" s="30"/>
      <c r="IM255" s="30"/>
      <c r="IN255" s="30"/>
      <c r="IO255" s="30"/>
      <c r="IP255" s="30"/>
      <c r="IQ255" s="30"/>
      <c r="IR255" s="30"/>
      <c r="IS255" s="30"/>
      <c r="IT255" s="30"/>
      <c r="IU255" s="30"/>
      <c r="IV255" s="30"/>
      <c r="IW255" s="30"/>
      <c r="IX255" s="30"/>
      <c r="IY255" s="30"/>
      <c r="IZ255" s="30"/>
      <c r="JA255" s="30"/>
      <c r="JB255" s="30"/>
      <c r="JC255" s="30"/>
      <c r="JD255" s="30"/>
      <c r="JE255" s="30"/>
      <c r="JF255" s="30"/>
      <c r="JG255" s="30"/>
      <c r="JH255" s="30"/>
      <c r="JI255" s="30"/>
      <c r="JJ255" s="30"/>
      <c r="JK255" s="30"/>
      <c r="JL255" s="30"/>
      <c r="JM255" s="30"/>
      <c r="JN255" s="30"/>
      <c r="JO255" s="30"/>
      <c r="JP255" s="30"/>
      <c r="JQ255" s="30"/>
      <c r="JR255" s="30"/>
      <c r="JS255" s="30"/>
      <c r="JT255" s="30"/>
      <c r="JU255" s="30"/>
      <c r="JV255" s="30"/>
      <c r="JW255" s="30"/>
      <c r="JX255" s="30"/>
      <c r="JY255" s="30"/>
      <c r="JZ255" s="30"/>
      <c r="KA255" s="30"/>
      <c r="KB255" s="30"/>
      <c r="KC255" s="30"/>
      <c r="KD255" s="30"/>
      <c r="KE255" s="30"/>
      <c r="KF255" s="30"/>
      <c r="KG255" s="30"/>
      <c r="KH255" s="30"/>
      <c r="KI255" s="30"/>
      <c r="KJ255" s="30"/>
      <c r="KK255" s="30"/>
      <c r="KL255" s="30"/>
      <c r="KM255" s="30"/>
      <c r="KN255" s="30"/>
      <c r="KO255" s="30"/>
      <c r="KP255" s="30"/>
      <c r="KQ255" s="30"/>
      <c r="KR255" s="30"/>
      <c r="KS255" s="30"/>
      <c r="KT255" s="30"/>
      <c r="KU255" s="30"/>
      <c r="KV255" s="30"/>
      <c r="KW255" s="30"/>
      <c r="KX255" s="30"/>
      <c r="KY255" s="30"/>
      <c r="KZ255" s="30"/>
      <c r="LA255" s="30"/>
      <c r="LB255" s="30"/>
      <c r="LC255" s="30"/>
      <c r="LD255" s="30"/>
      <c r="LE255" s="30"/>
      <c r="LF255" s="30"/>
      <c r="LG255" s="30"/>
      <c r="LH255" s="30"/>
      <c r="LI255" s="30"/>
      <c r="LJ255" s="30"/>
      <c r="LK255" s="30"/>
      <c r="LL255" s="30"/>
      <c r="LM255" s="30"/>
      <c r="LN255" s="30"/>
      <c r="LO255" s="30"/>
      <c r="LP255" s="30"/>
      <c r="LQ255" s="30"/>
      <c r="LR255" s="30"/>
      <c r="LS255" s="30"/>
      <c r="LT255" s="30"/>
      <c r="LU255" s="30"/>
      <c r="LV255" s="30"/>
      <c r="LW255" s="30"/>
      <c r="LX255" s="30"/>
      <c r="LY255" s="30"/>
      <c r="LZ255" s="30"/>
      <c r="MA255" s="30"/>
      <c r="MB255" s="30"/>
      <c r="MC255" s="30"/>
      <c r="MD255" s="30"/>
      <c r="ME255" s="30"/>
      <c r="MF255" s="30"/>
      <c r="MG255" s="30"/>
      <c r="MH255" s="30"/>
      <c r="MI255" s="30"/>
      <c r="MJ255" s="30"/>
      <c r="MK255" s="30"/>
      <c r="ML255" s="30"/>
      <c r="MM255" s="30"/>
      <c r="MN255" s="30"/>
      <c r="MO255" s="30"/>
      <c r="MP255" s="30"/>
      <c r="MQ255" s="30"/>
      <c r="MR255" s="30"/>
      <c r="MS255" s="30"/>
      <c r="MT255" s="30"/>
      <c r="MU255" s="30"/>
      <c r="MV255" s="30"/>
      <c r="MW255" s="30"/>
      <c r="MX255" s="30"/>
      <c r="MY255" s="30"/>
      <c r="MZ255" s="30"/>
      <c r="NA255" s="30"/>
      <c r="NB255" s="30"/>
      <c r="NC255" s="30"/>
      <c r="ND255" s="30"/>
      <c r="NE255" s="30"/>
      <c r="NF255" s="30"/>
      <c r="NG255" s="30"/>
      <c r="NH255" s="30"/>
      <c r="NI255" s="30"/>
      <c r="NJ255" s="30"/>
      <c r="NK255" s="30"/>
      <c r="NL255" s="30"/>
      <c r="NM255" s="30"/>
      <c r="NN255" s="30"/>
      <c r="NO255" s="30"/>
      <c r="NP255" s="30"/>
      <c r="NQ255" s="30"/>
      <c r="NR255" s="30"/>
      <c r="NS255" s="30"/>
      <c r="NT255" s="30"/>
      <c r="NU255" s="30"/>
      <c r="NV255" s="30"/>
      <c r="NW255" s="30"/>
      <c r="NX255" s="30"/>
      <c r="NY255" s="30"/>
      <c r="NZ255" s="30"/>
      <c r="OA255" s="30"/>
      <c r="OB255" s="30"/>
      <c r="OC255" s="30"/>
      <c r="OD255" s="30"/>
      <c r="OE255" s="30"/>
      <c r="OF255" s="30"/>
      <c r="OG255" s="30"/>
      <c r="OH255" s="30"/>
      <c r="OI255" s="30"/>
      <c r="OJ255" s="30"/>
      <c r="OK255" s="30"/>
      <c r="OL255" s="30"/>
      <c r="OM255" s="30"/>
      <c r="ON255" s="30"/>
      <c r="OO255" s="30"/>
      <c r="OP255" s="30"/>
      <c r="OQ255" s="30"/>
      <c r="OR255" s="30"/>
      <c r="OS255" s="30"/>
      <c r="OT255" s="30"/>
      <c r="OU255" s="30"/>
      <c r="OV255" s="30"/>
      <c r="OW255" s="30"/>
      <c r="OX255" s="30"/>
      <c r="OY255" s="30"/>
      <c r="OZ255" s="30"/>
      <c r="PA255" s="30"/>
      <c r="PB255" s="30"/>
      <c r="PC255" s="30"/>
      <c r="PD255" s="30"/>
      <c r="PE255" s="30"/>
      <c r="PF255" s="30"/>
      <c r="PG255" s="30"/>
      <c r="PH255" s="30"/>
      <c r="PI255" s="30"/>
      <c r="PJ255" s="30"/>
      <c r="PK255" s="30"/>
      <c r="PL255" s="30"/>
      <c r="PM255" s="30"/>
      <c r="PN255" s="30"/>
      <c r="PO255" s="30"/>
      <c r="PP255" s="30"/>
      <c r="PQ255" s="30"/>
      <c r="PR255" s="30"/>
      <c r="PS255" s="30"/>
      <c r="PT255" s="30"/>
      <c r="PU255" s="30"/>
      <c r="PV255" s="30"/>
      <c r="PW255" s="30"/>
      <c r="PX255" s="30"/>
      <c r="PY255" s="30"/>
      <c r="PZ255" s="30"/>
      <c r="QA255" s="30"/>
      <c r="QB255" s="30"/>
      <c r="QC255" s="30"/>
      <c r="QD255" s="30"/>
      <c r="QE255" s="30"/>
      <c r="QF255" s="30"/>
      <c r="QG255" s="30"/>
      <c r="QH255" s="30"/>
      <c r="QI255" s="30"/>
      <c r="QJ255" s="30"/>
      <c r="QK255" s="30"/>
      <c r="QL255" s="30"/>
      <c r="QM255" s="30"/>
      <c r="QN255" s="30"/>
      <c r="QO255" s="30"/>
      <c r="QP255" s="30"/>
      <c r="QQ255" s="30"/>
      <c r="QR255" s="30"/>
      <c r="QS255" s="30"/>
      <c r="QT255" s="30"/>
      <c r="QU255" s="30"/>
      <c r="QV255" s="30"/>
      <c r="QW255" s="30"/>
      <c r="QX255" s="30"/>
      <c r="QY255" s="30"/>
      <c r="QZ255" s="30"/>
      <c r="RA255" s="30"/>
      <c r="RB255" s="30"/>
      <c r="RC255" s="30"/>
      <c r="RD255" s="30"/>
      <c r="RE255" s="30"/>
      <c r="RF255" s="30"/>
      <c r="RG255" s="30"/>
      <c r="RH255" s="30"/>
      <c r="RI255" s="30"/>
      <c r="RJ255" s="30"/>
      <c r="RK255" s="30"/>
      <c r="RL255" s="30"/>
      <c r="RM255" s="30"/>
      <c r="RN255" s="30"/>
      <c r="RO255" s="30"/>
      <c r="RP255" s="30"/>
      <c r="RQ255" s="30"/>
      <c r="RR255" s="30"/>
      <c r="RS255" s="30"/>
      <c r="RT255" s="30"/>
      <c r="RU255" s="30"/>
      <c r="RV255" s="30"/>
      <c r="RW255" s="30"/>
      <c r="RX255" s="30"/>
      <c r="RY255" s="30"/>
      <c r="RZ255" s="30"/>
      <c r="SA255" s="30"/>
      <c r="SB255" s="30"/>
      <c r="SC255" s="30"/>
      <c r="SD255" s="30"/>
      <c r="SE255" s="30"/>
      <c r="SF255" s="30"/>
      <c r="SG255" s="30"/>
      <c r="SH255" s="30"/>
      <c r="SI255" s="30"/>
      <c r="SJ255" s="30"/>
      <c r="SK255" s="30"/>
      <c r="SL255" s="30"/>
      <c r="SM255" s="30"/>
      <c r="SN255" s="30"/>
      <c r="SO255" s="30"/>
      <c r="SP255" s="30"/>
      <c r="SQ255" s="30"/>
      <c r="SR255" s="30"/>
      <c r="SS255" s="30"/>
      <c r="ST255" s="30"/>
      <c r="SU255" s="30"/>
      <c r="SV255" s="30"/>
      <c r="SW255" s="30"/>
      <c r="SX255" s="30"/>
      <c r="SY255" s="30"/>
      <c r="SZ255" s="30"/>
      <c r="TA255" s="30"/>
      <c r="TB255" s="30"/>
      <c r="TC255" s="30"/>
      <c r="TD255" s="30"/>
      <c r="TE255" s="30"/>
      <c r="TF255" s="30"/>
      <c r="TG255" s="30"/>
    </row>
    <row r="256" spans="1:527" s="22" customFormat="1" ht="20.25" customHeight="1" x14ac:dyDescent="0.25">
      <c r="A256" s="59" t="s">
        <v>202</v>
      </c>
      <c r="B256" s="93" t="str">
        <f>'дод 8'!A215</f>
        <v>7640</v>
      </c>
      <c r="C256" s="59" t="str">
        <f>'дод 8'!B215</f>
        <v>0470</v>
      </c>
      <c r="D256" s="60" t="s">
        <v>422</v>
      </c>
      <c r="E256" s="99">
        <f t="shared" si="106"/>
        <v>1997910</v>
      </c>
      <c r="F256" s="99">
        <f>700000-100000</f>
        <v>600000</v>
      </c>
      <c r="G256" s="99"/>
      <c r="H256" s="99"/>
      <c r="I256" s="99">
        <f>1500000+500000-42090-560000</f>
        <v>1397910</v>
      </c>
      <c r="J256" s="99">
        <f t="shared" si="108"/>
        <v>0</v>
      </c>
      <c r="K256" s="99"/>
      <c r="L256" s="99"/>
      <c r="M256" s="99"/>
      <c r="N256" s="99"/>
      <c r="O256" s="99"/>
      <c r="P256" s="99">
        <f t="shared" si="107"/>
        <v>1997910</v>
      </c>
      <c r="Q256" s="23"/>
      <c r="R256" s="32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  <c r="TF256" s="23"/>
      <c r="TG256" s="23"/>
    </row>
    <row r="257" spans="1:527" s="22" customFormat="1" ht="30" customHeight="1" x14ac:dyDescent="0.25">
      <c r="A257" s="59" t="s">
        <v>331</v>
      </c>
      <c r="B257" s="93" t="str">
        <f>'дод 8'!A219</f>
        <v>7670</v>
      </c>
      <c r="C257" s="59" t="str">
        <f>'дод 8'!B219</f>
        <v>0490</v>
      </c>
      <c r="D257" s="60" t="str">
        <f>'дод 8'!C219</f>
        <v>Внески до статутного капіталу суб’єктів господарювання, у т. ч. за рахунок:</v>
      </c>
      <c r="E257" s="99">
        <f t="shared" si="106"/>
        <v>0</v>
      </c>
      <c r="F257" s="99"/>
      <c r="G257" s="99"/>
      <c r="H257" s="99"/>
      <c r="I257" s="99"/>
      <c r="J257" s="99">
        <f t="shared" si="108"/>
        <v>26790000</v>
      </c>
      <c r="K257" s="99">
        <f>46790000-20000000</f>
        <v>26790000</v>
      </c>
      <c r="L257" s="99"/>
      <c r="M257" s="99"/>
      <c r="N257" s="99"/>
      <c r="O257" s="99">
        <f>46790000-20000000</f>
        <v>26790000</v>
      </c>
      <c r="P257" s="99">
        <f t="shared" si="107"/>
        <v>26790000</v>
      </c>
      <c r="Q257" s="23"/>
      <c r="R257" s="32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  <c r="JW257" s="23"/>
      <c r="JX257" s="23"/>
      <c r="JY257" s="23"/>
      <c r="JZ257" s="23"/>
      <c r="KA257" s="23"/>
      <c r="KB257" s="23"/>
      <c r="KC257" s="23"/>
      <c r="KD257" s="23"/>
      <c r="KE257" s="23"/>
      <c r="KF257" s="23"/>
      <c r="KG257" s="23"/>
      <c r="KH257" s="23"/>
      <c r="KI257" s="23"/>
      <c r="KJ257" s="23"/>
      <c r="KK257" s="23"/>
      <c r="KL257" s="23"/>
      <c r="KM257" s="23"/>
      <c r="KN257" s="23"/>
      <c r="KO257" s="23"/>
      <c r="KP257" s="23"/>
      <c r="KQ257" s="23"/>
      <c r="KR257" s="23"/>
      <c r="KS257" s="23"/>
      <c r="KT257" s="23"/>
      <c r="KU257" s="23"/>
      <c r="KV257" s="23"/>
      <c r="KW257" s="23"/>
      <c r="KX257" s="23"/>
      <c r="KY257" s="23"/>
      <c r="KZ257" s="23"/>
      <c r="LA257" s="23"/>
      <c r="LB257" s="23"/>
      <c r="LC257" s="23"/>
      <c r="LD257" s="23"/>
      <c r="LE257" s="23"/>
      <c r="LF257" s="23"/>
      <c r="LG257" s="23"/>
      <c r="LH257" s="23"/>
      <c r="LI257" s="23"/>
      <c r="LJ257" s="23"/>
      <c r="LK257" s="23"/>
      <c r="LL257" s="23"/>
      <c r="LM257" s="23"/>
      <c r="LN257" s="23"/>
      <c r="LO257" s="23"/>
      <c r="LP257" s="23"/>
      <c r="LQ257" s="23"/>
      <c r="LR257" s="23"/>
      <c r="LS257" s="23"/>
      <c r="LT257" s="23"/>
      <c r="LU257" s="23"/>
      <c r="LV257" s="23"/>
      <c r="LW257" s="23"/>
      <c r="LX257" s="23"/>
      <c r="LY257" s="23"/>
      <c r="LZ257" s="23"/>
      <c r="MA257" s="23"/>
      <c r="MB257" s="23"/>
      <c r="MC257" s="23"/>
      <c r="MD257" s="23"/>
      <c r="ME257" s="23"/>
      <c r="MF257" s="23"/>
      <c r="MG257" s="23"/>
      <c r="MH257" s="23"/>
      <c r="MI257" s="23"/>
      <c r="MJ257" s="23"/>
      <c r="MK257" s="23"/>
      <c r="ML257" s="23"/>
      <c r="MM257" s="23"/>
      <c r="MN257" s="23"/>
      <c r="MO257" s="23"/>
      <c r="MP257" s="23"/>
      <c r="MQ257" s="23"/>
      <c r="MR257" s="23"/>
      <c r="MS257" s="23"/>
      <c r="MT257" s="23"/>
      <c r="MU257" s="23"/>
      <c r="MV257" s="23"/>
      <c r="MW257" s="23"/>
      <c r="MX257" s="23"/>
      <c r="MY257" s="23"/>
      <c r="MZ257" s="23"/>
      <c r="NA257" s="23"/>
      <c r="NB257" s="23"/>
      <c r="NC257" s="23"/>
      <c r="ND257" s="23"/>
      <c r="NE257" s="23"/>
      <c r="NF257" s="23"/>
      <c r="NG257" s="23"/>
      <c r="NH257" s="23"/>
      <c r="NI257" s="23"/>
      <c r="NJ257" s="23"/>
      <c r="NK257" s="23"/>
      <c r="NL257" s="23"/>
      <c r="NM257" s="23"/>
      <c r="NN257" s="23"/>
      <c r="NO257" s="23"/>
      <c r="NP257" s="23"/>
      <c r="NQ257" s="23"/>
      <c r="NR257" s="23"/>
      <c r="NS257" s="23"/>
      <c r="NT257" s="23"/>
      <c r="NU257" s="23"/>
      <c r="NV257" s="23"/>
      <c r="NW257" s="23"/>
      <c r="NX257" s="23"/>
      <c r="NY257" s="23"/>
      <c r="NZ257" s="23"/>
      <c r="OA257" s="23"/>
      <c r="OB257" s="23"/>
      <c r="OC257" s="23"/>
      <c r="OD257" s="23"/>
      <c r="OE257" s="23"/>
      <c r="OF257" s="23"/>
      <c r="OG257" s="23"/>
      <c r="OH257" s="23"/>
      <c r="OI257" s="23"/>
      <c r="OJ257" s="23"/>
      <c r="OK257" s="23"/>
      <c r="OL257" s="23"/>
      <c r="OM257" s="23"/>
      <c r="ON257" s="23"/>
      <c r="OO257" s="23"/>
      <c r="OP257" s="23"/>
      <c r="OQ257" s="23"/>
      <c r="OR257" s="23"/>
      <c r="OS257" s="23"/>
      <c r="OT257" s="23"/>
      <c r="OU257" s="23"/>
      <c r="OV257" s="23"/>
      <c r="OW257" s="23"/>
      <c r="OX257" s="23"/>
      <c r="OY257" s="23"/>
      <c r="OZ257" s="23"/>
      <c r="PA257" s="23"/>
      <c r="PB257" s="23"/>
      <c r="PC257" s="23"/>
      <c r="PD257" s="23"/>
      <c r="PE257" s="23"/>
      <c r="PF257" s="23"/>
      <c r="PG257" s="23"/>
      <c r="PH257" s="23"/>
      <c r="PI257" s="23"/>
      <c r="PJ257" s="23"/>
      <c r="PK257" s="23"/>
      <c r="PL257" s="23"/>
      <c r="PM257" s="23"/>
      <c r="PN257" s="23"/>
      <c r="PO257" s="23"/>
      <c r="PP257" s="23"/>
      <c r="PQ257" s="23"/>
      <c r="PR257" s="23"/>
      <c r="PS257" s="23"/>
      <c r="PT257" s="23"/>
      <c r="PU257" s="23"/>
      <c r="PV257" s="23"/>
      <c r="PW257" s="23"/>
      <c r="PX257" s="23"/>
      <c r="PY257" s="23"/>
      <c r="PZ257" s="23"/>
      <c r="QA257" s="23"/>
      <c r="QB257" s="23"/>
      <c r="QC257" s="23"/>
      <c r="QD257" s="23"/>
      <c r="QE257" s="23"/>
      <c r="QF257" s="23"/>
      <c r="QG257" s="23"/>
      <c r="QH257" s="23"/>
      <c r="QI257" s="23"/>
      <c r="QJ257" s="23"/>
      <c r="QK257" s="23"/>
      <c r="QL257" s="23"/>
      <c r="QM257" s="23"/>
      <c r="QN257" s="23"/>
      <c r="QO257" s="23"/>
      <c r="QP257" s="23"/>
      <c r="QQ257" s="23"/>
      <c r="QR257" s="23"/>
      <c r="QS257" s="23"/>
      <c r="QT257" s="23"/>
      <c r="QU257" s="23"/>
      <c r="QV257" s="23"/>
      <c r="QW257" s="23"/>
      <c r="QX257" s="23"/>
      <c r="QY257" s="23"/>
      <c r="QZ257" s="23"/>
      <c r="RA257" s="23"/>
      <c r="RB257" s="23"/>
      <c r="RC257" s="23"/>
      <c r="RD257" s="23"/>
      <c r="RE257" s="23"/>
      <c r="RF257" s="23"/>
      <c r="RG257" s="23"/>
      <c r="RH257" s="23"/>
      <c r="RI257" s="23"/>
      <c r="RJ257" s="23"/>
      <c r="RK257" s="23"/>
      <c r="RL257" s="23"/>
      <c r="RM257" s="23"/>
      <c r="RN257" s="23"/>
      <c r="RO257" s="23"/>
      <c r="RP257" s="23"/>
      <c r="RQ257" s="23"/>
      <c r="RR257" s="23"/>
      <c r="RS257" s="23"/>
      <c r="RT257" s="23"/>
      <c r="RU257" s="23"/>
      <c r="RV257" s="23"/>
      <c r="RW257" s="23"/>
      <c r="RX257" s="23"/>
      <c r="RY257" s="23"/>
      <c r="RZ257" s="23"/>
      <c r="SA257" s="23"/>
      <c r="SB257" s="23"/>
      <c r="SC257" s="23"/>
      <c r="SD257" s="23"/>
      <c r="SE257" s="23"/>
      <c r="SF257" s="23"/>
      <c r="SG257" s="23"/>
      <c r="SH257" s="23"/>
      <c r="SI257" s="23"/>
      <c r="SJ257" s="23"/>
      <c r="SK257" s="23"/>
      <c r="SL257" s="23"/>
      <c r="SM257" s="23"/>
      <c r="SN257" s="23"/>
      <c r="SO257" s="23"/>
      <c r="SP257" s="23"/>
      <c r="SQ257" s="23"/>
      <c r="SR257" s="23"/>
      <c r="SS257" s="23"/>
      <c r="ST257" s="23"/>
      <c r="SU257" s="23"/>
      <c r="SV257" s="23"/>
      <c r="SW257" s="23"/>
      <c r="SX257" s="23"/>
      <c r="SY257" s="23"/>
      <c r="SZ257" s="23"/>
      <c r="TA257" s="23"/>
      <c r="TB257" s="23"/>
      <c r="TC257" s="23"/>
      <c r="TD257" s="23"/>
      <c r="TE257" s="23"/>
      <c r="TF257" s="23"/>
      <c r="TG257" s="23"/>
    </row>
    <row r="258" spans="1:527" s="24" customFormat="1" ht="18.75" customHeight="1" x14ac:dyDescent="0.25">
      <c r="A258" s="84"/>
      <c r="B258" s="111"/>
      <c r="C258" s="111"/>
      <c r="D258" s="85" t="s">
        <v>419</v>
      </c>
      <c r="E258" s="101">
        <f t="shared" si="106"/>
        <v>0</v>
      </c>
      <c r="F258" s="101"/>
      <c r="G258" s="101"/>
      <c r="H258" s="101"/>
      <c r="I258" s="101"/>
      <c r="J258" s="101">
        <f t="shared" si="108"/>
        <v>26250000</v>
      </c>
      <c r="K258" s="101">
        <v>26250000</v>
      </c>
      <c r="L258" s="101"/>
      <c r="M258" s="101"/>
      <c r="N258" s="101"/>
      <c r="O258" s="101">
        <v>26250000</v>
      </c>
      <c r="P258" s="101">
        <f t="shared" si="107"/>
        <v>26250000</v>
      </c>
      <c r="Q258" s="30"/>
      <c r="R258" s="32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30"/>
      <c r="GR258" s="30"/>
      <c r="GS258" s="30"/>
      <c r="GT258" s="30"/>
      <c r="GU258" s="30"/>
      <c r="GV258" s="30"/>
      <c r="GW258" s="30"/>
      <c r="GX258" s="30"/>
      <c r="GY258" s="30"/>
      <c r="GZ258" s="30"/>
      <c r="HA258" s="30"/>
      <c r="HB258" s="30"/>
      <c r="HC258" s="30"/>
      <c r="HD258" s="30"/>
      <c r="HE258" s="30"/>
      <c r="HF258" s="30"/>
      <c r="HG258" s="30"/>
      <c r="HH258" s="30"/>
      <c r="HI258" s="30"/>
      <c r="HJ258" s="30"/>
      <c r="HK258" s="30"/>
      <c r="HL258" s="30"/>
      <c r="HM258" s="30"/>
      <c r="HN258" s="30"/>
      <c r="HO258" s="30"/>
      <c r="HP258" s="30"/>
      <c r="HQ258" s="30"/>
      <c r="HR258" s="30"/>
      <c r="HS258" s="30"/>
      <c r="HT258" s="30"/>
      <c r="HU258" s="30"/>
      <c r="HV258" s="30"/>
      <c r="HW258" s="30"/>
      <c r="HX258" s="30"/>
      <c r="HY258" s="30"/>
      <c r="HZ258" s="30"/>
      <c r="IA258" s="30"/>
      <c r="IB258" s="30"/>
      <c r="IC258" s="30"/>
      <c r="ID258" s="30"/>
      <c r="IE258" s="30"/>
      <c r="IF258" s="30"/>
      <c r="IG258" s="30"/>
      <c r="IH258" s="30"/>
      <c r="II258" s="30"/>
      <c r="IJ258" s="30"/>
      <c r="IK258" s="30"/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  <c r="IW258" s="30"/>
      <c r="IX258" s="30"/>
      <c r="IY258" s="30"/>
      <c r="IZ258" s="30"/>
      <c r="JA258" s="30"/>
      <c r="JB258" s="30"/>
      <c r="JC258" s="30"/>
      <c r="JD258" s="30"/>
      <c r="JE258" s="30"/>
      <c r="JF258" s="30"/>
      <c r="JG258" s="30"/>
      <c r="JH258" s="30"/>
      <c r="JI258" s="30"/>
      <c r="JJ258" s="30"/>
      <c r="JK258" s="30"/>
      <c r="JL258" s="30"/>
      <c r="JM258" s="30"/>
      <c r="JN258" s="30"/>
      <c r="JO258" s="30"/>
      <c r="JP258" s="30"/>
      <c r="JQ258" s="30"/>
      <c r="JR258" s="30"/>
      <c r="JS258" s="30"/>
      <c r="JT258" s="30"/>
      <c r="JU258" s="30"/>
      <c r="JV258" s="30"/>
      <c r="JW258" s="30"/>
      <c r="JX258" s="30"/>
      <c r="JY258" s="30"/>
      <c r="JZ258" s="30"/>
      <c r="KA258" s="30"/>
      <c r="KB258" s="30"/>
      <c r="KC258" s="30"/>
      <c r="KD258" s="30"/>
      <c r="KE258" s="30"/>
      <c r="KF258" s="30"/>
      <c r="KG258" s="30"/>
      <c r="KH258" s="30"/>
      <c r="KI258" s="30"/>
      <c r="KJ258" s="30"/>
      <c r="KK258" s="30"/>
      <c r="KL258" s="30"/>
      <c r="KM258" s="30"/>
      <c r="KN258" s="30"/>
      <c r="KO258" s="30"/>
      <c r="KP258" s="30"/>
      <c r="KQ258" s="30"/>
      <c r="KR258" s="30"/>
      <c r="KS258" s="30"/>
      <c r="KT258" s="30"/>
      <c r="KU258" s="30"/>
      <c r="KV258" s="30"/>
      <c r="KW258" s="30"/>
      <c r="KX258" s="30"/>
      <c r="KY258" s="30"/>
      <c r="KZ258" s="30"/>
      <c r="LA258" s="30"/>
      <c r="LB258" s="30"/>
      <c r="LC258" s="30"/>
      <c r="LD258" s="30"/>
      <c r="LE258" s="30"/>
      <c r="LF258" s="30"/>
      <c r="LG258" s="30"/>
      <c r="LH258" s="30"/>
      <c r="LI258" s="30"/>
      <c r="LJ258" s="30"/>
      <c r="LK258" s="30"/>
      <c r="LL258" s="30"/>
      <c r="LM258" s="30"/>
      <c r="LN258" s="30"/>
      <c r="LO258" s="30"/>
      <c r="LP258" s="30"/>
      <c r="LQ258" s="30"/>
      <c r="LR258" s="30"/>
      <c r="LS258" s="30"/>
      <c r="LT258" s="30"/>
      <c r="LU258" s="30"/>
      <c r="LV258" s="30"/>
      <c r="LW258" s="30"/>
      <c r="LX258" s="30"/>
      <c r="LY258" s="30"/>
      <c r="LZ258" s="30"/>
      <c r="MA258" s="30"/>
      <c r="MB258" s="30"/>
      <c r="MC258" s="30"/>
      <c r="MD258" s="30"/>
      <c r="ME258" s="30"/>
      <c r="MF258" s="30"/>
      <c r="MG258" s="30"/>
      <c r="MH258" s="30"/>
      <c r="MI258" s="30"/>
      <c r="MJ258" s="30"/>
      <c r="MK258" s="30"/>
      <c r="ML258" s="30"/>
      <c r="MM258" s="30"/>
      <c r="MN258" s="30"/>
      <c r="MO258" s="30"/>
      <c r="MP258" s="30"/>
      <c r="MQ258" s="30"/>
      <c r="MR258" s="30"/>
      <c r="MS258" s="30"/>
      <c r="MT258" s="30"/>
      <c r="MU258" s="30"/>
      <c r="MV258" s="30"/>
      <c r="MW258" s="30"/>
      <c r="MX258" s="30"/>
      <c r="MY258" s="30"/>
      <c r="MZ258" s="30"/>
      <c r="NA258" s="30"/>
      <c r="NB258" s="30"/>
      <c r="NC258" s="30"/>
      <c r="ND258" s="30"/>
      <c r="NE258" s="30"/>
      <c r="NF258" s="30"/>
      <c r="NG258" s="30"/>
      <c r="NH258" s="30"/>
      <c r="NI258" s="30"/>
      <c r="NJ258" s="30"/>
      <c r="NK258" s="30"/>
      <c r="NL258" s="30"/>
      <c r="NM258" s="30"/>
      <c r="NN258" s="30"/>
      <c r="NO258" s="30"/>
      <c r="NP258" s="30"/>
      <c r="NQ258" s="30"/>
      <c r="NR258" s="30"/>
      <c r="NS258" s="30"/>
      <c r="NT258" s="30"/>
      <c r="NU258" s="30"/>
      <c r="NV258" s="30"/>
      <c r="NW258" s="30"/>
      <c r="NX258" s="30"/>
      <c r="NY258" s="30"/>
      <c r="NZ258" s="30"/>
      <c r="OA258" s="30"/>
      <c r="OB258" s="30"/>
      <c r="OC258" s="30"/>
      <c r="OD258" s="30"/>
      <c r="OE258" s="30"/>
      <c r="OF258" s="30"/>
      <c r="OG258" s="30"/>
      <c r="OH258" s="30"/>
      <c r="OI258" s="30"/>
      <c r="OJ258" s="30"/>
      <c r="OK258" s="30"/>
      <c r="OL258" s="30"/>
      <c r="OM258" s="30"/>
      <c r="ON258" s="30"/>
      <c r="OO258" s="30"/>
      <c r="OP258" s="30"/>
      <c r="OQ258" s="30"/>
      <c r="OR258" s="30"/>
      <c r="OS258" s="30"/>
      <c r="OT258" s="30"/>
      <c r="OU258" s="30"/>
      <c r="OV258" s="30"/>
      <c r="OW258" s="30"/>
      <c r="OX258" s="30"/>
      <c r="OY258" s="30"/>
      <c r="OZ258" s="30"/>
      <c r="PA258" s="30"/>
      <c r="PB258" s="30"/>
      <c r="PC258" s="30"/>
      <c r="PD258" s="30"/>
      <c r="PE258" s="30"/>
      <c r="PF258" s="30"/>
      <c r="PG258" s="30"/>
      <c r="PH258" s="30"/>
      <c r="PI258" s="30"/>
      <c r="PJ258" s="30"/>
      <c r="PK258" s="30"/>
      <c r="PL258" s="30"/>
      <c r="PM258" s="30"/>
      <c r="PN258" s="30"/>
      <c r="PO258" s="30"/>
      <c r="PP258" s="30"/>
      <c r="PQ258" s="30"/>
      <c r="PR258" s="30"/>
      <c r="PS258" s="30"/>
      <c r="PT258" s="30"/>
      <c r="PU258" s="30"/>
      <c r="PV258" s="30"/>
      <c r="PW258" s="30"/>
      <c r="PX258" s="30"/>
      <c r="PY258" s="30"/>
      <c r="PZ258" s="30"/>
      <c r="QA258" s="30"/>
      <c r="QB258" s="30"/>
      <c r="QC258" s="30"/>
      <c r="QD258" s="30"/>
      <c r="QE258" s="30"/>
      <c r="QF258" s="30"/>
      <c r="QG258" s="30"/>
      <c r="QH258" s="30"/>
      <c r="QI258" s="30"/>
      <c r="QJ258" s="30"/>
      <c r="QK258" s="30"/>
      <c r="QL258" s="30"/>
      <c r="QM258" s="30"/>
      <c r="QN258" s="30"/>
      <c r="QO258" s="30"/>
      <c r="QP258" s="30"/>
      <c r="QQ258" s="30"/>
      <c r="QR258" s="30"/>
      <c r="QS258" s="30"/>
      <c r="QT258" s="30"/>
      <c r="QU258" s="30"/>
      <c r="QV258" s="30"/>
      <c r="QW258" s="30"/>
      <c r="QX258" s="30"/>
      <c r="QY258" s="30"/>
      <c r="QZ258" s="30"/>
      <c r="RA258" s="30"/>
      <c r="RB258" s="30"/>
      <c r="RC258" s="30"/>
      <c r="RD258" s="30"/>
      <c r="RE258" s="30"/>
      <c r="RF258" s="30"/>
      <c r="RG258" s="30"/>
      <c r="RH258" s="30"/>
      <c r="RI258" s="30"/>
      <c r="RJ258" s="30"/>
      <c r="RK258" s="30"/>
      <c r="RL258" s="30"/>
      <c r="RM258" s="30"/>
      <c r="RN258" s="30"/>
      <c r="RO258" s="30"/>
      <c r="RP258" s="30"/>
      <c r="RQ258" s="30"/>
      <c r="RR258" s="30"/>
      <c r="RS258" s="30"/>
      <c r="RT258" s="30"/>
      <c r="RU258" s="30"/>
      <c r="RV258" s="30"/>
      <c r="RW258" s="30"/>
      <c r="RX258" s="30"/>
      <c r="RY258" s="30"/>
      <c r="RZ258" s="30"/>
      <c r="SA258" s="30"/>
      <c r="SB258" s="30"/>
      <c r="SC258" s="30"/>
      <c r="SD258" s="30"/>
      <c r="SE258" s="30"/>
      <c r="SF258" s="30"/>
      <c r="SG258" s="30"/>
      <c r="SH258" s="30"/>
      <c r="SI258" s="30"/>
      <c r="SJ258" s="30"/>
      <c r="SK258" s="30"/>
      <c r="SL258" s="30"/>
      <c r="SM258" s="30"/>
      <c r="SN258" s="30"/>
      <c r="SO258" s="30"/>
      <c r="SP258" s="30"/>
      <c r="SQ258" s="30"/>
      <c r="SR258" s="30"/>
      <c r="SS258" s="30"/>
      <c r="ST258" s="30"/>
      <c r="SU258" s="30"/>
      <c r="SV258" s="30"/>
      <c r="SW258" s="30"/>
      <c r="SX258" s="30"/>
      <c r="SY258" s="30"/>
      <c r="SZ258" s="30"/>
      <c r="TA258" s="30"/>
      <c r="TB258" s="30"/>
      <c r="TC258" s="30"/>
      <c r="TD258" s="30"/>
      <c r="TE258" s="30"/>
      <c r="TF258" s="30"/>
      <c r="TG258" s="30"/>
    </row>
    <row r="259" spans="1:527" s="22" customFormat="1" ht="126" x14ac:dyDescent="0.25">
      <c r="A259" s="103" t="s">
        <v>300</v>
      </c>
      <c r="B259" s="42">
        <v>7691</v>
      </c>
      <c r="C259" s="42" t="s">
        <v>82</v>
      </c>
      <c r="D259" s="36" t="str">
        <f>'дод 8'!C222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59" s="99">
        <f t="shared" si="106"/>
        <v>0</v>
      </c>
      <c r="F259" s="99"/>
      <c r="G259" s="99"/>
      <c r="H259" s="99"/>
      <c r="I259" s="99"/>
      <c r="J259" s="99">
        <f t="shared" si="108"/>
        <v>2205686.5699999998</v>
      </c>
      <c r="K259" s="99"/>
      <c r="L259" s="99">
        <f>169598+128488.57</f>
        <v>298086.57</v>
      </c>
      <c r="M259" s="99"/>
      <c r="N259" s="99"/>
      <c r="O259" s="99">
        <f>1900000+7600</f>
        <v>1907600</v>
      </c>
      <c r="P259" s="99">
        <f t="shared" si="107"/>
        <v>2205686.5699999998</v>
      </c>
      <c r="Q259" s="23"/>
      <c r="R259" s="32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  <c r="IW259" s="23"/>
      <c r="IX259" s="23"/>
      <c r="IY259" s="23"/>
      <c r="IZ259" s="23"/>
      <c r="JA259" s="23"/>
      <c r="JB259" s="23"/>
      <c r="JC259" s="23"/>
      <c r="JD259" s="23"/>
      <c r="JE259" s="23"/>
      <c r="JF259" s="23"/>
      <c r="JG259" s="23"/>
      <c r="JH259" s="23"/>
      <c r="JI259" s="23"/>
      <c r="JJ259" s="23"/>
      <c r="JK259" s="23"/>
      <c r="JL259" s="23"/>
      <c r="JM259" s="23"/>
      <c r="JN259" s="23"/>
      <c r="JO259" s="23"/>
      <c r="JP259" s="23"/>
      <c r="JQ259" s="23"/>
      <c r="JR259" s="23"/>
      <c r="JS259" s="23"/>
      <c r="JT259" s="23"/>
      <c r="JU259" s="23"/>
      <c r="JV259" s="23"/>
      <c r="JW259" s="23"/>
      <c r="JX259" s="23"/>
      <c r="JY259" s="23"/>
      <c r="JZ259" s="23"/>
      <c r="KA259" s="23"/>
      <c r="KB259" s="23"/>
      <c r="KC259" s="23"/>
      <c r="KD259" s="23"/>
      <c r="KE259" s="23"/>
      <c r="KF259" s="23"/>
      <c r="KG259" s="23"/>
      <c r="KH259" s="23"/>
      <c r="KI259" s="23"/>
      <c r="KJ259" s="23"/>
      <c r="KK259" s="23"/>
      <c r="KL259" s="23"/>
      <c r="KM259" s="23"/>
      <c r="KN259" s="23"/>
      <c r="KO259" s="23"/>
      <c r="KP259" s="23"/>
      <c r="KQ259" s="23"/>
      <c r="KR259" s="23"/>
      <c r="KS259" s="23"/>
      <c r="KT259" s="23"/>
      <c r="KU259" s="23"/>
      <c r="KV259" s="23"/>
      <c r="KW259" s="23"/>
      <c r="KX259" s="23"/>
      <c r="KY259" s="23"/>
      <c r="KZ259" s="23"/>
      <c r="LA259" s="23"/>
      <c r="LB259" s="23"/>
      <c r="LC259" s="23"/>
      <c r="LD259" s="23"/>
      <c r="LE259" s="23"/>
      <c r="LF259" s="23"/>
      <c r="LG259" s="23"/>
      <c r="LH259" s="23"/>
      <c r="LI259" s="23"/>
      <c r="LJ259" s="23"/>
      <c r="LK259" s="23"/>
      <c r="LL259" s="23"/>
      <c r="LM259" s="23"/>
      <c r="LN259" s="23"/>
      <c r="LO259" s="23"/>
      <c r="LP259" s="23"/>
      <c r="LQ259" s="23"/>
      <c r="LR259" s="23"/>
      <c r="LS259" s="23"/>
      <c r="LT259" s="23"/>
      <c r="LU259" s="23"/>
      <c r="LV259" s="23"/>
      <c r="LW259" s="23"/>
      <c r="LX259" s="23"/>
      <c r="LY259" s="23"/>
      <c r="LZ259" s="23"/>
      <c r="MA259" s="23"/>
      <c r="MB259" s="23"/>
      <c r="MC259" s="23"/>
      <c r="MD259" s="23"/>
      <c r="ME259" s="23"/>
      <c r="MF259" s="23"/>
      <c r="MG259" s="23"/>
      <c r="MH259" s="23"/>
      <c r="MI259" s="23"/>
      <c r="MJ259" s="23"/>
      <c r="MK259" s="23"/>
      <c r="ML259" s="23"/>
      <c r="MM259" s="23"/>
      <c r="MN259" s="23"/>
      <c r="MO259" s="23"/>
      <c r="MP259" s="23"/>
      <c r="MQ259" s="23"/>
      <c r="MR259" s="23"/>
      <c r="MS259" s="23"/>
      <c r="MT259" s="23"/>
      <c r="MU259" s="23"/>
      <c r="MV259" s="23"/>
      <c r="MW259" s="23"/>
      <c r="MX259" s="23"/>
      <c r="MY259" s="23"/>
      <c r="MZ259" s="23"/>
      <c r="NA259" s="23"/>
      <c r="NB259" s="23"/>
      <c r="NC259" s="23"/>
      <c r="ND259" s="23"/>
      <c r="NE259" s="23"/>
      <c r="NF259" s="23"/>
      <c r="NG259" s="23"/>
      <c r="NH259" s="23"/>
      <c r="NI259" s="23"/>
      <c r="NJ259" s="23"/>
      <c r="NK259" s="23"/>
      <c r="NL259" s="23"/>
      <c r="NM259" s="23"/>
      <c r="NN259" s="23"/>
      <c r="NO259" s="23"/>
      <c r="NP259" s="23"/>
      <c r="NQ259" s="23"/>
      <c r="NR259" s="23"/>
      <c r="NS259" s="23"/>
      <c r="NT259" s="23"/>
      <c r="NU259" s="23"/>
      <c r="NV259" s="23"/>
      <c r="NW259" s="23"/>
      <c r="NX259" s="23"/>
      <c r="NY259" s="23"/>
      <c r="NZ259" s="23"/>
      <c r="OA259" s="23"/>
      <c r="OB259" s="23"/>
      <c r="OC259" s="23"/>
      <c r="OD259" s="23"/>
      <c r="OE259" s="23"/>
      <c r="OF259" s="23"/>
      <c r="OG259" s="23"/>
      <c r="OH259" s="23"/>
      <c r="OI259" s="23"/>
      <c r="OJ259" s="23"/>
      <c r="OK259" s="23"/>
      <c r="OL259" s="23"/>
      <c r="OM259" s="23"/>
      <c r="ON259" s="23"/>
      <c r="OO259" s="23"/>
      <c r="OP259" s="23"/>
      <c r="OQ259" s="23"/>
      <c r="OR259" s="23"/>
      <c r="OS259" s="23"/>
      <c r="OT259" s="23"/>
      <c r="OU259" s="23"/>
      <c r="OV259" s="23"/>
      <c r="OW259" s="23"/>
      <c r="OX259" s="23"/>
      <c r="OY259" s="23"/>
      <c r="OZ259" s="23"/>
      <c r="PA259" s="23"/>
      <c r="PB259" s="23"/>
      <c r="PC259" s="23"/>
      <c r="PD259" s="23"/>
      <c r="PE259" s="23"/>
      <c r="PF259" s="23"/>
      <c r="PG259" s="23"/>
      <c r="PH259" s="23"/>
      <c r="PI259" s="23"/>
      <c r="PJ259" s="23"/>
      <c r="PK259" s="23"/>
      <c r="PL259" s="23"/>
      <c r="PM259" s="23"/>
      <c r="PN259" s="23"/>
      <c r="PO259" s="23"/>
      <c r="PP259" s="23"/>
      <c r="PQ259" s="23"/>
      <c r="PR259" s="23"/>
      <c r="PS259" s="23"/>
      <c r="PT259" s="23"/>
      <c r="PU259" s="23"/>
      <c r="PV259" s="23"/>
      <c r="PW259" s="23"/>
      <c r="PX259" s="23"/>
      <c r="PY259" s="23"/>
      <c r="PZ259" s="23"/>
      <c r="QA259" s="23"/>
      <c r="QB259" s="23"/>
      <c r="QC259" s="23"/>
      <c r="QD259" s="23"/>
      <c r="QE259" s="23"/>
      <c r="QF259" s="23"/>
      <c r="QG259" s="23"/>
      <c r="QH259" s="23"/>
      <c r="QI259" s="23"/>
      <c r="QJ259" s="23"/>
      <c r="QK259" s="23"/>
      <c r="QL259" s="23"/>
      <c r="QM259" s="23"/>
      <c r="QN259" s="23"/>
      <c r="QO259" s="23"/>
      <c r="QP259" s="23"/>
      <c r="QQ259" s="23"/>
      <c r="QR259" s="23"/>
      <c r="QS259" s="23"/>
      <c r="QT259" s="23"/>
      <c r="QU259" s="23"/>
      <c r="QV259" s="23"/>
      <c r="QW259" s="23"/>
      <c r="QX259" s="23"/>
      <c r="QY259" s="23"/>
      <c r="QZ259" s="23"/>
      <c r="RA259" s="23"/>
      <c r="RB259" s="23"/>
      <c r="RC259" s="23"/>
      <c r="RD259" s="23"/>
      <c r="RE259" s="23"/>
      <c r="RF259" s="23"/>
      <c r="RG259" s="23"/>
      <c r="RH259" s="23"/>
      <c r="RI259" s="23"/>
      <c r="RJ259" s="23"/>
      <c r="RK259" s="23"/>
      <c r="RL259" s="23"/>
      <c r="RM259" s="23"/>
      <c r="RN259" s="23"/>
      <c r="RO259" s="23"/>
      <c r="RP259" s="23"/>
      <c r="RQ259" s="23"/>
      <c r="RR259" s="23"/>
      <c r="RS259" s="23"/>
      <c r="RT259" s="23"/>
      <c r="RU259" s="23"/>
      <c r="RV259" s="23"/>
      <c r="RW259" s="23"/>
      <c r="RX259" s="23"/>
      <c r="RY259" s="23"/>
      <c r="RZ259" s="23"/>
      <c r="SA259" s="23"/>
      <c r="SB259" s="23"/>
      <c r="SC259" s="23"/>
      <c r="SD259" s="23"/>
      <c r="SE259" s="23"/>
      <c r="SF259" s="23"/>
      <c r="SG259" s="23"/>
      <c r="SH259" s="23"/>
      <c r="SI259" s="23"/>
      <c r="SJ259" s="23"/>
      <c r="SK259" s="23"/>
      <c r="SL259" s="23"/>
      <c r="SM259" s="23"/>
      <c r="SN259" s="23"/>
      <c r="SO259" s="23"/>
      <c r="SP259" s="23"/>
      <c r="SQ259" s="23"/>
      <c r="SR259" s="23"/>
      <c r="SS259" s="23"/>
      <c r="ST259" s="23"/>
      <c r="SU259" s="23"/>
      <c r="SV259" s="23"/>
      <c r="SW259" s="23"/>
      <c r="SX259" s="23"/>
      <c r="SY259" s="23"/>
      <c r="SZ259" s="23"/>
      <c r="TA259" s="23"/>
      <c r="TB259" s="23"/>
      <c r="TC259" s="23"/>
      <c r="TD259" s="23"/>
      <c r="TE259" s="23"/>
      <c r="TF259" s="23"/>
      <c r="TG259" s="23"/>
    </row>
    <row r="260" spans="1:527" s="22" customFormat="1" ht="31.5" x14ac:dyDescent="0.25">
      <c r="A260" s="103" t="s">
        <v>380</v>
      </c>
      <c r="B260" s="42" t="str">
        <f>'дод 8'!A230</f>
        <v>8110</v>
      </c>
      <c r="C260" s="42" t="str">
        <f>'дод 8'!B230</f>
        <v>0320</v>
      </c>
      <c r="D260" s="104" t="str">
        <f>'дод 8'!C230</f>
        <v>Заходи із запобігання та ліквідації надзвичайних ситуацій та наслідків стихійного лиха</v>
      </c>
      <c r="E260" s="99">
        <f t="shared" ref="E260" si="115">F260+I260</f>
        <v>677493.87</v>
      </c>
      <c r="F260" s="99">
        <v>677493.87</v>
      </c>
      <c r="G260" s="99"/>
      <c r="H260" s="99"/>
      <c r="I260" s="99"/>
      <c r="J260" s="99">
        <f t="shared" ref="J260" si="116">L260+O260</f>
        <v>0</v>
      </c>
      <c r="K260" s="99"/>
      <c r="L260" s="99"/>
      <c r="M260" s="99"/>
      <c r="N260" s="99"/>
      <c r="O260" s="99"/>
      <c r="P260" s="99">
        <f t="shared" ref="P260" si="117">E260+J260</f>
        <v>677493.87</v>
      </c>
      <c r="Q260" s="23"/>
      <c r="R260" s="32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  <c r="IW260" s="23"/>
      <c r="IX260" s="23"/>
      <c r="IY260" s="23"/>
      <c r="IZ260" s="23"/>
      <c r="JA260" s="23"/>
      <c r="JB260" s="23"/>
      <c r="JC260" s="23"/>
      <c r="JD260" s="23"/>
      <c r="JE260" s="23"/>
      <c r="JF260" s="23"/>
      <c r="JG260" s="23"/>
      <c r="JH260" s="23"/>
      <c r="JI260" s="23"/>
      <c r="JJ260" s="23"/>
      <c r="JK260" s="23"/>
      <c r="JL260" s="23"/>
      <c r="JM260" s="23"/>
      <c r="JN260" s="23"/>
      <c r="JO260" s="23"/>
      <c r="JP260" s="23"/>
      <c r="JQ260" s="23"/>
      <c r="JR260" s="23"/>
      <c r="JS260" s="23"/>
      <c r="JT260" s="23"/>
      <c r="JU260" s="23"/>
      <c r="JV260" s="23"/>
      <c r="JW260" s="23"/>
      <c r="JX260" s="23"/>
      <c r="JY260" s="23"/>
      <c r="JZ260" s="23"/>
      <c r="KA260" s="23"/>
      <c r="KB260" s="23"/>
      <c r="KC260" s="23"/>
      <c r="KD260" s="23"/>
      <c r="KE260" s="23"/>
      <c r="KF260" s="23"/>
      <c r="KG260" s="23"/>
      <c r="KH260" s="23"/>
      <c r="KI260" s="23"/>
      <c r="KJ260" s="23"/>
      <c r="KK260" s="23"/>
      <c r="KL260" s="23"/>
      <c r="KM260" s="23"/>
      <c r="KN260" s="23"/>
      <c r="KO260" s="23"/>
      <c r="KP260" s="23"/>
      <c r="KQ260" s="23"/>
      <c r="KR260" s="23"/>
      <c r="KS260" s="23"/>
      <c r="KT260" s="23"/>
      <c r="KU260" s="23"/>
      <c r="KV260" s="23"/>
      <c r="KW260" s="23"/>
      <c r="KX260" s="23"/>
      <c r="KY260" s="23"/>
      <c r="KZ260" s="23"/>
      <c r="LA260" s="23"/>
      <c r="LB260" s="23"/>
      <c r="LC260" s="23"/>
      <c r="LD260" s="23"/>
      <c r="LE260" s="23"/>
      <c r="LF260" s="23"/>
      <c r="LG260" s="23"/>
      <c r="LH260" s="23"/>
      <c r="LI260" s="23"/>
      <c r="LJ260" s="23"/>
      <c r="LK260" s="23"/>
      <c r="LL260" s="23"/>
      <c r="LM260" s="23"/>
      <c r="LN260" s="23"/>
      <c r="LO260" s="23"/>
      <c r="LP260" s="23"/>
      <c r="LQ260" s="23"/>
      <c r="LR260" s="23"/>
      <c r="LS260" s="23"/>
      <c r="LT260" s="23"/>
      <c r="LU260" s="23"/>
      <c r="LV260" s="23"/>
      <c r="LW260" s="23"/>
      <c r="LX260" s="23"/>
      <c r="LY260" s="23"/>
      <c r="LZ260" s="23"/>
      <c r="MA260" s="23"/>
      <c r="MB260" s="23"/>
      <c r="MC260" s="23"/>
      <c r="MD260" s="23"/>
      <c r="ME260" s="23"/>
      <c r="MF260" s="23"/>
      <c r="MG260" s="23"/>
      <c r="MH260" s="23"/>
      <c r="MI260" s="23"/>
      <c r="MJ260" s="23"/>
      <c r="MK260" s="23"/>
      <c r="ML260" s="23"/>
      <c r="MM260" s="23"/>
      <c r="MN260" s="23"/>
      <c r="MO260" s="23"/>
      <c r="MP260" s="23"/>
      <c r="MQ260" s="23"/>
      <c r="MR260" s="23"/>
      <c r="MS260" s="23"/>
      <c r="MT260" s="23"/>
      <c r="MU260" s="23"/>
      <c r="MV260" s="23"/>
      <c r="MW260" s="23"/>
      <c r="MX260" s="23"/>
      <c r="MY260" s="23"/>
      <c r="MZ260" s="23"/>
      <c r="NA260" s="23"/>
      <c r="NB260" s="23"/>
      <c r="NC260" s="23"/>
      <c r="ND260" s="23"/>
      <c r="NE260" s="23"/>
      <c r="NF260" s="23"/>
      <c r="NG260" s="23"/>
      <c r="NH260" s="23"/>
      <c r="NI260" s="23"/>
      <c r="NJ260" s="23"/>
      <c r="NK260" s="23"/>
      <c r="NL260" s="23"/>
      <c r="NM260" s="23"/>
      <c r="NN260" s="23"/>
      <c r="NO260" s="23"/>
      <c r="NP260" s="23"/>
      <c r="NQ260" s="23"/>
      <c r="NR260" s="23"/>
      <c r="NS260" s="23"/>
      <c r="NT260" s="23"/>
      <c r="NU260" s="23"/>
      <c r="NV260" s="23"/>
      <c r="NW260" s="23"/>
      <c r="NX260" s="23"/>
      <c r="NY260" s="23"/>
      <c r="NZ260" s="23"/>
      <c r="OA260" s="23"/>
      <c r="OB260" s="23"/>
      <c r="OC260" s="23"/>
      <c r="OD260" s="23"/>
      <c r="OE260" s="23"/>
      <c r="OF260" s="23"/>
      <c r="OG260" s="23"/>
      <c r="OH260" s="23"/>
      <c r="OI260" s="23"/>
      <c r="OJ260" s="23"/>
      <c r="OK260" s="23"/>
      <c r="OL260" s="23"/>
      <c r="OM260" s="23"/>
      <c r="ON260" s="23"/>
      <c r="OO260" s="23"/>
      <c r="OP260" s="23"/>
      <c r="OQ260" s="23"/>
      <c r="OR260" s="23"/>
      <c r="OS260" s="23"/>
      <c r="OT260" s="23"/>
      <c r="OU260" s="23"/>
      <c r="OV260" s="23"/>
      <c r="OW260" s="23"/>
      <c r="OX260" s="23"/>
      <c r="OY260" s="23"/>
      <c r="OZ260" s="23"/>
      <c r="PA260" s="23"/>
      <c r="PB260" s="23"/>
      <c r="PC260" s="23"/>
      <c r="PD260" s="23"/>
      <c r="PE260" s="23"/>
      <c r="PF260" s="23"/>
      <c r="PG260" s="23"/>
      <c r="PH260" s="23"/>
      <c r="PI260" s="23"/>
      <c r="PJ260" s="23"/>
      <c r="PK260" s="23"/>
      <c r="PL260" s="23"/>
      <c r="PM260" s="23"/>
      <c r="PN260" s="23"/>
      <c r="PO260" s="23"/>
      <c r="PP260" s="23"/>
      <c r="PQ260" s="23"/>
      <c r="PR260" s="23"/>
      <c r="PS260" s="23"/>
      <c r="PT260" s="23"/>
      <c r="PU260" s="23"/>
      <c r="PV260" s="23"/>
      <c r="PW260" s="23"/>
      <c r="PX260" s="23"/>
      <c r="PY260" s="23"/>
      <c r="PZ260" s="23"/>
      <c r="QA260" s="23"/>
      <c r="QB260" s="23"/>
      <c r="QC260" s="23"/>
      <c r="QD260" s="23"/>
      <c r="QE260" s="23"/>
      <c r="QF260" s="23"/>
      <c r="QG260" s="23"/>
      <c r="QH260" s="23"/>
      <c r="QI260" s="23"/>
      <c r="QJ260" s="23"/>
      <c r="QK260" s="23"/>
      <c r="QL260" s="23"/>
      <c r="QM260" s="23"/>
      <c r="QN260" s="23"/>
      <c r="QO260" s="23"/>
      <c r="QP260" s="23"/>
      <c r="QQ260" s="23"/>
      <c r="QR260" s="23"/>
      <c r="QS260" s="23"/>
      <c r="QT260" s="23"/>
      <c r="QU260" s="23"/>
      <c r="QV260" s="23"/>
      <c r="QW260" s="23"/>
      <c r="QX260" s="23"/>
      <c r="QY260" s="23"/>
      <c r="QZ260" s="23"/>
      <c r="RA260" s="23"/>
      <c r="RB260" s="23"/>
      <c r="RC260" s="23"/>
      <c r="RD260" s="23"/>
      <c r="RE260" s="23"/>
      <c r="RF260" s="23"/>
      <c r="RG260" s="23"/>
      <c r="RH260" s="23"/>
      <c r="RI260" s="23"/>
      <c r="RJ260" s="23"/>
      <c r="RK260" s="23"/>
      <c r="RL260" s="23"/>
      <c r="RM260" s="23"/>
      <c r="RN260" s="23"/>
      <c r="RO260" s="23"/>
      <c r="RP260" s="23"/>
      <c r="RQ260" s="23"/>
      <c r="RR260" s="23"/>
      <c r="RS260" s="23"/>
      <c r="RT260" s="23"/>
      <c r="RU260" s="23"/>
      <c r="RV260" s="23"/>
      <c r="RW260" s="23"/>
      <c r="RX260" s="23"/>
      <c r="RY260" s="23"/>
      <c r="RZ260" s="23"/>
      <c r="SA260" s="23"/>
      <c r="SB260" s="23"/>
      <c r="SC260" s="23"/>
      <c r="SD260" s="23"/>
      <c r="SE260" s="23"/>
      <c r="SF260" s="23"/>
      <c r="SG260" s="23"/>
      <c r="SH260" s="23"/>
      <c r="SI260" s="23"/>
      <c r="SJ260" s="23"/>
      <c r="SK260" s="23"/>
      <c r="SL260" s="23"/>
      <c r="SM260" s="23"/>
      <c r="SN260" s="23"/>
      <c r="SO260" s="23"/>
      <c r="SP260" s="23"/>
      <c r="SQ260" s="23"/>
      <c r="SR260" s="23"/>
      <c r="SS260" s="23"/>
      <c r="ST260" s="23"/>
      <c r="SU260" s="23"/>
      <c r="SV260" s="23"/>
      <c r="SW260" s="23"/>
      <c r="SX260" s="23"/>
      <c r="SY260" s="23"/>
      <c r="SZ260" s="23"/>
      <c r="TA260" s="23"/>
      <c r="TB260" s="23"/>
      <c r="TC260" s="23"/>
      <c r="TD260" s="23"/>
      <c r="TE260" s="23"/>
      <c r="TF260" s="23"/>
      <c r="TG260" s="23"/>
    </row>
    <row r="261" spans="1:527" s="22" customFormat="1" ht="15.75" hidden="1" customHeight="1" x14ac:dyDescent="0.25">
      <c r="A261" s="103" t="s">
        <v>379</v>
      </c>
      <c r="B261" s="42" t="str">
        <f>'дод 8'!A234</f>
        <v>8230</v>
      </c>
      <c r="C261" s="42" t="str">
        <f>'дод 8'!B234</f>
        <v>0380</v>
      </c>
      <c r="D261" s="104" t="str">
        <f>'дод 8'!C234</f>
        <v>Інші заходи громадського порядку та безпеки</v>
      </c>
      <c r="E261" s="99">
        <f t="shared" ref="E261" si="118">F261+I261</f>
        <v>0</v>
      </c>
      <c r="F261" s="99"/>
      <c r="G261" s="99"/>
      <c r="H261" s="99"/>
      <c r="I261" s="99"/>
      <c r="J261" s="99">
        <f t="shared" ref="J261" si="119">L261+O261</f>
        <v>0</v>
      </c>
      <c r="K261" s="99"/>
      <c r="L261" s="99"/>
      <c r="M261" s="99"/>
      <c r="N261" s="99"/>
      <c r="O261" s="99"/>
      <c r="P261" s="99">
        <f t="shared" ref="P261" si="120">E261+J261</f>
        <v>0</v>
      </c>
      <c r="Q261" s="23"/>
      <c r="R261" s="32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  <c r="GT261" s="23"/>
      <c r="GU261" s="23"/>
      <c r="GV261" s="23"/>
      <c r="GW261" s="23"/>
      <c r="GX261" s="23"/>
      <c r="GY261" s="23"/>
      <c r="GZ261" s="23"/>
      <c r="HA261" s="23"/>
      <c r="HB261" s="23"/>
      <c r="HC261" s="23"/>
      <c r="HD261" s="23"/>
      <c r="HE261" s="23"/>
      <c r="HF261" s="23"/>
      <c r="HG261" s="23"/>
      <c r="HH261" s="23"/>
      <c r="HI261" s="23"/>
      <c r="HJ261" s="23"/>
      <c r="HK261" s="23"/>
      <c r="HL261" s="23"/>
      <c r="HM261" s="23"/>
      <c r="HN261" s="23"/>
      <c r="HO261" s="23"/>
      <c r="HP261" s="23"/>
      <c r="HQ261" s="23"/>
      <c r="HR261" s="23"/>
      <c r="HS261" s="23"/>
      <c r="HT261" s="23"/>
      <c r="HU261" s="23"/>
      <c r="HV261" s="23"/>
      <c r="HW261" s="23"/>
      <c r="HX261" s="23"/>
      <c r="HY261" s="23"/>
      <c r="HZ261" s="23"/>
      <c r="IA261" s="23"/>
      <c r="IB261" s="23"/>
      <c r="IC261" s="23"/>
      <c r="ID261" s="23"/>
      <c r="IE261" s="23"/>
      <c r="IF261" s="23"/>
      <c r="IG261" s="23"/>
      <c r="IH261" s="23"/>
      <c r="II261" s="23"/>
      <c r="IJ261" s="23"/>
      <c r="IK261" s="23"/>
      <c r="IL261" s="23"/>
      <c r="IM261" s="23"/>
      <c r="IN261" s="23"/>
      <c r="IO261" s="23"/>
      <c r="IP261" s="23"/>
      <c r="IQ261" s="23"/>
      <c r="IR261" s="23"/>
      <c r="IS261" s="23"/>
      <c r="IT261" s="23"/>
      <c r="IU261" s="23"/>
      <c r="IV261" s="23"/>
      <c r="IW261" s="23"/>
      <c r="IX261" s="23"/>
      <c r="IY261" s="23"/>
      <c r="IZ261" s="23"/>
      <c r="JA261" s="23"/>
      <c r="JB261" s="23"/>
      <c r="JC261" s="23"/>
      <c r="JD261" s="23"/>
      <c r="JE261" s="23"/>
      <c r="JF261" s="23"/>
      <c r="JG261" s="23"/>
      <c r="JH261" s="23"/>
      <c r="JI261" s="23"/>
      <c r="JJ261" s="23"/>
      <c r="JK261" s="23"/>
      <c r="JL261" s="23"/>
      <c r="JM261" s="23"/>
      <c r="JN261" s="23"/>
      <c r="JO261" s="23"/>
      <c r="JP261" s="23"/>
      <c r="JQ261" s="23"/>
      <c r="JR261" s="23"/>
      <c r="JS261" s="23"/>
      <c r="JT261" s="23"/>
      <c r="JU261" s="23"/>
      <c r="JV261" s="23"/>
      <c r="JW261" s="23"/>
      <c r="JX261" s="23"/>
      <c r="JY261" s="23"/>
      <c r="JZ261" s="23"/>
      <c r="KA261" s="23"/>
      <c r="KB261" s="23"/>
      <c r="KC261" s="23"/>
      <c r="KD261" s="23"/>
      <c r="KE261" s="23"/>
      <c r="KF261" s="23"/>
      <c r="KG261" s="23"/>
      <c r="KH261" s="23"/>
      <c r="KI261" s="23"/>
      <c r="KJ261" s="23"/>
      <c r="KK261" s="23"/>
      <c r="KL261" s="23"/>
      <c r="KM261" s="23"/>
      <c r="KN261" s="23"/>
      <c r="KO261" s="23"/>
      <c r="KP261" s="23"/>
      <c r="KQ261" s="23"/>
      <c r="KR261" s="23"/>
      <c r="KS261" s="23"/>
      <c r="KT261" s="23"/>
      <c r="KU261" s="23"/>
      <c r="KV261" s="23"/>
      <c r="KW261" s="23"/>
      <c r="KX261" s="23"/>
      <c r="KY261" s="23"/>
      <c r="KZ261" s="23"/>
      <c r="LA261" s="23"/>
      <c r="LB261" s="23"/>
      <c r="LC261" s="23"/>
      <c r="LD261" s="23"/>
      <c r="LE261" s="23"/>
      <c r="LF261" s="23"/>
      <c r="LG261" s="23"/>
      <c r="LH261" s="23"/>
      <c r="LI261" s="23"/>
      <c r="LJ261" s="23"/>
      <c r="LK261" s="23"/>
      <c r="LL261" s="23"/>
      <c r="LM261" s="23"/>
      <c r="LN261" s="23"/>
      <c r="LO261" s="23"/>
      <c r="LP261" s="23"/>
      <c r="LQ261" s="23"/>
      <c r="LR261" s="23"/>
      <c r="LS261" s="23"/>
      <c r="LT261" s="23"/>
      <c r="LU261" s="23"/>
      <c r="LV261" s="23"/>
      <c r="LW261" s="23"/>
      <c r="LX261" s="23"/>
      <c r="LY261" s="23"/>
      <c r="LZ261" s="23"/>
      <c r="MA261" s="23"/>
      <c r="MB261" s="23"/>
      <c r="MC261" s="23"/>
      <c r="MD261" s="23"/>
      <c r="ME261" s="23"/>
      <c r="MF261" s="23"/>
      <c r="MG261" s="23"/>
      <c r="MH261" s="23"/>
      <c r="MI261" s="23"/>
      <c r="MJ261" s="23"/>
      <c r="MK261" s="23"/>
      <c r="ML261" s="23"/>
      <c r="MM261" s="23"/>
      <c r="MN261" s="23"/>
      <c r="MO261" s="23"/>
      <c r="MP261" s="23"/>
      <c r="MQ261" s="23"/>
      <c r="MR261" s="23"/>
      <c r="MS261" s="23"/>
      <c r="MT261" s="23"/>
      <c r="MU261" s="23"/>
      <c r="MV261" s="23"/>
      <c r="MW261" s="23"/>
      <c r="MX261" s="23"/>
      <c r="MY261" s="23"/>
      <c r="MZ261" s="23"/>
      <c r="NA261" s="23"/>
      <c r="NB261" s="23"/>
      <c r="NC261" s="23"/>
      <c r="ND261" s="23"/>
      <c r="NE261" s="23"/>
      <c r="NF261" s="23"/>
      <c r="NG261" s="23"/>
      <c r="NH261" s="23"/>
      <c r="NI261" s="23"/>
      <c r="NJ261" s="23"/>
      <c r="NK261" s="23"/>
      <c r="NL261" s="23"/>
      <c r="NM261" s="23"/>
      <c r="NN261" s="23"/>
      <c r="NO261" s="23"/>
      <c r="NP261" s="23"/>
      <c r="NQ261" s="23"/>
      <c r="NR261" s="23"/>
      <c r="NS261" s="23"/>
      <c r="NT261" s="23"/>
      <c r="NU261" s="23"/>
      <c r="NV261" s="23"/>
      <c r="NW261" s="23"/>
      <c r="NX261" s="23"/>
      <c r="NY261" s="23"/>
      <c r="NZ261" s="23"/>
      <c r="OA261" s="23"/>
      <c r="OB261" s="23"/>
      <c r="OC261" s="23"/>
      <c r="OD261" s="23"/>
      <c r="OE261" s="23"/>
      <c r="OF261" s="23"/>
      <c r="OG261" s="23"/>
      <c r="OH261" s="23"/>
      <c r="OI261" s="23"/>
      <c r="OJ261" s="23"/>
      <c r="OK261" s="23"/>
      <c r="OL261" s="23"/>
      <c r="OM261" s="23"/>
      <c r="ON261" s="23"/>
      <c r="OO261" s="23"/>
      <c r="OP261" s="23"/>
      <c r="OQ261" s="23"/>
      <c r="OR261" s="23"/>
      <c r="OS261" s="23"/>
      <c r="OT261" s="23"/>
      <c r="OU261" s="23"/>
      <c r="OV261" s="23"/>
      <c r="OW261" s="23"/>
      <c r="OX261" s="23"/>
      <c r="OY261" s="23"/>
      <c r="OZ261" s="23"/>
      <c r="PA261" s="23"/>
      <c r="PB261" s="23"/>
      <c r="PC261" s="23"/>
      <c r="PD261" s="23"/>
      <c r="PE261" s="23"/>
      <c r="PF261" s="23"/>
      <c r="PG261" s="23"/>
      <c r="PH261" s="23"/>
      <c r="PI261" s="23"/>
      <c r="PJ261" s="23"/>
      <c r="PK261" s="23"/>
      <c r="PL261" s="23"/>
      <c r="PM261" s="23"/>
      <c r="PN261" s="23"/>
      <c r="PO261" s="23"/>
      <c r="PP261" s="23"/>
      <c r="PQ261" s="23"/>
      <c r="PR261" s="23"/>
      <c r="PS261" s="23"/>
      <c r="PT261" s="23"/>
      <c r="PU261" s="23"/>
      <c r="PV261" s="23"/>
      <c r="PW261" s="23"/>
      <c r="PX261" s="23"/>
      <c r="PY261" s="23"/>
      <c r="PZ261" s="23"/>
      <c r="QA261" s="23"/>
      <c r="QB261" s="23"/>
      <c r="QC261" s="23"/>
      <c r="QD261" s="23"/>
      <c r="QE261" s="23"/>
      <c r="QF261" s="23"/>
      <c r="QG261" s="23"/>
      <c r="QH261" s="23"/>
      <c r="QI261" s="23"/>
      <c r="QJ261" s="23"/>
      <c r="QK261" s="23"/>
      <c r="QL261" s="23"/>
      <c r="QM261" s="23"/>
      <c r="QN261" s="23"/>
      <c r="QO261" s="23"/>
      <c r="QP261" s="23"/>
      <c r="QQ261" s="23"/>
      <c r="QR261" s="23"/>
      <c r="QS261" s="23"/>
      <c r="QT261" s="23"/>
      <c r="QU261" s="23"/>
      <c r="QV261" s="23"/>
      <c r="QW261" s="23"/>
      <c r="QX261" s="23"/>
      <c r="QY261" s="23"/>
      <c r="QZ261" s="23"/>
      <c r="RA261" s="23"/>
      <c r="RB261" s="23"/>
      <c r="RC261" s="23"/>
      <c r="RD261" s="23"/>
      <c r="RE261" s="23"/>
      <c r="RF261" s="23"/>
      <c r="RG261" s="23"/>
      <c r="RH261" s="23"/>
      <c r="RI261" s="23"/>
      <c r="RJ261" s="23"/>
      <c r="RK261" s="23"/>
      <c r="RL261" s="23"/>
      <c r="RM261" s="23"/>
      <c r="RN261" s="23"/>
      <c r="RO261" s="23"/>
      <c r="RP261" s="23"/>
      <c r="RQ261" s="23"/>
      <c r="RR261" s="23"/>
      <c r="RS261" s="23"/>
      <c r="RT261" s="23"/>
      <c r="RU261" s="23"/>
      <c r="RV261" s="23"/>
      <c r="RW261" s="23"/>
      <c r="RX261" s="23"/>
      <c r="RY261" s="23"/>
      <c r="RZ261" s="23"/>
      <c r="SA261" s="23"/>
      <c r="SB261" s="23"/>
      <c r="SC261" s="23"/>
      <c r="SD261" s="23"/>
      <c r="SE261" s="23"/>
      <c r="SF261" s="23"/>
      <c r="SG261" s="23"/>
      <c r="SH261" s="23"/>
      <c r="SI261" s="23"/>
      <c r="SJ261" s="23"/>
      <c r="SK261" s="23"/>
      <c r="SL261" s="23"/>
      <c r="SM261" s="23"/>
      <c r="SN261" s="23"/>
      <c r="SO261" s="23"/>
      <c r="SP261" s="23"/>
      <c r="SQ261" s="23"/>
      <c r="SR261" s="23"/>
      <c r="SS261" s="23"/>
      <c r="ST261" s="23"/>
      <c r="SU261" s="23"/>
      <c r="SV261" s="23"/>
      <c r="SW261" s="23"/>
      <c r="SX261" s="23"/>
      <c r="SY261" s="23"/>
      <c r="SZ261" s="23"/>
      <c r="TA261" s="23"/>
      <c r="TB261" s="23"/>
      <c r="TC261" s="23"/>
      <c r="TD261" s="23"/>
      <c r="TE261" s="23"/>
      <c r="TF261" s="23"/>
      <c r="TG261" s="23"/>
    </row>
    <row r="262" spans="1:527" s="22" customFormat="1" ht="35.25" customHeight="1" x14ac:dyDescent="0.25">
      <c r="A262" s="59" t="s">
        <v>203</v>
      </c>
      <c r="B262" s="93" t="str">
        <f>'дод 8'!A237</f>
        <v>8340</v>
      </c>
      <c r="C262" s="93" t="str">
        <f>'дод 8'!B237</f>
        <v>0540</v>
      </c>
      <c r="D262" s="60" t="str">
        <f>'дод 8'!C237</f>
        <v>Природоохоронні заходи за рахунок цільових фондів</v>
      </c>
      <c r="E262" s="99">
        <f t="shared" si="106"/>
        <v>0</v>
      </c>
      <c r="F262" s="99"/>
      <c r="G262" s="99"/>
      <c r="H262" s="99"/>
      <c r="I262" s="99"/>
      <c r="J262" s="99">
        <f t="shared" si="108"/>
        <v>2949600</v>
      </c>
      <c r="K262" s="99"/>
      <c r="L262" s="99">
        <f>1442000+186000+21600</f>
        <v>1649600</v>
      </c>
      <c r="M262" s="99"/>
      <c r="N262" s="99"/>
      <c r="O262" s="99">
        <v>1300000</v>
      </c>
      <c r="P262" s="99">
        <f t="shared" si="107"/>
        <v>2949600</v>
      </c>
      <c r="Q262" s="23"/>
      <c r="R262" s="32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  <c r="IW262" s="23"/>
      <c r="IX262" s="23"/>
      <c r="IY262" s="23"/>
      <c r="IZ262" s="23"/>
      <c r="JA262" s="23"/>
      <c r="JB262" s="23"/>
      <c r="JC262" s="23"/>
      <c r="JD262" s="23"/>
      <c r="JE262" s="23"/>
      <c r="JF262" s="23"/>
      <c r="JG262" s="23"/>
      <c r="JH262" s="23"/>
      <c r="JI262" s="23"/>
      <c r="JJ262" s="23"/>
      <c r="JK262" s="23"/>
      <c r="JL262" s="23"/>
      <c r="JM262" s="23"/>
      <c r="JN262" s="23"/>
      <c r="JO262" s="23"/>
      <c r="JP262" s="23"/>
      <c r="JQ262" s="23"/>
      <c r="JR262" s="23"/>
      <c r="JS262" s="23"/>
      <c r="JT262" s="23"/>
      <c r="JU262" s="23"/>
      <c r="JV262" s="23"/>
      <c r="JW262" s="23"/>
      <c r="JX262" s="23"/>
      <c r="JY262" s="23"/>
      <c r="JZ262" s="23"/>
      <c r="KA262" s="23"/>
      <c r="KB262" s="23"/>
      <c r="KC262" s="23"/>
      <c r="KD262" s="23"/>
      <c r="KE262" s="23"/>
      <c r="KF262" s="23"/>
      <c r="KG262" s="23"/>
      <c r="KH262" s="23"/>
      <c r="KI262" s="23"/>
      <c r="KJ262" s="23"/>
      <c r="KK262" s="23"/>
      <c r="KL262" s="23"/>
      <c r="KM262" s="23"/>
      <c r="KN262" s="23"/>
      <c r="KO262" s="23"/>
      <c r="KP262" s="23"/>
      <c r="KQ262" s="23"/>
      <c r="KR262" s="23"/>
      <c r="KS262" s="23"/>
      <c r="KT262" s="23"/>
      <c r="KU262" s="23"/>
      <c r="KV262" s="23"/>
      <c r="KW262" s="23"/>
      <c r="KX262" s="23"/>
      <c r="KY262" s="23"/>
      <c r="KZ262" s="23"/>
      <c r="LA262" s="23"/>
      <c r="LB262" s="23"/>
      <c r="LC262" s="23"/>
      <c r="LD262" s="23"/>
      <c r="LE262" s="23"/>
      <c r="LF262" s="23"/>
      <c r="LG262" s="23"/>
      <c r="LH262" s="23"/>
      <c r="LI262" s="23"/>
      <c r="LJ262" s="23"/>
      <c r="LK262" s="23"/>
      <c r="LL262" s="23"/>
      <c r="LM262" s="23"/>
      <c r="LN262" s="23"/>
      <c r="LO262" s="23"/>
      <c r="LP262" s="23"/>
      <c r="LQ262" s="23"/>
      <c r="LR262" s="23"/>
      <c r="LS262" s="23"/>
      <c r="LT262" s="23"/>
      <c r="LU262" s="23"/>
      <c r="LV262" s="23"/>
      <c r="LW262" s="23"/>
      <c r="LX262" s="23"/>
      <c r="LY262" s="23"/>
      <c r="LZ262" s="23"/>
      <c r="MA262" s="23"/>
      <c r="MB262" s="23"/>
      <c r="MC262" s="23"/>
      <c r="MD262" s="23"/>
      <c r="ME262" s="23"/>
      <c r="MF262" s="23"/>
      <c r="MG262" s="23"/>
      <c r="MH262" s="23"/>
      <c r="MI262" s="23"/>
      <c r="MJ262" s="23"/>
      <c r="MK262" s="23"/>
      <c r="ML262" s="23"/>
      <c r="MM262" s="23"/>
      <c r="MN262" s="23"/>
      <c r="MO262" s="23"/>
      <c r="MP262" s="23"/>
      <c r="MQ262" s="23"/>
      <c r="MR262" s="23"/>
      <c r="MS262" s="23"/>
      <c r="MT262" s="23"/>
      <c r="MU262" s="23"/>
      <c r="MV262" s="23"/>
      <c r="MW262" s="23"/>
      <c r="MX262" s="23"/>
      <c r="MY262" s="23"/>
      <c r="MZ262" s="23"/>
      <c r="NA262" s="23"/>
      <c r="NB262" s="23"/>
      <c r="NC262" s="23"/>
      <c r="ND262" s="23"/>
      <c r="NE262" s="23"/>
      <c r="NF262" s="23"/>
      <c r="NG262" s="23"/>
      <c r="NH262" s="23"/>
      <c r="NI262" s="23"/>
      <c r="NJ262" s="23"/>
      <c r="NK262" s="23"/>
      <c r="NL262" s="23"/>
      <c r="NM262" s="23"/>
      <c r="NN262" s="23"/>
      <c r="NO262" s="23"/>
      <c r="NP262" s="23"/>
      <c r="NQ262" s="23"/>
      <c r="NR262" s="23"/>
      <c r="NS262" s="23"/>
      <c r="NT262" s="23"/>
      <c r="NU262" s="23"/>
      <c r="NV262" s="23"/>
      <c r="NW262" s="23"/>
      <c r="NX262" s="23"/>
      <c r="NY262" s="23"/>
      <c r="NZ262" s="23"/>
      <c r="OA262" s="23"/>
      <c r="OB262" s="23"/>
      <c r="OC262" s="23"/>
      <c r="OD262" s="23"/>
      <c r="OE262" s="23"/>
      <c r="OF262" s="23"/>
      <c r="OG262" s="23"/>
      <c r="OH262" s="23"/>
      <c r="OI262" s="23"/>
      <c r="OJ262" s="23"/>
      <c r="OK262" s="23"/>
      <c r="OL262" s="23"/>
      <c r="OM262" s="23"/>
      <c r="ON262" s="23"/>
      <c r="OO262" s="23"/>
      <c r="OP262" s="23"/>
      <c r="OQ262" s="23"/>
      <c r="OR262" s="23"/>
      <c r="OS262" s="23"/>
      <c r="OT262" s="23"/>
      <c r="OU262" s="23"/>
      <c r="OV262" s="23"/>
      <c r="OW262" s="23"/>
      <c r="OX262" s="23"/>
      <c r="OY262" s="23"/>
      <c r="OZ262" s="23"/>
      <c r="PA262" s="23"/>
      <c r="PB262" s="23"/>
      <c r="PC262" s="23"/>
      <c r="PD262" s="23"/>
      <c r="PE262" s="23"/>
      <c r="PF262" s="23"/>
      <c r="PG262" s="23"/>
      <c r="PH262" s="23"/>
      <c r="PI262" s="23"/>
      <c r="PJ262" s="23"/>
      <c r="PK262" s="23"/>
      <c r="PL262" s="23"/>
      <c r="PM262" s="23"/>
      <c r="PN262" s="23"/>
      <c r="PO262" s="23"/>
      <c r="PP262" s="23"/>
      <c r="PQ262" s="23"/>
      <c r="PR262" s="23"/>
      <c r="PS262" s="23"/>
      <c r="PT262" s="23"/>
      <c r="PU262" s="23"/>
      <c r="PV262" s="23"/>
      <c r="PW262" s="23"/>
      <c r="PX262" s="23"/>
      <c r="PY262" s="23"/>
      <c r="PZ262" s="23"/>
      <c r="QA262" s="23"/>
      <c r="QB262" s="23"/>
      <c r="QC262" s="23"/>
      <c r="QD262" s="23"/>
      <c r="QE262" s="23"/>
      <c r="QF262" s="23"/>
      <c r="QG262" s="23"/>
      <c r="QH262" s="23"/>
      <c r="QI262" s="23"/>
      <c r="QJ262" s="23"/>
      <c r="QK262" s="23"/>
      <c r="QL262" s="23"/>
      <c r="QM262" s="23"/>
      <c r="QN262" s="23"/>
      <c r="QO262" s="23"/>
      <c r="QP262" s="23"/>
      <c r="QQ262" s="23"/>
      <c r="QR262" s="23"/>
      <c r="QS262" s="23"/>
      <c r="QT262" s="23"/>
      <c r="QU262" s="23"/>
      <c r="QV262" s="23"/>
      <c r="QW262" s="23"/>
      <c r="QX262" s="23"/>
      <c r="QY262" s="23"/>
      <c r="QZ262" s="23"/>
      <c r="RA262" s="23"/>
      <c r="RB262" s="23"/>
      <c r="RC262" s="23"/>
      <c r="RD262" s="23"/>
      <c r="RE262" s="23"/>
      <c r="RF262" s="23"/>
      <c r="RG262" s="23"/>
      <c r="RH262" s="23"/>
      <c r="RI262" s="23"/>
      <c r="RJ262" s="23"/>
      <c r="RK262" s="23"/>
      <c r="RL262" s="23"/>
      <c r="RM262" s="23"/>
      <c r="RN262" s="23"/>
      <c r="RO262" s="23"/>
      <c r="RP262" s="23"/>
      <c r="RQ262" s="23"/>
      <c r="RR262" s="23"/>
      <c r="RS262" s="23"/>
      <c r="RT262" s="23"/>
      <c r="RU262" s="23"/>
      <c r="RV262" s="23"/>
      <c r="RW262" s="23"/>
      <c r="RX262" s="23"/>
      <c r="RY262" s="23"/>
      <c r="RZ262" s="23"/>
      <c r="SA262" s="23"/>
      <c r="SB262" s="23"/>
      <c r="SC262" s="23"/>
      <c r="SD262" s="23"/>
      <c r="SE262" s="23"/>
      <c r="SF262" s="23"/>
      <c r="SG262" s="23"/>
      <c r="SH262" s="23"/>
      <c r="SI262" s="23"/>
      <c r="SJ262" s="23"/>
      <c r="SK262" s="23"/>
      <c r="SL262" s="23"/>
      <c r="SM262" s="23"/>
      <c r="SN262" s="23"/>
      <c r="SO262" s="23"/>
      <c r="SP262" s="23"/>
      <c r="SQ262" s="23"/>
      <c r="SR262" s="23"/>
      <c r="SS262" s="23"/>
      <c r="ST262" s="23"/>
      <c r="SU262" s="23"/>
      <c r="SV262" s="23"/>
      <c r="SW262" s="23"/>
      <c r="SX262" s="23"/>
      <c r="SY262" s="23"/>
      <c r="SZ262" s="23"/>
      <c r="TA262" s="23"/>
      <c r="TB262" s="23"/>
      <c r="TC262" s="23"/>
      <c r="TD262" s="23"/>
      <c r="TE262" s="23"/>
      <c r="TF262" s="23"/>
      <c r="TG262" s="23"/>
    </row>
    <row r="263" spans="1:527" s="22" customFormat="1" ht="78.75" x14ac:dyDescent="0.25">
      <c r="A263" s="59" t="s">
        <v>574</v>
      </c>
      <c r="B263" s="93">
        <v>9730</v>
      </c>
      <c r="C263" s="59" t="s">
        <v>45</v>
      </c>
      <c r="D263" s="60" t="s">
        <v>575</v>
      </c>
      <c r="E263" s="99">
        <f t="shared" si="106"/>
        <v>0</v>
      </c>
      <c r="F263" s="99">
        <f>25000000-25000000</f>
        <v>0</v>
      </c>
      <c r="G263" s="99"/>
      <c r="H263" s="99"/>
      <c r="I263" s="99"/>
      <c r="J263" s="99">
        <f t="shared" si="108"/>
        <v>0</v>
      </c>
      <c r="K263" s="99"/>
      <c r="L263" s="99"/>
      <c r="M263" s="99"/>
      <c r="N263" s="99"/>
      <c r="O263" s="99"/>
      <c r="P263" s="99">
        <f t="shared" si="107"/>
        <v>0</v>
      </c>
      <c r="Q263" s="23"/>
      <c r="R263" s="32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  <c r="TG263" s="23"/>
    </row>
    <row r="264" spans="1:527" s="22" customFormat="1" ht="20.25" customHeight="1" x14ac:dyDescent="0.25">
      <c r="A264" s="59" t="s">
        <v>204</v>
      </c>
      <c r="B264" s="93" t="str">
        <f>'дод 8'!A253</f>
        <v>9770</v>
      </c>
      <c r="C264" s="93" t="str">
        <f>'дод 8'!B253</f>
        <v>0180</v>
      </c>
      <c r="D264" s="60" t="str">
        <f>'дод 8'!C253</f>
        <v>Інші субвенції з місцевого бюджету</v>
      </c>
      <c r="E264" s="99">
        <f t="shared" si="106"/>
        <v>8550000</v>
      </c>
      <c r="F264" s="99">
        <f>4000000+4550000</f>
        <v>8550000</v>
      </c>
      <c r="G264" s="99"/>
      <c r="H264" s="99"/>
      <c r="I264" s="99"/>
      <c r="J264" s="99">
        <f t="shared" si="108"/>
        <v>6450000</v>
      </c>
      <c r="K264" s="99">
        <f>7000000-4000000+3450000</f>
        <v>6450000</v>
      </c>
      <c r="L264" s="99"/>
      <c r="M264" s="99"/>
      <c r="N264" s="99"/>
      <c r="O264" s="99">
        <f>7000000-4000000+3450000</f>
        <v>6450000</v>
      </c>
      <c r="P264" s="99">
        <f t="shared" si="107"/>
        <v>15000000</v>
      </c>
      <c r="Q264" s="23"/>
      <c r="R264" s="32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  <c r="SQ264" s="23"/>
      <c r="SR264" s="23"/>
      <c r="SS264" s="23"/>
      <c r="ST264" s="23"/>
      <c r="SU264" s="23"/>
      <c r="SV264" s="23"/>
      <c r="SW264" s="23"/>
      <c r="SX264" s="23"/>
      <c r="SY264" s="23"/>
      <c r="SZ264" s="23"/>
      <c r="TA264" s="23"/>
      <c r="TB264" s="23"/>
      <c r="TC264" s="23"/>
      <c r="TD264" s="23"/>
      <c r="TE264" s="23"/>
      <c r="TF264" s="23"/>
      <c r="TG264" s="23"/>
    </row>
    <row r="265" spans="1:527" s="27" customFormat="1" ht="33.75" customHeight="1" x14ac:dyDescent="0.25">
      <c r="A265" s="110" t="s">
        <v>27</v>
      </c>
      <c r="B265" s="112"/>
      <c r="C265" s="112"/>
      <c r="D265" s="107" t="s">
        <v>34</v>
      </c>
      <c r="E265" s="95">
        <f>E266</f>
        <v>6537039</v>
      </c>
      <c r="F265" s="95">
        <f t="shared" ref="F265:J266" si="121">F266</f>
        <v>6537039</v>
      </c>
      <c r="G265" s="95">
        <f t="shared" si="121"/>
        <v>5070500</v>
      </c>
      <c r="H265" s="95">
        <f t="shared" si="121"/>
        <v>115519</v>
      </c>
      <c r="I265" s="95">
        <f t="shared" si="121"/>
        <v>0</v>
      </c>
      <c r="J265" s="95">
        <f t="shared" si="121"/>
        <v>0</v>
      </c>
      <c r="K265" s="95">
        <f t="shared" ref="K265:K266" si="122">K266</f>
        <v>0</v>
      </c>
      <c r="L265" s="95">
        <f t="shared" ref="L265:L266" si="123">L266</f>
        <v>0</v>
      </c>
      <c r="M265" s="95">
        <f t="shared" ref="M265:M266" si="124">M266</f>
        <v>0</v>
      </c>
      <c r="N265" s="95">
        <f t="shared" ref="N265:N266" si="125">N266</f>
        <v>0</v>
      </c>
      <c r="O265" s="95">
        <f t="shared" ref="O265:P266" si="126">O266</f>
        <v>0</v>
      </c>
      <c r="P265" s="95">
        <f t="shared" si="126"/>
        <v>6537039</v>
      </c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  <c r="DA265" s="32"/>
      <c r="DB265" s="32"/>
      <c r="DC265" s="32"/>
      <c r="DD265" s="32"/>
      <c r="DE265" s="32"/>
      <c r="DF265" s="32"/>
      <c r="DG265" s="32"/>
      <c r="DH265" s="32"/>
      <c r="DI265" s="32"/>
      <c r="DJ265" s="32"/>
      <c r="DK265" s="32"/>
      <c r="DL265" s="32"/>
      <c r="DM265" s="32"/>
      <c r="DN265" s="32"/>
      <c r="DO265" s="32"/>
      <c r="DP265" s="32"/>
      <c r="DQ265" s="32"/>
      <c r="DR265" s="32"/>
      <c r="DS265" s="32"/>
      <c r="DT265" s="32"/>
      <c r="DU265" s="32"/>
      <c r="DV265" s="32"/>
      <c r="DW265" s="32"/>
      <c r="DX265" s="32"/>
      <c r="DY265" s="32"/>
      <c r="DZ265" s="32"/>
      <c r="EA265" s="32"/>
      <c r="EB265" s="32"/>
      <c r="EC265" s="32"/>
      <c r="ED265" s="32"/>
      <c r="EE265" s="32"/>
      <c r="EF265" s="32"/>
      <c r="EG265" s="32"/>
      <c r="EH265" s="32"/>
      <c r="EI265" s="32"/>
      <c r="EJ265" s="32"/>
      <c r="EK265" s="32"/>
      <c r="EL265" s="32"/>
      <c r="EM265" s="32"/>
      <c r="EN265" s="32"/>
      <c r="EO265" s="32"/>
      <c r="EP265" s="32"/>
      <c r="EQ265" s="32"/>
      <c r="ER265" s="32"/>
      <c r="ES265" s="32"/>
      <c r="ET265" s="32"/>
      <c r="EU265" s="32"/>
      <c r="EV265" s="32"/>
      <c r="EW265" s="32"/>
      <c r="EX265" s="32"/>
      <c r="EY265" s="32"/>
      <c r="EZ265" s="32"/>
      <c r="FA265" s="32"/>
      <c r="FB265" s="32"/>
      <c r="FC265" s="32"/>
      <c r="FD265" s="32"/>
      <c r="FE265" s="32"/>
      <c r="FF265" s="32"/>
      <c r="FG265" s="32"/>
      <c r="FH265" s="32"/>
      <c r="FI265" s="32"/>
      <c r="FJ265" s="32"/>
      <c r="FK265" s="32"/>
      <c r="FL265" s="32"/>
      <c r="FM265" s="32"/>
      <c r="FN265" s="32"/>
      <c r="FO265" s="32"/>
      <c r="FP265" s="32"/>
      <c r="FQ265" s="32"/>
      <c r="FR265" s="32"/>
      <c r="FS265" s="32"/>
      <c r="FT265" s="32"/>
      <c r="FU265" s="32"/>
      <c r="FV265" s="32"/>
      <c r="FW265" s="32"/>
      <c r="FX265" s="32"/>
      <c r="FY265" s="32"/>
      <c r="FZ265" s="32"/>
      <c r="GA265" s="32"/>
      <c r="GB265" s="32"/>
      <c r="GC265" s="32"/>
      <c r="GD265" s="32"/>
      <c r="GE265" s="32"/>
      <c r="GF265" s="32"/>
      <c r="GG265" s="32"/>
      <c r="GH265" s="32"/>
      <c r="GI265" s="32"/>
      <c r="GJ265" s="32"/>
      <c r="GK265" s="32"/>
      <c r="GL265" s="32"/>
      <c r="GM265" s="32"/>
      <c r="GN265" s="32"/>
      <c r="GO265" s="32"/>
      <c r="GP265" s="32"/>
      <c r="GQ265" s="32"/>
      <c r="GR265" s="32"/>
      <c r="GS265" s="32"/>
      <c r="GT265" s="32"/>
      <c r="GU265" s="32"/>
      <c r="GV265" s="32"/>
      <c r="GW265" s="32"/>
      <c r="GX265" s="32"/>
      <c r="GY265" s="32"/>
      <c r="GZ265" s="32"/>
      <c r="HA265" s="32"/>
      <c r="HB265" s="32"/>
      <c r="HC265" s="32"/>
      <c r="HD265" s="32"/>
      <c r="HE265" s="32"/>
      <c r="HF265" s="32"/>
      <c r="HG265" s="32"/>
      <c r="HH265" s="32"/>
      <c r="HI265" s="32"/>
      <c r="HJ265" s="32"/>
      <c r="HK265" s="32"/>
      <c r="HL265" s="32"/>
      <c r="HM265" s="32"/>
      <c r="HN265" s="32"/>
      <c r="HO265" s="32"/>
      <c r="HP265" s="32"/>
      <c r="HQ265" s="32"/>
      <c r="HR265" s="32"/>
      <c r="HS265" s="32"/>
      <c r="HT265" s="32"/>
      <c r="HU265" s="32"/>
      <c r="HV265" s="32"/>
      <c r="HW265" s="32"/>
      <c r="HX265" s="32"/>
      <c r="HY265" s="32"/>
      <c r="HZ265" s="32"/>
      <c r="IA265" s="32"/>
      <c r="IB265" s="32"/>
      <c r="IC265" s="32"/>
      <c r="ID265" s="32"/>
      <c r="IE265" s="32"/>
      <c r="IF265" s="32"/>
      <c r="IG265" s="32"/>
      <c r="IH265" s="32"/>
      <c r="II265" s="32"/>
      <c r="IJ265" s="32"/>
      <c r="IK265" s="32"/>
      <c r="IL265" s="32"/>
      <c r="IM265" s="32"/>
      <c r="IN265" s="32"/>
      <c r="IO265" s="32"/>
      <c r="IP265" s="32"/>
      <c r="IQ265" s="32"/>
      <c r="IR265" s="32"/>
      <c r="IS265" s="32"/>
      <c r="IT265" s="32"/>
      <c r="IU265" s="32"/>
      <c r="IV265" s="32"/>
      <c r="IW265" s="32"/>
      <c r="IX265" s="32"/>
      <c r="IY265" s="32"/>
      <c r="IZ265" s="32"/>
      <c r="JA265" s="32"/>
      <c r="JB265" s="32"/>
      <c r="JC265" s="32"/>
      <c r="JD265" s="32"/>
      <c r="JE265" s="32"/>
      <c r="JF265" s="32"/>
      <c r="JG265" s="32"/>
      <c r="JH265" s="32"/>
      <c r="JI265" s="32"/>
      <c r="JJ265" s="32"/>
      <c r="JK265" s="32"/>
      <c r="JL265" s="32"/>
      <c r="JM265" s="32"/>
      <c r="JN265" s="32"/>
      <c r="JO265" s="32"/>
      <c r="JP265" s="32"/>
      <c r="JQ265" s="32"/>
      <c r="JR265" s="32"/>
      <c r="JS265" s="32"/>
      <c r="JT265" s="32"/>
      <c r="JU265" s="32"/>
      <c r="JV265" s="32"/>
      <c r="JW265" s="32"/>
      <c r="JX265" s="32"/>
      <c r="JY265" s="32"/>
      <c r="JZ265" s="32"/>
      <c r="KA265" s="32"/>
      <c r="KB265" s="32"/>
      <c r="KC265" s="32"/>
      <c r="KD265" s="32"/>
      <c r="KE265" s="32"/>
      <c r="KF265" s="32"/>
      <c r="KG265" s="32"/>
      <c r="KH265" s="32"/>
      <c r="KI265" s="32"/>
      <c r="KJ265" s="32"/>
      <c r="KK265" s="32"/>
      <c r="KL265" s="32"/>
      <c r="KM265" s="32"/>
      <c r="KN265" s="32"/>
      <c r="KO265" s="32"/>
      <c r="KP265" s="32"/>
      <c r="KQ265" s="32"/>
      <c r="KR265" s="32"/>
      <c r="KS265" s="32"/>
      <c r="KT265" s="32"/>
      <c r="KU265" s="32"/>
      <c r="KV265" s="32"/>
      <c r="KW265" s="32"/>
      <c r="KX265" s="32"/>
      <c r="KY265" s="32"/>
      <c r="KZ265" s="32"/>
      <c r="LA265" s="32"/>
      <c r="LB265" s="32"/>
      <c r="LC265" s="32"/>
      <c r="LD265" s="32"/>
      <c r="LE265" s="32"/>
      <c r="LF265" s="32"/>
      <c r="LG265" s="32"/>
      <c r="LH265" s="32"/>
      <c r="LI265" s="32"/>
      <c r="LJ265" s="32"/>
      <c r="LK265" s="32"/>
      <c r="LL265" s="32"/>
      <c r="LM265" s="32"/>
      <c r="LN265" s="32"/>
      <c r="LO265" s="32"/>
      <c r="LP265" s="32"/>
      <c r="LQ265" s="32"/>
      <c r="LR265" s="32"/>
      <c r="LS265" s="32"/>
      <c r="LT265" s="32"/>
      <c r="LU265" s="32"/>
      <c r="LV265" s="32"/>
      <c r="LW265" s="32"/>
      <c r="LX265" s="32"/>
      <c r="LY265" s="32"/>
      <c r="LZ265" s="32"/>
      <c r="MA265" s="32"/>
      <c r="MB265" s="32"/>
      <c r="MC265" s="32"/>
      <c r="MD265" s="32"/>
      <c r="ME265" s="32"/>
      <c r="MF265" s="32"/>
      <c r="MG265" s="32"/>
      <c r="MH265" s="32"/>
      <c r="MI265" s="32"/>
      <c r="MJ265" s="32"/>
      <c r="MK265" s="32"/>
      <c r="ML265" s="32"/>
      <c r="MM265" s="32"/>
      <c r="MN265" s="32"/>
      <c r="MO265" s="32"/>
      <c r="MP265" s="32"/>
      <c r="MQ265" s="32"/>
      <c r="MR265" s="32"/>
      <c r="MS265" s="32"/>
      <c r="MT265" s="32"/>
      <c r="MU265" s="32"/>
      <c r="MV265" s="32"/>
      <c r="MW265" s="32"/>
      <c r="MX265" s="32"/>
      <c r="MY265" s="32"/>
      <c r="MZ265" s="32"/>
      <c r="NA265" s="32"/>
      <c r="NB265" s="32"/>
      <c r="NC265" s="32"/>
      <c r="ND265" s="32"/>
      <c r="NE265" s="32"/>
      <c r="NF265" s="32"/>
      <c r="NG265" s="32"/>
      <c r="NH265" s="32"/>
      <c r="NI265" s="32"/>
      <c r="NJ265" s="32"/>
      <c r="NK265" s="32"/>
      <c r="NL265" s="32"/>
      <c r="NM265" s="32"/>
      <c r="NN265" s="32"/>
      <c r="NO265" s="32"/>
      <c r="NP265" s="32"/>
      <c r="NQ265" s="32"/>
      <c r="NR265" s="32"/>
      <c r="NS265" s="32"/>
      <c r="NT265" s="32"/>
      <c r="NU265" s="32"/>
      <c r="NV265" s="32"/>
      <c r="NW265" s="32"/>
      <c r="NX265" s="32"/>
      <c r="NY265" s="32"/>
      <c r="NZ265" s="32"/>
      <c r="OA265" s="32"/>
      <c r="OB265" s="32"/>
      <c r="OC265" s="32"/>
      <c r="OD265" s="32"/>
      <c r="OE265" s="32"/>
      <c r="OF265" s="32"/>
      <c r="OG265" s="32"/>
      <c r="OH265" s="32"/>
      <c r="OI265" s="32"/>
      <c r="OJ265" s="32"/>
      <c r="OK265" s="32"/>
      <c r="OL265" s="32"/>
      <c r="OM265" s="32"/>
      <c r="ON265" s="32"/>
      <c r="OO265" s="32"/>
      <c r="OP265" s="32"/>
      <c r="OQ265" s="32"/>
      <c r="OR265" s="32"/>
      <c r="OS265" s="32"/>
      <c r="OT265" s="32"/>
      <c r="OU265" s="32"/>
      <c r="OV265" s="32"/>
      <c r="OW265" s="32"/>
      <c r="OX265" s="32"/>
      <c r="OY265" s="32"/>
      <c r="OZ265" s="32"/>
      <c r="PA265" s="32"/>
      <c r="PB265" s="32"/>
      <c r="PC265" s="32"/>
      <c r="PD265" s="32"/>
      <c r="PE265" s="32"/>
      <c r="PF265" s="32"/>
      <c r="PG265" s="32"/>
      <c r="PH265" s="32"/>
      <c r="PI265" s="32"/>
      <c r="PJ265" s="32"/>
      <c r="PK265" s="32"/>
      <c r="PL265" s="32"/>
      <c r="PM265" s="32"/>
      <c r="PN265" s="32"/>
      <c r="PO265" s="32"/>
      <c r="PP265" s="32"/>
      <c r="PQ265" s="32"/>
      <c r="PR265" s="32"/>
      <c r="PS265" s="32"/>
      <c r="PT265" s="32"/>
      <c r="PU265" s="32"/>
      <c r="PV265" s="32"/>
      <c r="PW265" s="32"/>
      <c r="PX265" s="32"/>
      <c r="PY265" s="32"/>
      <c r="PZ265" s="32"/>
      <c r="QA265" s="32"/>
      <c r="QB265" s="32"/>
      <c r="QC265" s="32"/>
      <c r="QD265" s="32"/>
      <c r="QE265" s="32"/>
      <c r="QF265" s="32"/>
      <c r="QG265" s="32"/>
      <c r="QH265" s="32"/>
      <c r="QI265" s="32"/>
      <c r="QJ265" s="32"/>
      <c r="QK265" s="32"/>
      <c r="QL265" s="32"/>
      <c r="QM265" s="32"/>
      <c r="QN265" s="32"/>
      <c r="QO265" s="32"/>
      <c r="QP265" s="32"/>
      <c r="QQ265" s="32"/>
      <c r="QR265" s="32"/>
      <c r="QS265" s="32"/>
      <c r="QT265" s="32"/>
      <c r="QU265" s="32"/>
      <c r="QV265" s="32"/>
      <c r="QW265" s="32"/>
      <c r="QX265" s="32"/>
      <c r="QY265" s="32"/>
      <c r="QZ265" s="32"/>
      <c r="RA265" s="32"/>
      <c r="RB265" s="32"/>
      <c r="RC265" s="32"/>
      <c r="RD265" s="32"/>
      <c r="RE265" s="32"/>
      <c r="RF265" s="32"/>
      <c r="RG265" s="32"/>
      <c r="RH265" s="32"/>
      <c r="RI265" s="32"/>
      <c r="RJ265" s="32"/>
      <c r="RK265" s="32"/>
      <c r="RL265" s="32"/>
      <c r="RM265" s="32"/>
      <c r="RN265" s="32"/>
      <c r="RO265" s="32"/>
      <c r="RP265" s="32"/>
      <c r="RQ265" s="32"/>
      <c r="RR265" s="32"/>
      <c r="RS265" s="32"/>
      <c r="RT265" s="32"/>
      <c r="RU265" s="32"/>
      <c r="RV265" s="32"/>
      <c r="RW265" s="32"/>
      <c r="RX265" s="32"/>
      <c r="RY265" s="32"/>
      <c r="RZ265" s="32"/>
      <c r="SA265" s="32"/>
      <c r="SB265" s="32"/>
      <c r="SC265" s="32"/>
      <c r="SD265" s="32"/>
      <c r="SE265" s="32"/>
      <c r="SF265" s="32"/>
      <c r="SG265" s="32"/>
      <c r="SH265" s="32"/>
      <c r="SI265" s="32"/>
      <c r="SJ265" s="32"/>
      <c r="SK265" s="32"/>
      <c r="SL265" s="32"/>
      <c r="SM265" s="32"/>
      <c r="SN265" s="32"/>
      <c r="SO265" s="32"/>
      <c r="SP265" s="32"/>
      <c r="SQ265" s="32"/>
      <c r="SR265" s="32"/>
      <c r="SS265" s="32"/>
      <c r="ST265" s="32"/>
      <c r="SU265" s="32"/>
      <c r="SV265" s="32"/>
      <c r="SW265" s="32"/>
      <c r="SX265" s="32"/>
      <c r="SY265" s="32"/>
      <c r="SZ265" s="32"/>
      <c r="TA265" s="32"/>
      <c r="TB265" s="32"/>
      <c r="TC265" s="32"/>
      <c r="TD265" s="32"/>
      <c r="TE265" s="32"/>
      <c r="TF265" s="32"/>
      <c r="TG265" s="32"/>
    </row>
    <row r="266" spans="1:527" s="34" customFormat="1" ht="36.75" customHeight="1" x14ac:dyDescent="0.25">
      <c r="A266" s="96" t="s">
        <v>118</v>
      </c>
      <c r="B266" s="109"/>
      <c r="C266" s="109"/>
      <c r="D266" s="77" t="s">
        <v>34</v>
      </c>
      <c r="E266" s="98">
        <f>E267</f>
        <v>6537039</v>
      </c>
      <c r="F266" s="98">
        <f t="shared" si="121"/>
        <v>6537039</v>
      </c>
      <c r="G266" s="98">
        <f t="shared" si="121"/>
        <v>5070500</v>
      </c>
      <c r="H266" s="98">
        <f t="shared" si="121"/>
        <v>115519</v>
      </c>
      <c r="I266" s="98">
        <f t="shared" si="121"/>
        <v>0</v>
      </c>
      <c r="J266" s="98">
        <f t="shared" si="121"/>
        <v>0</v>
      </c>
      <c r="K266" s="98">
        <f t="shared" si="122"/>
        <v>0</v>
      </c>
      <c r="L266" s="98">
        <f t="shared" si="123"/>
        <v>0</v>
      </c>
      <c r="M266" s="98">
        <f t="shared" si="124"/>
        <v>0</v>
      </c>
      <c r="N266" s="98">
        <f t="shared" si="125"/>
        <v>0</v>
      </c>
      <c r="O266" s="98">
        <f t="shared" si="126"/>
        <v>0</v>
      </c>
      <c r="P266" s="98">
        <f t="shared" si="126"/>
        <v>6537039</v>
      </c>
      <c r="Q266" s="33"/>
      <c r="R266" s="32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  <c r="CN266" s="33"/>
      <c r="CO266" s="33"/>
      <c r="CP266" s="33"/>
      <c r="CQ266" s="33"/>
      <c r="CR266" s="33"/>
      <c r="CS266" s="33"/>
      <c r="CT266" s="33"/>
      <c r="CU266" s="33"/>
      <c r="CV266" s="33"/>
      <c r="CW266" s="33"/>
      <c r="CX266" s="33"/>
      <c r="CY266" s="33"/>
      <c r="CZ266" s="33"/>
      <c r="DA266" s="33"/>
      <c r="DB266" s="33"/>
      <c r="DC266" s="33"/>
      <c r="DD266" s="33"/>
      <c r="DE266" s="33"/>
      <c r="DF266" s="33"/>
      <c r="DG266" s="33"/>
      <c r="DH266" s="33"/>
      <c r="DI266" s="33"/>
      <c r="DJ266" s="33"/>
      <c r="DK266" s="33"/>
      <c r="DL266" s="33"/>
      <c r="DM266" s="33"/>
      <c r="DN266" s="33"/>
      <c r="DO266" s="33"/>
      <c r="DP266" s="33"/>
      <c r="DQ266" s="33"/>
      <c r="DR266" s="33"/>
      <c r="DS266" s="33"/>
      <c r="DT266" s="33"/>
      <c r="DU266" s="33"/>
      <c r="DV266" s="33"/>
      <c r="DW266" s="33"/>
      <c r="DX266" s="33"/>
      <c r="DY266" s="33"/>
      <c r="DZ266" s="33"/>
      <c r="EA266" s="33"/>
      <c r="EB266" s="33"/>
      <c r="EC266" s="33"/>
      <c r="ED266" s="33"/>
      <c r="EE266" s="33"/>
      <c r="EF266" s="33"/>
      <c r="EG266" s="33"/>
      <c r="EH266" s="33"/>
      <c r="EI266" s="33"/>
      <c r="EJ266" s="33"/>
      <c r="EK266" s="33"/>
      <c r="EL266" s="33"/>
      <c r="EM266" s="33"/>
      <c r="EN266" s="33"/>
      <c r="EO266" s="33"/>
      <c r="EP266" s="33"/>
      <c r="EQ266" s="33"/>
      <c r="ER266" s="33"/>
      <c r="ES266" s="33"/>
      <c r="ET266" s="33"/>
      <c r="EU266" s="33"/>
      <c r="EV266" s="33"/>
      <c r="EW266" s="33"/>
      <c r="EX266" s="33"/>
      <c r="EY266" s="33"/>
      <c r="EZ266" s="33"/>
      <c r="FA266" s="33"/>
      <c r="FB266" s="33"/>
      <c r="FC266" s="33"/>
      <c r="FD266" s="33"/>
      <c r="FE266" s="33"/>
      <c r="FF266" s="33"/>
      <c r="FG266" s="33"/>
      <c r="FH266" s="33"/>
      <c r="FI266" s="33"/>
      <c r="FJ266" s="33"/>
      <c r="FK266" s="33"/>
      <c r="FL266" s="33"/>
      <c r="FM266" s="33"/>
      <c r="FN266" s="33"/>
      <c r="FO266" s="33"/>
      <c r="FP266" s="33"/>
      <c r="FQ266" s="33"/>
      <c r="FR266" s="33"/>
      <c r="FS266" s="33"/>
      <c r="FT266" s="33"/>
      <c r="FU266" s="33"/>
      <c r="FV266" s="33"/>
      <c r="FW266" s="33"/>
      <c r="FX266" s="33"/>
      <c r="FY266" s="33"/>
      <c r="FZ266" s="33"/>
      <c r="GA266" s="33"/>
      <c r="GB266" s="33"/>
      <c r="GC266" s="33"/>
      <c r="GD266" s="33"/>
      <c r="GE266" s="33"/>
      <c r="GF266" s="33"/>
      <c r="GG266" s="33"/>
      <c r="GH266" s="33"/>
      <c r="GI266" s="33"/>
      <c r="GJ266" s="33"/>
      <c r="GK266" s="33"/>
      <c r="GL266" s="33"/>
      <c r="GM266" s="33"/>
      <c r="GN266" s="33"/>
      <c r="GO266" s="33"/>
      <c r="GP266" s="33"/>
      <c r="GQ266" s="33"/>
      <c r="GR266" s="33"/>
      <c r="GS266" s="33"/>
      <c r="GT266" s="33"/>
      <c r="GU266" s="33"/>
      <c r="GV266" s="33"/>
      <c r="GW266" s="33"/>
      <c r="GX266" s="33"/>
      <c r="GY266" s="33"/>
      <c r="GZ266" s="33"/>
      <c r="HA266" s="33"/>
      <c r="HB266" s="33"/>
      <c r="HC266" s="33"/>
      <c r="HD266" s="33"/>
      <c r="HE266" s="33"/>
      <c r="HF266" s="33"/>
      <c r="HG266" s="33"/>
      <c r="HH266" s="33"/>
      <c r="HI266" s="33"/>
      <c r="HJ266" s="33"/>
      <c r="HK266" s="33"/>
      <c r="HL266" s="33"/>
      <c r="HM266" s="33"/>
      <c r="HN266" s="33"/>
      <c r="HO266" s="33"/>
      <c r="HP266" s="33"/>
      <c r="HQ266" s="33"/>
      <c r="HR266" s="33"/>
      <c r="HS266" s="33"/>
      <c r="HT266" s="33"/>
      <c r="HU266" s="33"/>
      <c r="HV266" s="33"/>
      <c r="HW266" s="33"/>
      <c r="HX266" s="33"/>
      <c r="HY266" s="33"/>
      <c r="HZ266" s="33"/>
      <c r="IA266" s="33"/>
      <c r="IB266" s="33"/>
      <c r="IC266" s="33"/>
      <c r="ID266" s="33"/>
      <c r="IE266" s="33"/>
      <c r="IF266" s="33"/>
      <c r="IG266" s="33"/>
      <c r="IH266" s="33"/>
      <c r="II266" s="33"/>
      <c r="IJ266" s="33"/>
      <c r="IK266" s="33"/>
      <c r="IL266" s="33"/>
      <c r="IM266" s="33"/>
      <c r="IN266" s="33"/>
      <c r="IO266" s="33"/>
      <c r="IP266" s="33"/>
      <c r="IQ266" s="33"/>
      <c r="IR266" s="33"/>
      <c r="IS266" s="33"/>
      <c r="IT266" s="33"/>
      <c r="IU266" s="33"/>
      <c r="IV266" s="33"/>
      <c r="IW266" s="33"/>
      <c r="IX266" s="33"/>
      <c r="IY266" s="33"/>
      <c r="IZ266" s="33"/>
      <c r="JA266" s="33"/>
      <c r="JB266" s="33"/>
      <c r="JC266" s="33"/>
      <c r="JD266" s="33"/>
      <c r="JE266" s="33"/>
      <c r="JF266" s="33"/>
      <c r="JG266" s="33"/>
      <c r="JH266" s="33"/>
      <c r="JI266" s="33"/>
      <c r="JJ266" s="33"/>
      <c r="JK266" s="33"/>
      <c r="JL266" s="33"/>
      <c r="JM266" s="33"/>
      <c r="JN266" s="33"/>
      <c r="JO266" s="33"/>
      <c r="JP266" s="33"/>
      <c r="JQ266" s="33"/>
      <c r="JR266" s="33"/>
      <c r="JS266" s="33"/>
      <c r="JT266" s="33"/>
      <c r="JU266" s="33"/>
      <c r="JV266" s="33"/>
      <c r="JW266" s="33"/>
      <c r="JX266" s="33"/>
      <c r="JY266" s="33"/>
      <c r="JZ266" s="33"/>
      <c r="KA266" s="33"/>
      <c r="KB266" s="33"/>
      <c r="KC266" s="33"/>
      <c r="KD266" s="33"/>
      <c r="KE266" s="33"/>
      <c r="KF266" s="33"/>
      <c r="KG266" s="33"/>
      <c r="KH266" s="33"/>
      <c r="KI266" s="33"/>
      <c r="KJ266" s="33"/>
      <c r="KK266" s="33"/>
      <c r="KL266" s="33"/>
      <c r="KM266" s="33"/>
      <c r="KN266" s="33"/>
      <c r="KO266" s="33"/>
      <c r="KP266" s="33"/>
      <c r="KQ266" s="33"/>
      <c r="KR266" s="33"/>
      <c r="KS266" s="33"/>
      <c r="KT266" s="33"/>
      <c r="KU266" s="33"/>
      <c r="KV266" s="33"/>
      <c r="KW266" s="33"/>
      <c r="KX266" s="33"/>
      <c r="KY266" s="33"/>
      <c r="KZ266" s="33"/>
      <c r="LA266" s="33"/>
      <c r="LB266" s="33"/>
      <c r="LC266" s="33"/>
      <c r="LD266" s="33"/>
      <c r="LE266" s="33"/>
      <c r="LF266" s="33"/>
      <c r="LG266" s="33"/>
      <c r="LH266" s="33"/>
      <c r="LI266" s="33"/>
      <c r="LJ266" s="33"/>
      <c r="LK266" s="33"/>
      <c r="LL266" s="33"/>
      <c r="LM266" s="33"/>
      <c r="LN266" s="33"/>
      <c r="LO266" s="33"/>
      <c r="LP266" s="33"/>
      <c r="LQ266" s="33"/>
      <c r="LR266" s="33"/>
      <c r="LS266" s="33"/>
      <c r="LT266" s="33"/>
      <c r="LU266" s="33"/>
      <c r="LV266" s="33"/>
      <c r="LW266" s="33"/>
      <c r="LX266" s="33"/>
      <c r="LY266" s="33"/>
      <c r="LZ266" s="33"/>
      <c r="MA266" s="33"/>
      <c r="MB266" s="33"/>
      <c r="MC266" s="33"/>
      <c r="MD266" s="33"/>
      <c r="ME266" s="33"/>
      <c r="MF266" s="33"/>
      <c r="MG266" s="33"/>
      <c r="MH266" s="33"/>
      <c r="MI266" s="33"/>
      <c r="MJ266" s="33"/>
      <c r="MK266" s="33"/>
      <c r="ML266" s="33"/>
      <c r="MM266" s="33"/>
      <c r="MN266" s="33"/>
      <c r="MO266" s="33"/>
      <c r="MP266" s="33"/>
      <c r="MQ266" s="33"/>
      <c r="MR266" s="33"/>
      <c r="MS266" s="33"/>
      <c r="MT266" s="33"/>
      <c r="MU266" s="33"/>
      <c r="MV266" s="33"/>
      <c r="MW266" s="33"/>
      <c r="MX266" s="33"/>
      <c r="MY266" s="33"/>
      <c r="MZ266" s="33"/>
      <c r="NA266" s="33"/>
      <c r="NB266" s="33"/>
      <c r="NC266" s="33"/>
      <c r="ND266" s="33"/>
      <c r="NE266" s="33"/>
      <c r="NF266" s="33"/>
      <c r="NG266" s="33"/>
      <c r="NH266" s="33"/>
      <c r="NI266" s="33"/>
      <c r="NJ266" s="33"/>
      <c r="NK266" s="33"/>
      <c r="NL266" s="33"/>
      <c r="NM266" s="33"/>
      <c r="NN266" s="33"/>
      <c r="NO266" s="33"/>
      <c r="NP266" s="33"/>
      <c r="NQ266" s="33"/>
      <c r="NR266" s="33"/>
      <c r="NS266" s="33"/>
      <c r="NT266" s="33"/>
      <c r="NU266" s="33"/>
      <c r="NV266" s="33"/>
      <c r="NW266" s="33"/>
      <c r="NX266" s="33"/>
      <c r="NY266" s="33"/>
      <c r="NZ266" s="33"/>
      <c r="OA266" s="33"/>
      <c r="OB266" s="33"/>
      <c r="OC266" s="33"/>
      <c r="OD266" s="33"/>
      <c r="OE266" s="33"/>
      <c r="OF266" s="33"/>
      <c r="OG266" s="33"/>
      <c r="OH266" s="33"/>
      <c r="OI266" s="33"/>
      <c r="OJ266" s="33"/>
      <c r="OK266" s="33"/>
      <c r="OL266" s="33"/>
      <c r="OM266" s="33"/>
      <c r="ON266" s="33"/>
      <c r="OO266" s="33"/>
      <c r="OP266" s="33"/>
      <c r="OQ266" s="33"/>
      <c r="OR266" s="33"/>
      <c r="OS266" s="33"/>
      <c r="OT266" s="33"/>
      <c r="OU266" s="33"/>
      <c r="OV266" s="33"/>
      <c r="OW266" s="33"/>
      <c r="OX266" s="33"/>
      <c r="OY266" s="33"/>
      <c r="OZ266" s="33"/>
      <c r="PA266" s="33"/>
      <c r="PB266" s="33"/>
      <c r="PC266" s="33"/>
      <c r="PD266" s="33"/>
      <c r="PE266" s="33"/>
      <c r="PF266" s="33"/>
      <c r="PG266" s="33"/>
      <c r="PH266" s="33"/>
      <c r="PI266" s="33"/>
      <c r="PJ266" s="33"/>
      <c r="PK266" s="33"/>
      <c r="PL266" s="33"/>
      <c r="PM266" s="33"/>
      <c r="PN266" s="33"/>
      <c r="PO266" s="33"/>
      <c r="PP266" s="33"/>
      <c r="PQ266" s="33"/>
      <c r="PR266" s="33"/>
      <c r="PS266" s="33"/>
      <c r="PT266" s="33"/>
      <c r="PU266" s="33"/>
      <c r="PV266" s="33"/>
      <c r="PW266" s="33"/>
      <c r="PX266" s="33"/>
      <c r="PY266" s="33"/>
      <c r="PZ266" s="33"/>
      <c r="QA266" s="33"/>
      <c r="QB266" s="33"/>
      <c r="QC266" s="33"/>
      <c r="QD266" s="33"/>
      <c r="QE266" s="33"/>
      <c r="QF266" s="33"/>
      <c r="QG266" s="33"/>
      <c r="QH266" s="33"/>
      <c r="QI266" s="33"/>
      <c r="QJ266" s="33"/>
      <c r="QK266" s="33"/>
      <c r="QL266" s="33"/>
      <c r="QM266" s="33"/>
      <c r="QN266" s="33"/>
      <c r="QO266" s="33"/>
      <c r="QP266" s="33"/>
      <c r="QQ266" s="33"/>
      <c r="QR266" s="33"/>
      <c r="QS266" s="33"/>
      <c r="QT266" s="33"/>
      <c r="QU266" s="33"/>
      <c r="QV266" s="33"/>
      <c r="QW266" s="33"/>
      <c r="QX266" s="33"/>
      <c r="QY266" s="33"/>
      <c r="QZ266" s="33"/>
      <c r="RA266" s="33"/>
      <c r="RB266" s="33"/>
      <c r="RC266" s="33"/>
      <c r="RD266" s="33"/>
      <c r="RE266" s="33"/>
      <c r="RF266" s="33"/>
      <c r="RG266" s="33"/>
      <c r="RH266" s="33"/>
      <c r="RI266" s="33"/>
      <c r="RJ266" s="33"/>
      <c r="RK266" s="33"/>
      <c r="RL266" s="33"/>
      <c r="RM266" s="33"/>
      <c r="RN266" s="33"/>
      <c r="RO266" s="33"/>
      <c r="RP266" s="33"/>
      <c r="RQ266" s="33"/>
      <c r="RR266" s="33"/>
      <c r="RS266" s="33"/>
      <c r="RT266" s="33"/>
      <c r="RU266" s="33"/>
      <c r="RV266" s="33"/>
      <c r="RW266" s="33"/>
      <c r="RX266" s="33"/>
      <c r="RY266" s="33"/>
      <c r="RZ266" s="33"/>
      <c r="SA266" s="33"/>
      <c r="SB266" s="33"/>
      <c r="SC266" s="33"/>
      <c r="SD266" s="33"/>
      <c r="SE266" s="33"/>
      <c r="SF266" s="33"/>
      <c r="SG266" s="33"/>
      <c r="SH266" s="33"/>
      <c r="SI266" s="33"/>
      <c r="SJ266" s="33"/>
      <c r="SK266" s="33"/>
      <c r="SL266" s="33"/>
      <c r="SM266" s="33"/>
      <c r="SN266" s="33"/>
      <c r="SO266" s="33"/>
      <c r="SP266" s="33"/>
      <c r="SQ266" s="33"/>
      <c r="SR266" s="33"/>
      <c r="SS266" s="33"/>
      <c r="ST266" s="33"/>
      <c r="SU266" s="33"/>
      <c r="SV266" s="33"/>
      <c r="SW266" s="33"/>
      <c r="SX266" s="33"/>
      <c r="SY266" s="33"/>
      <c r="SZ266" s="33"/>
      <c r="TA266" s="33"/>
      <c r="TB266" s="33"/>
      <c r="TC266" s="33"/>
      <c r="TD266" s="33"/>
      <c r="TE266" s="33"/>
      <c r="TF266" s="33"/>
      <c r="TG266" s="33"/>
    </row>
    <row r="267" spans="1:527" s="22" customFormat="1" ht="47.25" x14ac:dyDescent="0.25">
      <c r="A267" s="59" t="s">
        <v>0</v>
      </c>
      <c r="B267" s="93" t="str">
        <f>'дод 8'!A19</f>
        <v>0160</v>
      </c>
      <c r="C267" s="93" t="str">
        <f>'дод 8'!B19</f>
        <v>0111</v>
      </c>
      <c r="D267" s="36" t="s">
        <v>494</v>
      </c>
      <c r="E267" s="99">
        <f>F267+I267</f>
        <v>6537039</v>
      </c>
      <c r="F267" s="99">
        <f>6378200+8000+26619+111020+13200</f>
        <v>6537039</v>
      </c>
      <c r="G267" s="99">
        <f>5019800+91000-40300</f>
        <v>5070500</v>
      </c>
      <c r="H267" s="99">
        <f>75700+26619+13200</f>
        <v>115519</v>
      </c>
      <c r="I267" s="99"/>
      <c r="J267" s="99">
        <f>L267+O267</f>
        <v>0</v>
      </c>
      <c r="K267" s="99">
        <f>8000-8000</f>
        <v>0</v>
      </c>
      <c r="L267" s="99"/>
      <c r="M267" s="99"/>
      <c r="N267" s="99"/>
      <c r="O267" s="99">
        <f>8000-8000</f>
        <v>0</v>
      </c>
      <c r="P267" s="99">
        <f>E267+J267</f>
        <v>6537039</v>
      </c>
      <c r="Q267" s="23"/>
      <c r="R267" s="32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  <c r="TF267" s="23"/>
      <c r="TG267" s="23"/>
    </row>
    <row r="268" spans="1:527" s="27" customFormat="1" ht="52.5" customHeight="1" x14ac:dyDescent="0.25">
      <c r="A268" s="110" t="s">
        <v>28</v>
      </c>
      <c r="B268" s="112"/>
      <c r="C268" s="112"/>
      <c r="D268" s="107" t="s">
        <v>33</v>
      </c>
      <c r="E268" s="95">
        <f>E269</f>
        <v>3721421.1500000004</v>
      </c>
      <c r="F268" s="95">
        <f t="shared" ref="F268:J268" si="127">F269</f>
        <v>3721421.1500000004</v>
      </c>
      <c r="G268" s="95">
        <f t="shared" si="127"/>
        <v>2559400</v>
      </c>
      <c r="H268" s="95">
        <f t="shared" si="127"/>
        <v>0</v>
      </c>
      <c r="I268" s="95">
        <f t="shared" si="127"/>
        <v>0</v>
      </c>
      <c r="J268" s="95">
        <f t="shared" si="127"/>
        <v>280399104.5</v>
      </c>
      <c r="K268" s="95">
        <f t="shared" ref="K268" si="128">K269</f>
        <v>266953821.85000002</v>
      </c>
      <c r="L268" s="95">
        <f t="shared" ref="L268" si="129">L269</f>
        <v>1900000</v>
      </c>
      <c r="M268" s="95">
        <f t="shared" ref="M268" si="130">M269</f>
        <v>1332000</v>
      </c>
      <c r="N268" s="95">
        <f t="shared" ref="N268" si="131">N269</f>
        <v>71500</v>
      </c>
      <c r="O268" s="95">
        <f t="shared" ref="O268:P268" si="132">O269</f>
        <v>278499104.5</v>
      </c>
      <c r="P268" s="95">
        <f t="shared" si="132"/>
        <v>284120525.64999998</v>
      </c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  <c r="DA268" s="32"/>
      <c r="DB268" s="32"/>
      <c r="DC268" s="32"/>
      <c r="DD268" s="32"/>
      <c r="DE268" s="32"/>
      <c r="DF268" s="32"/>
      <c r="DG268" s="32"/>
      <c r="DH268" s="32"/>
      <c r="DI268" s="32"/>
      <c r="DJ268" s="32"/>
      <c r="DK268" s="32"/>
      <c r="DL268" s="32"/>
      <c r="DM268" s="32"/>
      <c r="DN268" s="32"/>
      <c r="DO268" s="32"/>
      <c r="DP268" s="32"/>
      <c r="DQ268" s="32"/>
      <c r="DR268" s="32"/>
      <c r="DS268" s="32"/>
      <c r="DT268" s="32"/>
      <c r="DU268" s="32"/>
      <c r="DV268" s="32"/>
      <c r="DW268" s="32"/>
      <c r="DX268" s="32"/>
      <c r="DY268" s="32"/>
      <c r="DZ268" s="32"/>
      <c r="EA268" s="32"/>
      <c r="EB268" s="32"/>
      <c r="EC268" s="32"/>
      <c r="ED268" s="32"/>
      <c r="EE268" s="32"/>
      <c r="EF268" s="32"/>
      <c r="EG268" s="32"/>
      <c r="EH268" s="32"/>
      <c r="EI268" s="32"/>
      <c r="EJ268" s="32"/>
      <c r="EK268" s="32"/>
      <c r="EL268" s="32"/>
      <c r="EM268" s="32"/>
      <c r="EN268" s="32"/>
      <c r="EO268" s="32"/>
      <c r="EP268" s="32"/>
      <c r="EQ268" s="32"/>
      <c r="ER268" s="32"/>
      <c r="ES268" s="32"/>
      <c r="ET268" s="32"/>
      <c r="EU268" s="32"/>
      <c r="EV268" s="32"/>
      <c r="EW268" s="32"/>
      <c r="EX268" s="32"/>
      <c r="EY268" s="32"/>
      <c r="EZ268" s="32"/>
      <c r="FA268" s="32"/>
      <c r="FB268" s="32"/>
      <c r="FC268" s="32"/>
      <c r="FD268" s="32"/>
      <c r="FE268" s="32"/>
      <c r="FF268" s="32"/>
      <c r="FG268" s="32"/>
      <c r="FH268" s="32"/>
      <c r="FI268" s="32"/>
      <c r="FJ268" s="32"/>
      <c r="FK268" s="32"/>
      <c r="FL268" s="32"/>
      <c r="FM268" s="32"/>
      <c r="FN268" s="32"/>
      <c r="FO268" s="32"/>
      <c r="FP268" s="32"/>
      <c r="FQ268" s="32"/>
      <c r="FR268" s="32"/>
      <c r="FS268" s="32"/>
      <c r="FT268" s="32"/>
      <c r="FU268" s="32"/>
      <c r="FV268" s="32"/>
      <c r="FW268" s="32"/>
      <c r="FX268" s="32"/>
      <c r="FY268" s="32"/>
      <c r="FZ268" s="32"/>
      <c r="GA268" s="32"/>
      <c r="GB268" s="32"/>
      <c r="GC268" s="32"/>
      <c r="GD268" s="32"/>
      <c r="GE268" s="32"/>
      <c r="GF268" s="32"/>
      <c r="GG268" s="32"/>
      <c r="GH268" s="32"/>
      <c r="GI268" s="32"/>
      <c r="GJ268" s="32"/>
      <c r="GK268" s="32"/>
      <c r="GL268" s="32"/>
      <c r="GM268" s="32"/>
      <c r="GN268" s="32"/>
      <c r="GO268" s="32"/>
      <c r="GP268" s="32"/>
      <c r="GQ268" s="32"/>
      <c r="GR268" s="32"/>
      <c r="GS268" s="32"/>
      <c r="GT268" s="32"/>
      <c r="GU268" s="32"/>
      <c r="GV268" s="32"/>
      <c r="GW268" s="32"/>
      <c r="GX268" s="32"/>
      <c r="GY268" s="32"/>
      <c r="GZ268" s="32"/>
      <c r="HA268" s="32"/>
      <c r="HB268" s="32"/>
      <c r="HC268" s="32"/>
      <c r="HD268" s="32"/>
      <c r="HE268" s="32"/>
      <c r="HF268" s="32"/>
      <c r="HG268" s="32"/>
      <c r="HH268" s="32"/>
      <c r="HI268" s="32"/>
      <c r="HJ268" s="32"/>
      <c r="HK268" s="32"/>
      <c r="HL268" s="32"/>
      <c r="HM268" s="32"/>
      <c r="HN268" s="32"/>
      <c r="HO268" s="32"/>
      <c r="HP268" s="32"/>
      <c r="HQ268" s="32"/>
      <c r="HR268" s="32"/>
      <c r="HS268" s="32"/>
      <c r="HT268" s="32"/>
      <c r="HU268" s="32"/>
      <c r="HV268" s="32"/>
      <c r="HW268" s="32"/>
      <c r="HX268" s="32"/>
      <c r="HY268" s="32"/>
      <c r="HZ268" s="32"/>
      <c r="IA268" s="32"/>
      <c r="IB268" s="32"/>
      <c r="IC268" s="32"/>
      <c r="ID268" s="32"/>
      <c r="IE268" s="32"/>
      <c r="IF268" s="32"/>
      <c r="IG268" s="32"/>
      <c r="IH268" s="32"/>
      <c r="II268" s="32"/>
      <c r="IJ268" s="32"/>
      <c r="IK268" s="32"/>
      <c r="IL268" s="32"/>
      <c r="IM268" s="32"/>
      <c r="IN268" s="32"/>
      <c r="IO268" s="32"/>
      <c r="IP268" s="32"/>
      <c r="IQ268" s="32"/>
      <c r="IR268" s="32"/>
      <c r="IS268" s="32"/>
      <c r="IT268" s="32"/>
      <c r="IU268" s="32"/>
      <c r="IV268" s="32"/>
      <c r="IW268" s="32"/>
      <c r="IX268" s="32"/>
      <c r="IY268" s="32"/>
      <c r="IZ268" s="32"/>
      <c r="JA268" s="32"/>
      <c r="JB268" s="32"/>
      <c r="JC268" s="32"/>
      <c r="JD268" s="32"/>
      <c r="JE268" s="32"/>
      <c r="JF268" s="32"/>
      <c r="JG268" s="32"/>
      <c r="JH268" s="32"/>
      <c r="JI268" s="32"/>
      <c r="JJ268" s="32"/>
      <c r="JK268" s="32"/>
      <c r="JL268" s="32"/>
      <c r="JM268" s="32"/>
      <c r="JN268" s="32"/>
      <c r="JO268" s="32"/>
      <c r="JP268" s="32"/>
      <c r="JQ268" s="32"/>
      <c r="JR268" s="32"/>
      <c r="JS268" s="32"/>
      <c r="JT268" s="32"/>
      <c r="JU268" s="32"/>
      <c r="JV268" s="32"/>
      <c r="JW268" s="32"/>
      <c r="JX268" s="32"/>
      <c r="JY268" s="32"/>
      <c r="JZ268" s="32"/>
      <c r="KA268" s="32"/>
      <c r="KB268" s="32"/>
      <c r="KC268" s="32"/>
      <c r="KD268" s="32"/>
      <c r="KE268" s="32"/>
      <c r="KF268" s="32"/>
      <c r="KG268" s="32"/>
      <c r="KH268" s="32"/>
      <c r="KI268" s="32"/>
      <c r="KJ268" s="32"/>
      <c r="KK268" s="32"/>
      <c r="KL268" s="32"/>
      <c r="KM268" s="32"/>
      <c r="KN268" s="32"/>
      <c r="KO268" s="32"/>
      <c r="KP268" s="32"/>
      <c r="KQ268" s="32"/>
      <c r="KR268" s="32"/>
      <c r="KS268" s="32"/>
      <c r="KT268" s="32"/>
      <c r="KU268" s="32"/>
      <c r="KV268" s="32"/>
      <c r="KW268" s="32"/>
      <c r="KX268" s="32"/>
      <c r="KY268" s="32"/>
      <c r="KZ268" s="32"/>
      <c r="LA268" s="32"/>
      <c r="LB268" s="32"/>
      <c r="LC268" s="32"/>
      <c r="LD268" s="32"/>
      <c r="LE268" s="32"/>
      <c r="LF268" s="32"/>
      <c r="LG268" s="32"/>
      <c r="LH268" s="32"/>
      <c r="LI268" s="32"/>
      <c r="LJ268" s="32"/>
      <c r="LK268" s="32"/>
      <c r="LL268" s="32"/>
      <c r="LM268" s="32"/>
      <c r="LN268" s="32"/>
      <c r="LO268" s="32"/>
      <c r="LP268" s="32"/>
      <c r="LQ268" s="32"/>
      <c r="LR268" s="32"/>
      <c r="LS268" s="32"/>
      <c r="LT268" s="32"/>
      <c r="LU268" s="32"/>
      <c r="LV268" s="32"/>
      <c r="LW268" s="32"/>
      <c r="LX268" s="32"/>
      <c r="LY268" s="32"/>
      <c r="LZ268" s="32"/>
      <c r="MA268" s="32"/>
      <c r="MB268" s="32"/>
      <c r="MC268" s="32"/>
      <c r="MD268" s="32"/>
      <c r="ME268" s="32"/>
      <c r="MF268" s="32"/>
      <c r="MG268" s="32"/>
      <c r="MH268" s="32"/>
      <c r="MI268" s="32"/>
      <c r="MJ268" s="32"/>
      <c r="MK268" s="32"/>
      <c r="ML268" s="32"/>
      <c r="MM268" s="32"/>
      <c r="MN268" s="32"/>
      <c r="MO268" s="32"/>
      <c r="MP268" s="32"/>
      <c r="MQ268" s="32"/>
      <c r="MR268" s="32"/>
      <c r="MS268" s="32"/>
      <c r="MT268" s="32"/>
      <c r="MU268" s="32"/>
      <c r="MV268" s="32"/>
      <c r="MW268" s="32"/>
      <c r="MX268" s="32"/>
      <c r="MY268" s="32"/>
      <c r="MZ268" s="32"/>
      <c r="NA268" s="32"/>
      <c r="NB268" s="32"/>
      <c r="NC268" s="32"/>
      <c r="ND268" s="32"/>
      <c r="NE268" s="32"/>
      <c r="NF268" s="32"/>
      <c r="NG268" s="32"/>
      <c r="NH268" s="32"/>
      <c r="NI268" s="32"/>
      <c r="NJ268" s="32"/>
      <c r="NK268" s="32"/>
      <c r="NL268" s="32"/>
      <c r="NM268" s="32"/>
      <c r="NN268" s="32"/>
      <c r="NO268" s="32"/>
      <c r="NP268" s="32"/>
      <c r="NQ268" s="32"/>
      <c r="NR268" s="32"/>
      <c r="NS268" s="32"/>
      <c r="NT268" s="32"/>
      <c r="NU268" s="32"/>
      <c r="NV268" s="32"/>
      <c r="NW268" s="32"/>
      <c r="NX268" s="32"/>
      <c r="NY268" s="32"/>
      <c r="NZ268" s="32"/>
      <c r="OA268" s="32"/>
      <c r="OB268" s="32"/>
      <c r="OC268" s="32"/>
      <c r="OD268" s="32"/>
      <c r="OE268" s="32"/>
      <c r="OF268" s="32"/>
      <c r="OG268" s="32"/>
      <c r="OH268" s="32"/>
      <c r="OI268" s="32"/>
      <c r="OJ268" s="32"/>
      <c r="OK268" s="32"/>
      <c r="OL268" s="32"/>
      <c r="OM268" s="32"/>
      <c r="ON268" s="32"/>
      <c r="OO268" s="32"/>
      <c r="OP268" s="32"/>
      <c r="OQ268" s="32"/>
      <c r="OR268" s="32"/>
      <c r="OS268" s="32"/>
      <c r="OT268" s="32"/>
      <c r="OU268" s="32"/>
      <c r="OV268" s="32"/>
      <c r="OW268" s="32"/>
      <c r="OX268" s="32"/>
      <c r="OY268" s="32"/>
      <c r="OZ268" s="32"/>
      <c r="PA268" s="32"/>
      <c r="PB268" s="32"/>
      <c r="PC268" s="32"/>
      <c r="PD268" s="32"/>
      <c r="PE268" s="32"/>
      <c r="PF268" s="32"/>
      <c r="PG268" s="32"/>
      <c r="PH268" s="32"/>
      <c r="PI268" s="32"/>
      <c r="PJ268" s="32"/>
      <c r="PK268" s="32"/>
      <c r="PL268" s="32"/>
      <c r="PM268" s="32"/>
      <c r="PN268" s="32"/>
      <c r="PO268" s="32"/>
      <c r="PP268" s="32"/>
      <c r="PQ268" s="32"/>
      <c r="PR268" s="32"/>
      <c r="PS268" s="32"/>
      <c r="PT268" s="32"/>
      <c r="PU268" s="32"/>
      <c r="PV268" s="32"/>
      <c r="PW268" s="32"/>
      <c r="PX268" s="32"/>
      <c r="PY268" s="32"/>
      <c r="PZ268" s="32"/>
      <c r="QA268" s="32"/>
      <c r="QB268" s="32"/>
      <c r="QC268" s="32"/>
      <c r="QD268" s="32"/>
      <c r="QE268" s="32"/>
      <c r="QF268" s="32"/>
      <c r="QG268" s="32"/>
      <c r="QH268" s="32"/>
      <c r="QI268" s="32"/>
      <c r="QJ268" s="32"/>
      <c r="QK268" s="32"/>
      <c r="QL268" s="32"/>
      <c r="QM268" s="32"/>
      <c r="QN268" s="32"/>
      <c r="QO268" s="32"/>
      <c r="QP268" s="32"/>
      <c r="QQ268" s="32"/>
      <c r="QR268" s="32"/>
      <c r="QS268" s="32"/>
      <c r="QT268" s="32"/>
      <c r="QU268" s="32"/>
      <c r="QV268" s="32"/>
      <c r="QW268" s="32"/>
      <c r="QX268" s="32"/>
      <c r="QY268" s="32"/>
      <c r="QZ268" s="32"/>
      <c r="RA268" s="32"/>
      <c r="RB268" s="32"/>
      <c r="RC268" s="32"/>
      <c r="RD268" s="32"/>
      <c r="RE268" s="32"/>
      <c r="RF268" s="32"/>
      <c r="RG268" s="32"/>
      <c r="RH268" s="32"/>
      <c r="RI268" s="32"/>
      <c r="RJ268" s="32"/>
      <c r="RK268" s="32"/>
      <c r="RL268" s="32"/>
      <c r="RM268" s="32"/>
      <c r="RN268" s="32"/>
      <c r="RO268" s="32"/>
      <c r="RP268" s="32"/>
      <c r="RQ268" s="32"/>
      <c r="RR268" s="32"/>
      <c r="RS268" s="32"/>
      <c r="RT268" s="32"/>
      <c r="RU268" s="32"/>
      <c r="RV268" s="32"/>
      <c r="RW268" s="32"/>
      <c r="RX268" s="32"/>
      <c r="RY268" s="32"/>
      <c r="RZ268" s="32"/>
      <c r="SA268" s="32"/>
      <c r="SB268" s="32"/>
      <c r="SC268" s="32"/>
      <c r="SD268" s="32"/>
      <c r="SE268" s="32"/>
      <c r="SF268" s="32"/>
      <c r="SG268" s="32"/>
      <c r="SH268" s="32"/>
      <c r="SI268" s="32"/>
      <c r="SJ268" s="32"/>
      <c r="SK268" s="32"/>
      <c r="SL268" s="32"/>
      <c r="SM268" s="32"/>
      <c r="SN268" s="32"/>
      <c r="SO268" s="32"/>
      <c r="SP268" s="32"/>
      <c r="SQ268" s="32"/>
      <c r="SR268" s="32"/>
      <c r="SS268" s="32"/>
      <c r="ST268" s="32"/>
      <c r="SU268" s="32"/>
      <c r="SV268" s="32"/>
      <c r="SW268" s="32"/>
      <c r="SX268" s="32"/>
      <c r="SY268" s="32"/>
      <c r="SZ268" s="32"/>
      <c r="TA268" s="32"/>
      <c r="TB268" s="32"/>
      <c r="TC268" s="32"/>
      <c r="TD268" s="32"/>
      <c r="TE268" s="32"/>
      <c r="TF268" s="32"/>
      <c r="TG268" s="32"/>
    </row>
    <row r="269" spans="1:527" s="34" customFormat="1" ht="47.25" x14ac:dyDescent="0.25">
      <c r="A269" s="96" t="s">
        <v>29</v>
      </c>
      <c r="B269" s="109"/>
      <c r="C269" s="109"/>
      <c r="D269" s="77" t="s">
        <v>420</v>
      </c>
      <c r="E269" s="98">
        <f>SUM(E271+E272+E273+E274+E275+E276+E277+E279+E280+E281+E282+E283+E284+E278+E286+E287)</f>
        <v>3721421.1500000004</v>
      </c>
      <c r="F269" s="98">
        <f t="shared" ref="F269:P269" si="133">SUM(F271+F272+F273+F274+F275+F276+F277+F279+F280+F281+F282+F283+F284+F278+F286+F287)</f>
        <v>3721421.1500000004</v>
      </c>
      <c r="G269" s="98">
        <f t="shared" si="133"/>
        <v>2559400</v>
      </c>
      <c r="H269" s="98">
        <f t="shared" si="133"/>
        <v>0</v>
      </c>
      <c r="I269" s="98">
        <f t="shared" si="133"/>
        <v>0</v>
      </c>
      <c r="J269" s="98">
        <f t="shared" si="133"/>
        <v>280399104.5</v>
      </c>
      <c r="K269" s="98">
        <f t="shared" si="133"/>
        <v>266953821.85000002</v>
      </c>
      <c r="L269" s="98">
        <f t="shared" si="133"/>
        <v>1900000</v>
      </c>
      <c r="M269" s="98">
        <f t="shared" si="133"/>
        <v>1332000</v>
      </c>
      <c r="N269" s="98">
        <f t="shared" si="133"/>
        <v>71500</v>
      </c>
      <c r="O269" s="98">
        <f t="shared" si="133"/>
        <v>278499104.5</v>
      </c>
      <c r="P269" s="98">
        <f t="shared" si="133"/>
        <v>284120525.64999998</v>
      </c>
      <c r="Q269" s="33"/>
      <c r="R269" s="32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33"/>
      <c r="CU269" s="33"/>
      <c r="CV269" s="33"/>
      <c r="CW269" s="33"/>
      <c r="CX269" s="33"/>
      <c r="CY269" s="33"/>
      <c r="CZ269" s="33"/>
      <c r="DA269" s="33"/>
      <c r="DB269" s="33"/>
      <c r="DC269" s="33"/>
      <c r="DD269" s="33"/>
      <c r="DE269" s="33"/>
      <c r="DF269" s="33"/>
      <c r="DG269" s="33"/>
      <c r="DH269" s="33"/>
      <c r="DI269" s="33"/>
      <c r="DJ269" s="33"/>
      <c r="DK269" s="33"/>
      <c r="DL269" s="33"/>
      <c r="DM269" s="33"/>
      <c r="DN269" s="33"/>
      <c r="DO269" s="33"/>
      <c r="DP269" s="33"/>
      <c r="DQ269" s="33"/>
      <c r="DR269" s="33"/>
      <c r="DS269" s="33"/>
      <c r="DT269" s="33"/>
      <c r="DU269" s="33"/>
      <c r="DV269" s="33"/>
      <c r="DW269" s="33"/>
      <c r="DX269" s="33"/>
      <c r="DY269" s="33"/>
      <c r="DZ269" s="33"/>
      <c r="EA269" s="33"/>
      <c r="EB269" s="33"/>
      <c r="EC269" s="33"/>
      <c r="ED269" s="33"/>
      <c r="EE269" s="33"/>
      <c r="EF269" s="33"/>
      <c r="EG269" s="33"/>
      <c r="EH269" s="33"/>
      <c r="EI269" s="33"/>
      <c r="EJ269" s="33"/>
      <c r="EK269" s="33"/>
      <c r="EL269" s="33"/>
      <c r="EM269" s="33"/>
      <c r="EN269" s="33"/>
      <c r="EO269" s="33"/>
      <c r="EP269" s="33"/>
      <c r="EQ269" s="33"/>
      <c r="ER269" s="33"/>
      <c r="ES269" s="33"/>
      <c r="ET269" s="33"/>
      <c r="EU269" s="33"/>
      <c r="EV269" s="33"/>
      <c r="EW269" s="33"/>
      <c r="EX269" s="33"/>
      <c r="EY269" s="33"/>
      <c r="EZ269" s="33"/>
      <c r="FA269" s="33"/>
      <c r="FB269" s="33"/>
      <c r="FC269" s="33"/>
      <c r="FD269" s="33"/>
      <c r="FE269" s="33"/>
      <c r="FF269" s="33"/>
      <c r="FG269" s="33"/>
      <c r="FH269" s="33"/>
      <c r="FI269" s="33"/>
      <c r="FJ269" s="33"/>
      <c r="FK269" s="33"/>
      <c r="FL269" s="33"/>
      <c r="FM269" s="33"/>
      <c r="FN269" s="33"/>
      <c r="FO269" s="33"/>
      <c r="FP269" s="33"/>
      <c r="FQ269" s="33"/>
      <c r="FR269" s="33"/>
      <c r="FS269" s="33"/>
      <c r="FT269" s="33"/>
      <c r="FU269" s="33"/>
      <c r="FV269" s="33"/>
      <c r="FW269" s="33"/>
      <c r="FX269" s="33"/>
      <c r="FY269" s="33"/>
      <c r="FZ269" s="33"/>
      <c r="GA269" s="33"/>
      <c r="GB269" s="33"/>
      <c r="GC269" s="33"/>
      <c r="GD269" s="33"/>
      <c r="GE269" s="33"/>
      <c r="GF269" s="33"/>
      <c r="GG269" s="33"/>
      <c r="GH269" s="33"/>
      <c r="GI269" s="33"/>
      <c r="GJ269" s="33"/>
      <c r="GK269" s="33"/>
      <c r="GL269" s="33"/>
      <c r="GM269" s="33"/>
      <c r="GN269" s="33"/>
      <c r="GO269" s="33"/>
      <c r="GP269" s="33"/>
      <c r="GQ269" s="33"/>
      <c r="GR269" s="33"/>
      <c r="GS269" s="33"/>
      <c r="GT269" s="33"/>
      <c r="GU269" s="33"/>
      <c r="GV269" s="33"/>
      <c r="GW269" s="33"/>
      <c r="GX269" s="33"/>
      <c r="GY269" s="33"/>
      <c r="GZ269" s="33"/>
      <c r="HA269" s="33"/>
      <c r="HB269" s="33"/>
      <c r="HC269" s="33"/>
      <c r="HD269" s="33"/>
      <c r="HE269" s="33"/>
      <c r="HF269" s="33"/>
      <c r="HG269" s="33"/>
      <c r="HH269" s="33"/>
      <c r="HI269" s="33"/>
      <c r="HJ269" s="33"/>
      <c r="HK269" s="33"/>
      <c r="HL269" s="33"/>
      <c r="HM269" s="33"/>
      <c r="HN269" s="33"/>
      <c r="HO269" s="33"/>
      <c r="HP269" s="33"/>
      <c r="HQ269" s="33"/>
      <c r="HR269" s="33"/>
      <c r="HS269" s="33"/>
      <c r="HT269" s="33"/>
      <c r="HU269" s="33"/>
      <c r="HV269" s="33"/>
      <c r="HW269" s="33"/>
      <c r="HX269" s="33"/>
      <c r="HY269" s="33"/>
      <c r="HZ269" s="33"/>
      <c r="IA269" s="33"/>
      <c r="IB269" s="33"/>
      <c r="IC269" s="33"/>
      <c r="ID269" s="33"/>
      <c r="IE269" s="33"/>
      <c r="IF269" s="33"/>
      <c r="IG269" s="33"/>
      <c r="IH269" s="33"/>
      <c r="II269" s="33"/>
      <c r="IJ269" s="33"/>
      <c r="IK269" s="33"/>
      <c r="IL269" s="33"/>
      <c r="IM269" s="33"/>
      <c r="IN269" s="33"/>
      <c r="IO269" s="33"/>
      <c r="IP269" s="33"/>
      <c r="IQ269" s="33"/>
      <c r="IR269" s="33"/>
      <c r="IS269" s="33"/>
      <c r="IT269" s="33"/>
      <c r="IU269" s="33"/>
      <c r="IV269" s="33"/>
      <c r="IW269" s="33"/>
      <c r="IX269" s="33"/>
      <c r="IY269" s="33"/>
      <c r="IZ269" s="33"/>
      <c r="JA269" s="33"/>
      <c r="JB269" s="33"/>
      <c r="JC269" s="33"/>
      <c r="JD269" s="33"/>
      <c r="JE269" s="33"/>
      <c r="JF269" s="33"/>
      <c r="JG269" s="33"/>
      <c r="JH269" s="33"/>
      <c r="JI269" s="33"/>
      <c r="JJ269" s="33"/>
      <c r="JK269" s="33"/>
      <c r="JL269" s="33"/>
      <c r="JM269" s="33"/>
      <c r="JN269" s="33"/>
      <c r="JO269" s="33"/>
      <c r="JP269" s="33"/>
      <c r="JQ269" s="33"/>
      <c r="JR269" s="33"/>
      <c r="JS269" s="33"/>
      <c r="JT269" s="33"/>
      <c r="JU269" s="33"/>
      <c r="JV269" s="33"/>
      <c r="JW269" s="33"/>
      <c r="JX269" s="33"/>
      <c r="JY269" s="33"/>
      <c r="JZ269" s="33"/>
      <c r="KA269" s="33"/>
      <c r="KB269" s="33"/>
      <c r="KC269" s="33"/>
      <c r="KD269" s="33"/>
      <c r="KE269" s="33"/>
      <c r="KF269" s="33"/>
      <c r="KG269" s="33"/>
      <c r="KH269" s="33"/>
      <c r="KI269" s="33"/>
      <c r="KJ269" s="33"/>
      <c r="KK269" s="33"/>
      <c r="KL269" s="33"/>
      <c r="KM269" s="33"/>
      <c r="KN269" s="33"/>
      <c r="KO269" s="33"/>
      <c r="KP269" s="33"/>
      <c r="KQ269" s="33"/>
      <c r="KR269" s="33"/>
      <c r="KS269" s="33"/>
      <c r="KT269" s="33"/>
      <c r="KU269" s="33"/>
      <c r="KV269" s="33"/>
      <c r="KW269" s="33"/>
      <c r="KX269" s="33"/>
      <c r="KY269" s="33"/>
      <c r="KZ269" s="33"/>
      <c r="LA269" s="33"/>
      <c r="LB269" s="33"/>
      <c r="LC269" s="33"/>
      <c r="LD269" s="33"/>
      <c r="LE269" s="33"/>
      <c r="LF269" s="33"/>
      <c r="LG269" s="33"/>
      <c r="LH269" s="33"/>
      <c r="LI269" s="33"/>
      <c r="LJ269" s="33"/>
      <c r="LK269" s="33"/>
      <c r="LL269" s="33"/>
      <c r="LM269" s="33"/>
      <c r="LN269" s="33"/>
      <c r="LO269" s="33"/>
      <c r="LP269" s="33"/>
      <c r="LQ269" s="33"/>
      <c r="LR269" s="33"/>
      <c r="LS269" s="33"/>
      <c r="LT269" s="33"/>
      <c r="LU269" s="33"/>
      <c r="LV269" s="33"/>
      <c r="LW269" s="33"/>
      <c r="LX269" s="33"/>
      <c r="LY269" s="33"/>
      <c r="LZ269" s="33"/>
      <c r="MA269" s="33"/>
      <c r="MB269" s="33"/>
      <c r="MC269" s="33"/>
      <c r="MD269" s="33"/>
      <c r="ME269" s="33"/>
      <c r="MF269" s="33"/>
      <c r="MG269" s="33"/>
      <c r="MH269" s="33"/>
      <c r="MI269" s="33"/>
      <c r="MJ269" s="33"/>
      <c r="MK269" s="33"/>
      <c r="ML269" s="33"/>
      <c r="MM269" s="33"/>
      <c r="MN269" s="33"/>
      <c r="MO269" s="33"/>
      <c r="MP269" s="33"/>
      <c r="MQ269" s="33"/>
      <c r="MR269" s="33"/>
      <c r="MS269" s="33"/>
      <c r="MT269" s="33"/>
      <c r="MU269" s="33"/>
      <c r="MV269" s="33"/>
      <c r="MW269" s="33"/>
      <c r="MX269" s="33"/>
      <c r="MY269" s="33"/>
      <c r="MZ269" s="33"/>
      <c r="NA269" s="33"/>
      <c r="NB269" s="33"/>
      <c r="NC269" s="33"/>
      <c r="ND269" s="33"/>
      <c r="NE269" s="33"/>
      <c r="NF269" s="33"/>
      <c r="NG269" s="33"/>
      <c r="NH269" s="33"/>
      <c r="NI269" s="33"/>
      <c r="NJ269" s="33"/>
      <c r="NK269" s="33"/>
      <c r="NL269" s="33"/>
      <c r="NM269" s="33"/>
      <c r="NN269" s="33"/>
      <c r="NO269" s="33"/>
      <c r="NP269" s="33"/>
      <c r="NQ269" s="33"/>
      <c r="NR269" s="33"/>
      <c r="NS269" s="33"/>
      <c r="NT269" s="33"/>
      <c r="NU269" s="33"/>
      <c r="NV269" s="33"/>
      <c r="NW269" s="33"/>
      <c r="NX269" s="33"/>
      <c r="NY269" s="33"/>
      <c r="NZ269" s="33"/>
      <c r="OA269" s="33"/>
      <c r="OB269" s="33"/>
      <c r="OC269" s="33"/>
      <c r="OD269" s="33"/>
      <c r="OE269" s="33"/>
      <c r="OF269" s="33"/>
      <c r="OG269" s="33"/>
      <c r="OH269" s="33"/>
      <c r="OI269" s="33"/>
      <c r="OJ269" s="33"/>
      <c r="OK269" s="33"/>
      <c r="OL269" s="33"/>
      <c r="OM269" s="33"/>
      <c r="ON269" s="33"/>
      <c r="OO269" s="33"/>
      <c r="OP269" s="33"/>
      <c r="OQ269" s="33"/>
      <c r="OR269" s="33"/>
      <c r="OS269" s="33"/>
      <c r="OT269" s="33"/>
      <c r="OU269" s="33"/>
      <c r="OV269" s="33"/>
      <c r="OW269" s="33"/>
      <c r="OX269" s="33"/>
      <c r="OY269" s="33"/>
      <c r="OZ269" s="33"/>
      <c r="PA269" s="33"/>
      <c r="PB269" s="33"/>
      <c r="PC269" s="33"/>
      <c r="PD269" s="33"/>
      <c r="PE269" s="33"/>
      <c r="PF269" s="33"/>
      <c r="PG269" s="33"/>
      <c r="PH269" s="33"/>
      <c r="PI269" s="33"/>
      <c r="PJ269" s="33"/>
      <c r="PK269" s="33"/>
      <c r="PL269" s="33"/>
      <c r="PM269" s="33"/>
      <c r="PN269" s="33"/>
      <c r="PO269" s="33"/>
      <c r="PP269" s="33"/>
      <c r="PQ269" s="33"/>
      <c r="PR269" s="33"/>
      <c r="PS269" s="33"/>
      <c r="PT269" s="33"/>
      <c r="PU269" s="33"/>
      <c r="PV269" s="33"/>
      <c r="PW269" s="33"/>
      <c r="PX269" s="33"/>
      <c r="PY269" s="33"/>
      <c r="PZ269" s="33"/>
      <c r="QA269" s="33"/>
      <c r="QB269" s="33"/>
      <c r="QC269" s="33"/>
      <c r="QD269" s="33"/>
      <c r="QE269" s="33"/>
      <c r="QF269" s="33"/>
      <c r="QG269" s="33"/>
      <c r="QH269" s="33"/>
      <c r="QI269" s="33"/>
      <c r="QJ269" s="33"/>
      <c r="QK269" s="33"/>
      <c r="QL269" s="33"/>
      <c r="QM269" s="33"/>
      <c r="QN269" s="33"/>
      <c r="QO269" s="33"/>
      <c r="QP269" s="33"/>
      <c r="QQ269" s="33"/>
      <c r="QR269" s="33"/>
      <c r="QS269" s="33"/>
      <c r="QT269" s="33"/>
      <c r="QU269" s="33"/>
      <c r="QV269" s="33"/>
      <c r="QW269" s="33"/>
      <c r="QX269" s="33"/>
      <c r="QY269" s="33"/>
      <c r="QZ269" s="33"/>
      <c r="RA269" s="33"/>
      <c r="RB269" s="33"/>
      <c r="RC269" s="33"/>
      <c r="RD269" s="33"/>
      <c r="RE269" s="33"/>
      <c r="RF269" s="33"/>
      <c r="RG269" s="33"/>
      <c r="RH269" s="33"/>
      <c r="RI269" s="33"/>
      <c r="RJ269" s="33"/>
      <c r="RK269" s="33"/>
      <c r="RL269" s="33"/>
      <c r="RM269" s="33"/>
      <c r="RN269" s="33"/>
      <c r="RO269" s="33"/>
      <c r="RP269" s="33"/>
      <c r="RQ269" s="33"/>
      <c r="RR269" s="33"/>
      <c r="RS269" s="33"/>
      <c r="RT269" s="33"/>
      <c r="RU269" s="33"/>
      <c r="RV269" s="33"/>
      <c r="RW269" s="33"/>
      <c r="RX269" s="33"/>
      <c r="RY269" s="33"/>
      <c r="RZ269" s="33"/>
      <c r="SA269" s="33"/>
      <c r="SB269" s="33"/>
      <c r="SC269" s="33"/>
      <c r="SD269" s="33"/>
      <c r="SE269" s="33"/>
      <c r="SF269" s="33"/>
      <c r="SG269" s="33"/>
      <c r="SH269" s="33"/>
      <c r="SI269" s="33"/>
      <c r="SJ269" s="33"/>
      <c r="SK269" s="33"/>
      <c r="SL269" s="33"/>
      <c r="SM269" s="33"/>
      <c r="SN269" s="33"/>
      <c r="SO269" s="33"/>
      <c r="SP269" s="33"/>
      <c r="SQ269" s="33"/>
      <c r="SR269" s="33"/>
      <c r="SS269" s="33"/>
      <c r="ST269" s="33"/>
      <c r="SU269" s="33"/>
      <c r="SV269" s="33"/>
      <c r="SW269" s="33"/>
      <c r="SX269" s="33"/>
      <c r="SY269" s="33"/>
      <c r="SZ269" s="33"/>
      <c r="TA269" s="33"/>
      <c r="TB269" s="33"/>
      <c r="TC269" s="33"/>
      <c r="TD269" s="33"/>
      <c r="TE269" s="33"/>
      <c r="TF269" s="33"/>
      <c r="TG269" s="33"/>
    </row>
    <row r="270" spans="1:527" s="34" customFormat="1" ht="17.25" customHeight="1" x14ac:dyDescent="0.25">
      <c r="A270" s="96"/>
      <c r="B270" s="109"/>
      <c r="C270" s="109"/>
      <c r="D270" s="83" t="s">
        <v>419</v>
      </c>
      <c r="E270" s="98">
        <f>E285</f>
        <v>0</v>
      </c>
      <c r="F270" s="98">
        <f t="shared" ref="F270:P270" si="134">F285</f>
        <v>0</v>
      </c>
      <c r="G270" s="98">
        <f t="shared" si="134"/>
        <v>0</v>
      </c>
      <c r="H270" s="98">
        <f t="shared" si="134"/>
        <v>0</v>
      </c>
      <c r="I270" s="98">
        <f t="shared" si="134"/>
        <v>0</v>
      </c>
      <c r="J270" s="98">
        <f t="shared" si="134"/>
        <v>96859595</v>
      </c>
      <c r="K270" s="98">
        <f t="shared" si="134"/>
        <v>96859595</v>
      </c>
      <c r="L270" s="98">
        <f t="shared" si="134"/>
        <v>0</v>
      </c>
      <c r="M270" s="98">
        <f t="shared" si="134"/>
        <v>0</v>
      </c>
      <c r="N270" s="98">
        <f t="shared" si="134"/>
        <v>0</v>
      </c>
      <c r="O270" s="98">
        <f t="shared" si="134"/>
        <v>96859595</v>
      </c>
      <c r="P270" s="98">
        <f t="shared" si="134"/>
        <v>96859595</v>
      </c>
      <c r="Q270" s="33"/>
      <c r="R270" s="32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33"/>
      <c r="CU270" s="33"/>
      <c r="CV270" s="33"/>
      <c r="CW270" s="33"/>
      <c r="CX270" s="33"/>
      <c r="CY270" s="33"/>
      <c r="CZ270" s="33"/>
      <c r="DA270" s="33"/>
      <c r="DB270" s="33"/>
      <c r="DC270" s="33"/>
      <c r="DD270" s="33"/>
      <c r="DE270" s="33"/>
      <c r="DF270" s="33"/>
      <c r="DG270" s="33"/>
      <c r="DH270" s="33"/>
      <c r="DI270" s="33"/>
      <c r="DJ270" s="33"/>
      <c r="DK270" s="33"/>
      <c r="DL270" s="33"/>
      <c r="DM270" s="33"/>
      <c r="DN270" s="33"/>
      <c r="DO270" s="33"/>
      <c r="DP270" s="33"/>
      <c r="DQ270" s="33"/>
      <c r="DR270" s="33"/>
      <c r="DS270" s="33"/>
      <c r="DT270" s="33"/>
      <c r="DU270" s="33"/>
      <c r="DV270" s="33"/>
      <c r="DW270" s="33"/>
      <c r="DX270" s="33"/>
      <c r="DY270" s="33"/>
      <c r="DZ270" s="33"/>
      <c r="EA270" s="33"/>
      <c r="EB270" s="33"/>
      <c r="EC270" s="33"/>
      <c r="ED270" s="33"/>
      <c r="EE270" s="33"/>
      <c r="EF270" s="33"/>
      <c r="EG270" s="33"/>
      <c r="EH270" s="33"/>
      <c r="EI270" s="33"/>
      <c r="EJ270" s="33"/>
      <c r="EK270" s="33"/>
      <c r="EL270" s="33"/>
      <c r="EM270" s="33"/>
      <c r="EN270" s="33"/>
      <c r="EO270" s="33"/>
      <c r="EP270" s="33"/>
      <c r="EQ270" s="33"/>
      <c r="ER270" s="33"/>
      <c r="ES270" s="33"/>
      <c r="ET270" s="33"/>
      <c r="EU270" s="33"/>
      <c r="EV270" s="33"/>
      <c r="EW270" s="33"/>
      <c r="EX270" s="33"/>
      <c r="EY270" s="33"/>
      <c r="EZ270" s="33"/>
      <c r="FA270" s="33"/>
      <c r="FB270" s="33"/>
      <c r="FC270" s="33"/>
      <c r="FD270" s="33"/>
      <c r="FE270" s="33"/>
      <c r="FF270" s="33"/>
      <c r="FG270" s="33"/>
      <c r="FH270" s="33"/>
      <c r="FI270" s="33"/>
      <c r="FJ270" s="33"/>
      <c r="FK270" s="33"/>
      <c r="FL270" s="33"/>
      <c r="FM270" s="33"/>
      <c r="FN270" s="33"/>
      <c r="FO270" s="33"/>
      <c r="FP270" s="33"/>
      <c r="FQ270" s="33"/>
      <c r="FR270" s="33"/>
      <c r="FS270" s="33"/>
      <c r="FT270" s="33"/>
      <c r="FU270" s="33"/>
      <c r="FV270" s="33"/>
      <c r="FW270" s="33"/>
      <c r="FX270" s="33"/>
      <c r="FY270" s="33"/>
      <c r="FZ270" s="33"/>
      <c r="GA270" s="33"/>
      <c r="GB270" s="33"/>
      <c r="GC270" s="33"/>
      <c r="GD270" s="33"/>
      <c r="GE270" s="33"/>
      <c r="GF270" s="33"/>
      <c r="GG270" s="33"/>
      <c r="GH270" s="33"/>
      <c r="GI270" s="33"/>
      <c r="GJ270" s="33"/>
      <c r="GK270" s="33"/>
      <c r="GL270" s="33"/>
      <c r="GM270" s="33"/>
      <c r="GN270" s="33"/>
      <c r="GO270" s="33"/>
      <c r="GP270" s="33"/>
      <c r="GQ270" s="33"/>
      <c r="GR270" s="33"/>
      <c r="GS270" s="33"/>
      <c r="GT270" s="33"/>
      <c r="GU270" s="33"/>
      <c r="GV270" s="33"/>
      <c r="GW270" s="33"/>
      <c r="GX270" s="33"/>
      <c r="GY270" s="33"/>
      <c r="GZ270" s="33"/>
      <c r="HA270" s="33"/>
      <c r="HB270" s="33"/>
      <c r="HC270" s="33"/>
      <c r="HD270" s="33"/>
      <c r="HE270" s="33"/>
      <c r="HF270" s="33"/>
      <c r="HG270" s="33"/>
      <c r="HH270" s="33"/>
      <c r="HI270" s="33"/>
      <c r="HJ270" s="33"/>
      <c r="HK270" s="33"/>
      <c r="HL270" s="33"/>
      <c r="HM270" s="33"/>
      <c r="HN270" s="33"/>
      <c r="HO270" s="33"/>
      <c r="HP270" s="33"/>
      <c r="HQ270" s="33"/>
      <c r="HR270" s="33"/>
      <c r="HS270" s="33"/>
      <c r="HT270" s="33"/>
      <c r="HU270" s="33"/>
      <c r="HV270" s="33"/>
      <c r="HW270" s="33"/>
      <c r="HX270" s="33"/>
      <c r="HY270" s="33"/>
      <c r="HZ270" s="33"/>
      <c r="IA270" s="33"/>
      <c r="IB270" s="33"/>
      <c r="IC270" s="33"/>
      <c r="ID270" s="33"/>
      <c r="IE270" s="33"/>
      <c r="IF270" s="33"/>
      <c r="IG270" s="33"/>
      <c r="IH270" s="33"/>
      <c r="II270" s="33"/>
      <c r="IJ270" s="33"/>
      <c r="IK270" s="33"/>
      <c r="IL270" s="33"/>
      <c r="IM270" s="33"/>
      <c r="IN270" s="33"/>
      <c r="IO270" s="33"/>
      <c r="IP270" s="33"/>
      <c r="IQ270" s="33"/>
      <c r="IR270" s="33"/>
      <c r="IS270" s="33"/>
      <c r="IT270" s="33"/>
      <c r="IU270" s="33"/>
      <c r="IV270" s="33"/>
      <c r="IW270" s="33"/>
      <c r="IX270" s="33"/>
      <c r="IY270" s="33"/>
      <c r="IZ270" s="33"/>
      <c r="JA270" s="33"/>
      <c r="JB270" s="33"/>
      <c r="JC270" s="33"/>
      <c r="JD270" s="33"/>
      <c r="JE270" s="33"/>
      <c r="JF270" s="33"/>
      <c r="JG270" s="33"/>
      <c r="JH270" s="33"/>
      <c r="JI270" s="33"/>
      <c r="JJ270" s="33"/>
      <c r="JK270" s="33"/>
      <c r="JL270" s="33"/>
      <c r="JM270" s="33"/>
      <c r="JN270" s="33"/>
      <c r="JO270" s="33"/>
      <c r="JP270" s="33"/>
      <c r="JQ270" s="33"/>
      <c r="JR270" s="33"/>
      <c r="JS270" s="33"/>
      <c r="JT270" s="33"/>
      <c r="JU270" s="33"/>
      <c r="JV270" s="33"/>
      <c r="JW270" s="33"/>
      <c r="JX270" s="33"/>
      <c r="JY270" s="33"/>
      <c r="JZ270" s="33"/>
      <c r="KA270" s="33"/>
      <c r="KB270" s="33"/>
      <c r="KC270" s="33"/>
      <c r="KD270" s="33"/>
      <c r="KE270" s="33"/>
      <c r="KF270" s="33"/>
      <c r="KG270" s="33"/>
      <c r="KH270" s="33"/>
      <c r="KI270" s="33"/>
      <c r="KJ270" s="33"/>
      <c r="KK270" s="33"/>
      <c r="KL270" s="33"/>
      <c r="KM270" s="33"/>
      <c r="KN270" s="33"/>
      <c r="KO270" s="33"/>
      <c r="KP270" s="33"/>
      <c r="KQ270" s="33"/>
      <c r="KR270" s="33"/>
      <c r="KS270" s="33"/>
      <c r="KT270" s="33"/>
      <c r="KU270" s="33"/>
      <c r="KV270" s="33"/>
      <c r="KW270" s="33"/>
      <c r="KX270" s="33"/>
      <c r="KY270" s="33"/>
      <c r="KZ270" s="33"/>
      <c r="LA270" s="33"/>
      <c r="LB270" s="33"/>
      <c r="LC270" s="33"/>
      <c r="LD270" s="33"/>
      <c r="LE270" s="33"/>
      <c r="LF270" s="33"/>
      <c r="LG270" s="33"/>
      <c r="LH270" s="33"/>
      <c r="LI270" s="33"/>
      <c r="LJ270" s="33"/>
      <c r="LK270" s="33"/>
      <c r="LL270" s="33"/>
      <c r="LM270" s="33"/>
      <c r="LN270" s="33"/>
      <c r="LO270" s="33"/>
      <c r="LP270" s="33"/>
      <c r="LQ270" s="33"/>
      <c r="LR270" s="33"/>
      <c r="LS270" s="33"/>
      <c r="LT270" s="33"/>
      <c r="LU270" s="33"/>
      <c r="LV270" s="33"/>
      <c r="LW270" s="33"/>
      <c r="LX270" s="33"/>
      <c r="LY270" s="33"/>
      <c r="LZ270" s="33"/>
      <c r="MA270" s="33"/>
      <c r="MB270" s="33"/>
      <c r="MC270" s="33"/>
      <c r="MD270" s="33"/>
      <c r="ME270" s="33"/>
      <c r="MF270" s="33"/>
      <c r="MG270" s="33"/>
      <c r="MH270" s="33"/>
      <c r="MI270" s="33"/>
      <c r="MJ270" s="33"/>
      <c r="MK270" s="33"/>
      <c r="ML270" s="33"/>
      <c r="MM270" s="33"/>
      <c r="MN270" s="33"/>
      <c r="MO270" s="33"/>
      <c r="MP270" s="33"/>
      <c r="MQ270" s="33"/>
      <c r="MR270" s="33"/>
      <c r="MS270" s="33"/>
      <c r="MT270" s="33"/>
      <c r="MU270" s="33"/>
      <c r="MV270" s="33"/>
      <c r="MW270" s="33"/>
      <c r="MX270" s="33"/>
      <c r="MY270" s="33"/>
      <c r="MZ270" s="33"/>
      <c r="NA270" s="33"/>
      <c r="NB270" s="33"/>
      <c r="NC270" s="33"/>
      <c r="ND270" s="33"/>
      <c r="NE270" s="33"/>
      <c r="NF270" s="33"/>
      <c r="NG270" s="33"/>
      <c r="NH270" s="33"/>
      <c r="NI270" s="33"/>
      <c r="NJ270" s="33"/>
      <c r="NK270" s="33"/>
      <c r="NL270" s="33"/>
      <c r="NM270" s="33"/>
      <c r="NN270" s="33"/>
      <c r="NO270" s="33"/>
      <c r="NP270" s="33"/>
      <c r="NQ270" s="33"/>
      <c r="NR270" s="33"/>
      <c r="NS270" s="33"/>
      <c r="NT270" s="33"/>
      <c r="NU270" s="33"/>
      <c r="NV270" s="33"/>
      <c r="NW270" s="33"/>
      <c r="NX270" s="33"/>
      <c r="NY270" s="33"/>
      <c r="NZ270" s="33"/>
      <c r="OA270" s="33"/>
      <c r="OB270" s="33"/>
      <c r="OC270" s="33"/>
      <c r="OD270" s="33"/>
      <c r="OE270" s="33"/>
      <c r="OF270" s="33"/>
      <c r="OG270" s="33"/>
      <c r="OH270" s="33"/>
      <c r="OI270" s="33"/>
      <c r="OJ270" s="33"/>
      <c r="OK270" s="33"/>
      <c r="OL270" s="33"/>
      <c r="OM270" s="33"/>
      <c r="ON270" s="33"/>
      <c r="OO270" s="33"/>
      <c r="OP270" s="33"/>
      <c r="OQ270" s="33"/>
      <c r="OR270" s="33"/>
      <c r="OS270" s="33"/>
      <c r="OT270" s="33"/>
      <c r="OU270" s="33"/>
      <c r="OV270" s="33"/>
      <c r="OW270" s="33"/>
      <c r="OX270" s="33"/>
      <c r="OY270" s="33"/>
      <c r="OZ270" s="33"/>
      <c r="PA270" s="33"/>
      <c r="PB270" s="33"/>
      <c r="PC270" s="33"/>
      <c r="PD270" s="33"/>
      <c r="PE270" s="33"/>
      <c r="PF270" s="33"/>
      <c r="PG270" s="33"/>
      <c r="PH270" s="33"/>
      <c r="PI270" s="33"/>
      <c r="PJ270" s="33"/>
      <c r="PK270" s="33"/>
      <c r="PL270" s="33"/>
      <c r="PM270" s="33"/>
      <c r="PN270" s="33"/>
      <c r="PO270" s="33"/>
      <c r="PP270" s="33"/>
      <c r="PQ270" s="33"/>
      <c r="PR270" s="33"/>
      <c r="PS270" s="33"/>
      <c r="PT270" s="33"/>
      <c r="PU270" s="33"/>
      <c r="PV270" s="33"/>
      <c r="PW270" s="33"/>
      <c r="PX270" s="33"/>
      <c r="PY270" s="33"/>
      <c r="PZ270" s="33"/>
      <c r="QA270" s="33"/>
      <c r="QB270" s="33"/>
      <c r="QC270" s="33"/>
      <c r="QD270" s="33"/>
      <c r="QE270" s="33"/>
      <c r="QF270" s="33"/>
      <c r="QG270" s="33"/>
      <c r="QH270" s="33"/>
      <c r="QI270" s="33"/>
      <c r="QJ270" s="33"/>
      <c r="QK270" s="33"/>
      <c r="QL270" s="33"/>
      <c r="QM270" s="33"/>
      <c r="QN270" s="33"/>
      <c r="QO270" s="33"/>
      <c r="QP270" s="33"/>
      <c r="QQ270" s="33"/>
      <c r="QR270" s="33"/>
      <c r="QS270" s="33"/>
      <c r="QT270" s="33"/>
      <c r="QU270" s="33"/>
      <c r="QV270" s="33"/>
      <c r="QW270" s="33"/>
      <c r="QX270" s="33"/>
      <c r="QY270" s="33"/>
      <c r="QZ270" s="33"/>
      <c r="RA270" s="33"/>
      <c r="RB270" s="33"/>
      <c r="RC270" s="33"/>
      <c r="RD270" s="33"/>
      <c r="RE270" s="33"/>
      <c r="RF270" s="33"/>
      <c r="RG270" s="33"/>
      <c r="RH270" s="33"/>
      <c r="RI270" s="33"/>
      <c r="RJ270" s="33"/>
      <c r="RK270" s="33"/>
      <c r="RL270" s="33"/>
      <c r="RM270" s="33"/>
      <c r="RN270" s="33"/>
      <c r="RO270" s="33"/>
      <c r="RP270" s="33"/>
      <c r="RQ270" s="33"/>
      <c r="RR270" s="33"/>
      <c r="RS270" s="33"/>
      <c r="RT270" s="33"/>
      <c r="RU270" s="33"/>
      <c r="RV270" s="33"/>
      <c r="RW270" s="33"/>
      <c r="RX270" s="33"/>
      <c r="RY270" s="33"/>
      <c r="RZ270" s="33"/>
      <c r="SA270" s="33"/>
      <c r="SB270" s="33"/>
      <c r="SC270" s="33"/>
      <c r="SD270" s="33"/>
      <c r="SE270" s="33"/>
      <c r="SF270" s="33"/>
      <c r="SG270" s="33"/>
      <c r="SH270" s="33"/>
      <c r="SI270" s="33"/>
      <c r="SJ270" s="33"/>
      <c r="SK270" s="33"/>
      <c r="SL270" s="33"/>
      <c r="SM270" s="33"/>
      <c r="SN270" s="33"/>
      <c r="SO270" s="33"/>
      <c r="SP270" s="33"/>
      <c r="SQ270" s="33"/>
      <c r="SR270" s="33"/>
      <c r="SS270" s="33"/>
      <c r="ST270" s="33"/>
      <c r="SU270" s="33"/>
      <c r="SV270" s="33"/>
      <c r="SW270" s="33"/>
      <c r="SX270" s="33"/>
      <c r="SY270" s="33"/>
      <c r="SZ270" s="33"/>
      <c r="TA270" s="33"/>
      <c r="TB270" s="33"/>
      <c r="TC270" s="33"/>
      <c r="TD270" s="33"/>
      <c r="TE270" s="33"/>
      <c r="TF270" s="33"/>
      <c r="TG270" s="33"/>
    </row>
    <row r="271" spans="1:527" s="22" customFormat="1" ht="47.25" x14ac:dyDescent="0.25">
      <c r="A271" s="59" t="s">
        <v>140</v>
      </c>
      <c r="B271" s="93" t="str">
        <f>'дод 8'!A19</f>
        <v>0160</v>
      </c>
      <c r="C271" s="93" t="str">
        <f>'дод 8'!B19</f>
        <v>0111</v>
      </c>
      <c r="D271" s="36" t="s">
        <v>494</v>
      </c>
      <c r="E271" s="99">
        <f t="shared" ref="E271:E286" si="135">F271+I271</f>
        <v>3109000</v>
      </c>
      <c r="F271" s="99">
        <f>3609000-1000000+500000</f>
        <v>3109000</v>
      </c>
      <c r="G271" s="99">
        <f>2958200-812000+413200</f>
        <v>2559400</v>
      </c>
      <c r="H271" s="99"/>
      <c r="I271" s="99"/>
      <c r="J271" s="99">
        <f>L271+O271</f>
        <v>1900000</v>
      </c>
      <c r="K271" s="99"/>
      <c r="L271" s="99">
        <v>1900000</v>
      </c>
      <c r="M271" s="99">
        <v>1332000</v>
      </c>
      <c r="N271" s="99">
        <v>71500</v>
      </c>
      <c r="O271" s="99"/>
      <c r="P271" s="99">
        <f t="shared" ref="P271:P286" si="136">E271+J271</f>
        <v>5009000</v>
      </c>
      <c r="Q271" s="23"/>
      <c r="R271" s="32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  <c r="IW271" s="23"/>
      <c r="IX271" s="23"/>
      <c r="IY271" s="23"/>
      <c r="IZ271" s="23"/>
      <c r="JA271" s="23"/>
      <c r="JB271" s="23"/>
      <c r="JC271" s="23"/>
      <c r="JD271" s="23"/>
      <c r="JE271" s="23"/>
      <c r="JF271" s="23"/>
      <c r="JG271" s="23"/>
      <c r="JH271" s="23"/>
      <c r="JI271" s="23"/>
      <c r="JJ271" s="23"/>
      <c r="JK271" s="23"/>
      <c r="JL271" s="23"/>
      <c r="JM271" s="23"/>
      <c r="JN271" s="23"/>
      <c r="JO271" s="23"/>
      <c r="JP271" s="23"/>
      <c r="JQ271" s="23"/>
      <c r="JR271" s="23"/>
      <c r="JS271" s="23"/>
      <c r="JT271" s="23"/>
      <c r="JU271" s="23"/>
      <c r="JV271" s="23"/>
      <c r="JW271" s="23"/>
      <c r="JX271" s="23"/>
      <c r="JY271" s="23"/>
      <c r="JZ271" s="23"/>
      <c r="KA271" s="23"/>
      <c r="KB271" s="23"/>
      <c r="KC271" s="23"/>
      <c r="KD271" s="23"/>
      <c r="KE271" s="23"/>
      <c r="KF271" s="23"/>
      <c r="KG271" s="23"/>
      <c r="KH271" s="23"/>
      <c r="KI271" s="23"/>
      <c r="KJ271" s="23"/>
      <c r="KK271" s="23"/>
      <c r="KL271" s="23"/>
      <c r="KM271" s="23"/>
      <c r="KN271" s="23"/>
      <c r="KO271" s="23"/>
      <c r="KP271" s="23"/>
      <c r="KQ271" s="23"/>
      <c r="KR271" s="23"/>
      <c r="KS271" s="23"/>
      <c r="KT271" s="23"/>
      <c r="KU271" s="23"/>
      <c r="KV271" s="23"/>
      <c r="KW271" s="23"/>
      <c r="KX271" s="23"/>
      <c r="KY271" s="23"/>
      <c r="KZ271" s="23"/>
      <c r="LA271" s="23"/>
      <c r="LB271" s="23"/>
      <c r="LC271" s="23"/>
      <c r="LD271" s="23"/>
      <c r="LE271" s="23"/>
      <c r="LF271" s="23"/>
      <c r="LG271" s="23"/>
      <c r="LH271" s="23"/>
      <c r="LI271" s="23"/>
      <c r="LJ271" s="23"/>
      <c r="LK271" s="23"/>
      <c r="LL271" s="23"/>
      <c r="LM271" s="23"/>
      <c r="LN271" s="23"/>
      <c r="LO271" s="23"/>
      <c r="LP271" s="23"/>
      <c r="LQ271" s="23"/>
      <c r="LR271" s="23"/>
      <c r="LS271" s="23"/>
      <c r="LT271" s="23"/>
      <c r="LU271" s="23"/>
      <c r="LV271" s="23"/>
      <c r="LW271" s="23"/>
      <c r="LX271" s="23"/>
      <c r="LY271" s="23"/>
      <c r="LZ271" s="23"/>
      <c r="MA271" s="23"/>
      <c r="MB271" s="23"/>
      <c r="MC271" s="23"/>
      <c r="MD271" s="23"/>
      <c r="ME271" s="23"/>
      <c r="MF271" s="23"/>
      <c r="MG271" s="23"/>
      <c r="MH271" s="23"/>
      <c r="MI271" s="23"/>
      <c r="MJ271" s="23"/>
      <c r="MK271" s="23"/>
      <c r="ML271" s="23"/>
      <c r="MM271" s="23"/>
      <c r="MN271" s="23"/>
      <c r="MO271" s="23"/>
      <c r="MP271" s="23"/>
      <c r="MQ271" s="23"/>
      <c r="MR271" s="23"/>
      <c r="MS271" s="23"/>
      <c r="MT271" s="23"/>
      <c r="MU271" s="23"/>
      <c r="MV271" s="23"/>
      <c r="MW271" s="23"/>
      <c r="MX271" s="23"/>
      <c r="MY271" s="23"/>
      <c r="MZ271" s="23"/>
      <c r="NA271" s="23"/>
      <c r="NB271" s="23"/>
      <c r="NC271" s="23"/>
      <c r="ND271" s="23"/>
      <c r="NE271" s="23"/>
      <c r="NF271" s="23"/>
      <c r="NG271" s="23"/>
      <c r="NH271" s="23"/>
      <c r="NI271" s="23"/>
      <c r="NJ271" s="23"/>
      <c r="NK271" s="23"/>
      <c r="NL271" s="23"/>
      <c r="NM271" s="23"/>
      <c r="NN271" s="23"/>
      <c r="NO271" s="23"/>
      <c r="NP271" s="23"/>
      <c r="NQ271" s="23"/>
      <c r="NR271" s="23"/>
      <c r="NS271" s="23"/>
      <c r="NT271" s="23"/>
      <c r="NU271" s="23"/>
      <c r="NV271" s="23"/>
      <c r="NW271" s="23"/>
      <c r="NX271" s="23"/>
      <c r="NY271" s="23"/>
      <c r="NZ271" s="23"/>
      <c r="OA271" s="23"/>
      <c r="OB271" s="23"/>
      <c r="OC271" s="23"/>
      <c r="OD271" s="23"/>
      <c r="OE271" s="23"/>
      <c r="OF271" s="23"/>
      <c r="OG271" s="23"/>
      <c r="OH271" s="23"/>
      <c r="OI271" s="23"/>
      <c r="OJ271" s="23"/>
      <c r="OK271" s="23"/>
      <c r="OL271" s="23"/>
      <c r="OM271" s="23"/>
      <c r="ON271" s="23"/>
      <c r="OO271" s="23"/>
      <c r="OP271" s="23"/>
      <c r="OQ271" s="23"/>
      <c r="OR271" s="23"/>
      <c r="OS271" s="23"/>
      <c r="OT271" s="23"/>
      <c r="OU271" s="23"/>
      <c r="OV271" s="23"/>
      <c r="OW271" s="23"/>
      <c r="OX271" s="23"/>
      <c r="OY271" s="23"/>
      <c r="OZ271" s="23"/>
      <c r="PA271" s="23"/>
      <c r="PB271" s="23"/>
      <c r="PC271" s="23"/>
      <c r="PD271" s="23"/>
      <c r="PE271" s="23"/>
      <c r="PF271" s="23"/>
      <c r="PG271" s="23"/>
      <c r="PH271" s="23"/>
      <c r="PI271" s="23"/>
      <c r="PJ271" s="23"/>
      <c r="PK271" s="23"/>
      <c r="PL271" s="23"/>
      <c r="PM271" s="23"/>
      <c r="PN271" s="23"/>
      <c r="PO271" s="23"/>
      <c r="PP271" s="23"/>
      <c r="PQ271" s="23"/>
      <c r="PR271" s="23"/>
      <c r="PS271" s="23"/>
      <c r="PT271" s="23"/>
      <c r="PU271" s="23"/>
      <c r="PV271" s="23"/>
      <c r="PW271" s="23"/>
      <c r="PX271" s="23"/>
      <c r="PY271" s="23"/>
      <c r="PZ271" s="23"/>
      <c r="QA271" s="23"/>
      <c r="QB271" s="23"/>
      <c r="QC271" s="23"/>
      <c r="QD271" s="23"/>
      <c r="QE271" s="23"/>
      <c r="QF271" s="23"/>
      <c r="QG271" s="23"/>
      <c r="QH271" s="23"/>
      <c r="QI271" s="23"/>
      <c r="QJ271" s="23"/>
      <c r="QK271" s="23"/>
      <c r="QL271" s="23"/>
      <c r="QM271" s="23"/>
      <c r="QN271" s="23"/>
      <c r="QO271" s="23"/>
      <c r="QP271" s="23"/>
      <c r="QQ271" s="23"/>
      <c r="QR271" s="23"/>
      <c r="QS271" s="23"/>
      <c r="QT271" s="23"/>
      <c r="QU271" s="23"/>
      <c r="QV271" s="23"/>
      <c r="QW271" s="23"/>
      <c r="QX271" s="23"/>
      <c r="QY271" s="23"/>
      <c r="QZ271" s="23"/>
      <c r="RA271" s="23"/>
      <c r="RB271" s="23"/>
      <c r="RC271" s="23"/>
      <c r="RD271" s="23"/>
      <c r="RE271" s="23"/>
      <c r="RF271" s="23"/>
      <c r="RG271" s="23"/>
      <c r="RH271" s="23"/>
      <c r="RI271" s="23"/>
      <c r="RJ271" s="23"/>
      <c r="RK271" s="23"/>
      <c r="RL271" s="23"/>
      <c r="RM271" s="23"/>
      <c r="RN271" s="23"/>
      <c r="RO271" s="23"/>
      <c r="RP271" s="23"/>
      <c r="RQ271" s="23"/>
      <c r="RR271" s="23"/>
      <c r="RS271" s="23"/>
      <c r="RT271" s="23"/>
      <c r="RU271" s="23"/>
      <c r="RV271" s="23"/>
      <c r="RW271" s="23"/>
      <c r="RX271" s="23"/>
      <c r="RY271" s="23"/>
      <c r="RZ271" s="23"/>
      <c r="SA271" s="23"/>
      <c r="SB271" s="23"/>
      <c r="SC271" s="23"/>
      <c r="SD271" s="23"/>
      <c r="SE271" s="23"/>
      <c r="SF271" s="23"/>
      <c r="SG271" s="23"/>
      <c r="SH271" s="23"/>
      <c r="SI271" s="23"/>
      <c r="SJ271" s="23"/>
      <c r="SK271" s="23"/>
      <c r="SL271" s="23"/>
      <c r="SM271" s="23"/>
      <c r="SN271" s="23"/>
      <c r="SO271" s="23"/>
      <c r="SP271" s="23"/>
      <c r="SQ271" s="23"/>
      <c r="SR271" s="23"/>
      <c r="SS271" s="23"/>
      <c r="ST271" s="23"/>
      <c r="SU271" s="23"/>
      <c r="SV271" s="23"/>
      <c r="SW271" s="23"/>
      <c r="SX271" s="23"/>
      <c r="SY271" s="23"/>
      <c r="SZ271" s="23"/>
      <c r="TA271" s="23"/>
      <c r="TB271" s="23"/>
      <c r="TC271" s="23"/>
      <c r="TD271" s="23"/>
      <c r="TE271" s="23"/>
      <c r="TF271" s="23"/>
      <c r="TG271" s="23"/>
    </row>
    <row r="272" spans="1:527" s="22" customFormat="1" ht="18" customHeight="1" x14ac:dyDescent="0.25">
      <c r="A272" s="59" t="s">
        <v>205</v>
      </c>
      <c r="B272" s="93" t="str">
        <f>'дод 8'!A162</f>
        <v>6030</v>
      </c>
      <c r="C272" s="93" t="str">
        <f>'дод 8'!B162</f>
        <v>0620</v>
      </c>
      <c r="D272" s="60" t="str">
        <f>'дод 8'!C162</f>
        <v>Організація благоустрою населених пунктів</v>
      </c>
      <c r="E272" s="99">
        <f t="shared" si="135"/>
        <v>0</v>
      </c>
      <c r="F272" s="99"/>
      <c r="G272" s="99"/>
      <c r="H272" s="99"/>
      <c r="I272" s="99"/>
      <c r="J272" s="99">
        <f t="shared" ref="J272:J294" si="137">L272+O272</f>
        <v>59585128</v>
      </c>
      <c r="K272" s="99">
        <f>50000000+200000+100000+49000+50000+1764511+50000+381259-3407127+9457485+300000+640000</f>
        <v>59585128</v>
      </c>
      <c r="L272" s="99"/>
      <c r="M272" s="99"/>
      <c r="N272" s="99"/>
      <c r="O272" s="99">
        <f>50000000+200000+100000+49000+50000+1764511+50000+381259-3407127+9457485+300000+640000</f>
        <v>59585128</v>
      </c>
      <c r="P272" s="99">
        <f t="shared" si="136"/>
        <v>59585128</v>
      </c>
      <c r="Q272" s="23"/>
      <c r="R272" s="32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  <c r="GT272" s="23"/>
      <c r="GU272" s="23"/>
      <c r="GV272" s="23"/>
      <c r="GW272" s="23"/>
      <c r="GX272" s="23"/>
      <c r="GY272" s="23"/>
      <c r="GZ272" s="23"/>
      <c r="HA272" s="23"/>
      <c r="HB272" s="23"/>
      <c r="HC272" s="23"/>
      <c r="HD272" s="23"/>
      <c r="HE272" s="23"/>
      <c r="HF272" s="23"/>
      <c r="HG272" s="23"/>
      <c r="HH272" s="23"/>
      <c r="HI272" s="23"/>
      <c r="HJ272" s="23"/>
      <c r="HK272" s="23"/>
      <c r="HL272" s="23"/>
      <c r="HM272" s="23"/>
      <c r="HN272" s="23"/>
      <c r="HO272" s="23"/>
      <c r="HP272" s="23"/>
      <c r="HQ272" s="23"/>
      <c r="HR272" s="23"/>
      <c r="HS272" s="23"/>
      <c r="HT272" s="23"/>
      <c r="HU272" s="23"/>
      <c r="HV272" s="23"/>
      <c r="HW272" s="23"/>
      <c r="HX272" s="23"/>
      <c r="HY272" s="23"/>
      <c r="HZ272" s="23"/>
      <c r="IA272" s="23"/>
      <c r="IB272" s="23"/>
      <c r="IC272" s="23"/>
      <c r="ID272" s="23"/>
      <c r="IE272" s="23"/>
      <c r="IF272" s="23"/>
      <c r="IG272" s="23"/>
      <c r="IH272" s="23"/>
      <c r="II272" s="23"/>
      <c r="IJ272" s="23"/>
      <c r="IK272" s="23"/>
      <c r="IL272" s="23"/>
      <c r="IM272" s="23"/>
      <c r="IN272" s="23"/>
      <c r="IO272" s="23"/>
      <c r="IP272" s="23"/>
      <c r="IQ272" s="23"/>
      <c r="IR272" s="23"/>
      <c r="IS272" s="23"/>
      <c r="IT272" s="23"/>
      <c r="IU272" s="23"/>
      <c r="IV272" s="23"/>
      <c r="IW272" s="23"/>
      <c r="IX272" s="23"/>
      <c r="IY272" s="23"/>
      <c r="IZ272" s="23"/>
      <c r="JA272" s="23"/>
      <c r="JB272" s="23"/>
      <c r="JC272" s="23"/>
      <c r="JD272" s="23"/>
      <c r="JE272" s="23"/>
      <c r="JF272" s="23"/>
      <c r="JG272" s="23"/>
      <c r="JH272" s="23"/>
      <c r="JI272" s="23"/>
      <c r="JJ272" s="23"/>
      <c r="JK272" s="23"/>
      <c r="JL272" s="23"/>
      <c r="JM272" s="23"/>
      <c r="JN272" s="23"/>
      <c r="JO272" s="23"/>
      <c r="JP272" s="23"/>
      <c r="JQ272" s="23"/>
      <c r="JR272" s="23"/>
      <c r="JS272" s="23"/>
      <c r="JT272" s="23"/>
      <c r="JU272" s="23"/>
      <c r="JV272" s="23"/>
      <c r="JW272" s="23"/>
      <c r="JX272" s="23"/>
      <c r="JY272" s="23"/>
      <c r="JZ272" s="23"/>
      <c r="KA272" s="23"/>
      <c r="KB272" s="23"/>
      <c r="KC272" s="23"/>
      <c r="KD272" s="23"/>
      <c r="KE272" s="23"/>
      <c r="KF272" s="23"/>
      <c r="KG272" s="23"/>
      <c r="KH272" s="23"/>
      <c r="KI272" s="23"/>
      <c r="KJ272" s="23"/>
      <c r="KK272" s="23"/>
      <c r="KL272" s="23"/>
      <c r="KM272" s="23"/>
      <c r="KN272" s="23"/>
      <c r="KO272" s="23"/>
      <c r="KP272" s="23"/>
      <c r="KQ272" s="23"/>
      <c r="KR272" s="23"/>
      <c r="KS272" s="23"/>
      <c r="KT272" s="23"/>
      <c r="KU272" s="23"/>
      <c r="KV272" s="23"/>
      <c r="KW272" s="23"/>
      <c r="KX272" s="23"/>
      <c r="KY272" s="23"/>
      <c r="KZ272" s="23"/>
      <c r="LA272" s="23"/>
      <c r="LB272" s="23"/>
      <c r="LC272" s="23"/>
      <c r="LD272" s="23"/>
      <c r="LE272" s="23"/>
      <c r="LF272" s="23"/>
      <c r="LG272" s="23"/>
      <c r="LH272" s="23"/>
      <c r="LI272" s="23"/>
      <c r="LJ272" s="23"/>
      <c r="LK272" s="23"/>
      <c r="LL272" s="23"/>
      <c r="LM272" s="23"/>
      <c r="LN272" s="23"/>
      <c r="LO272" s="23"/>
      <c r="LP272" s="23"/>
      <c r="LQ272" s="23"/>
      <c r="LR272" s="23"/>
      <c r="LS272" s="23"/>
      <c r="LT272" s="23"/>
      <c r="LU272" s="23"/>
      <c r="LV272" s="23"/>
      <c r="LW272" s="23"/>
      <c r="LX272" s="23"/>
      <c r="LY272" s="23"/>
      <c r="LZ272" s="23"/>
      <c r="MA272" s="23"/>
      <c r="MB272" s="23"/>
      <c r="MC272" s="23"/>
      <c r="MD272" s="23"/>
      <c r="ME272" s="23"/>
      <c r="MF272" s="23"/>
      <c r="MG272" s="23"/>
      <c r="MH272" s="23"/>
      <c r="MI272" s="23"/>
      <c r="MJ272" s="23"/>
      <c r="MK272" s="23"/>
      <c r="ML272" s="23"/>
      <c r="MM272" s="23"/>
      <c r="MN272" s="23"/>
      <c r="MO272" s="23"/>
      <c r="MP272" s="23"/>
      <c r="MQ272" s="23"/>
      <c r="MR272" s="23"/>
      <c r="MS272" s="23"/>
      <c r="MT272" s="23"/>
      <c r="MU272" s="23"/>
      <c r="MV272" s="23"/>
      <c r="MW272" s="23"/>
      <c r="MX272" s="23"/>
      <c r="MY272" s="23"/>
      <c r="MZ272" s="23"/>
      <c r="NA272" s="23"/>
      <c r="NB272" s="23"/>
      <c r="NC272" s="23"/>
      <c r="ND272" s="23"/>
      <c r="NE272" s="23"/>
      <c r="NF272" s="23"/>
      <c r="NG272" s="23"/>
      <c r="NH272" s="23"/>
      <c r="NI272" s="23"/>
      <c r="NJ272" s="23"/>
      <c r="NK272" s="23"/>
      <c r="NL272" s="23"/>
      <c r="NM272" s="23"/>
      <c r="NN272" s="23"/>
      <c r="NO272" s="23"/>
      <c r="NP272" s="23"/>
      <c r="NQ272" s="23"/>
      <c r="NR272" s="23"/>
      <c r="NS272" s="23"/>
      <c r="NT272" s="23"/>
      <c r="NU272" s="23"/>
      <c r="NV272" s="23"/>
      <c r="NW272" s="23"/>
      <c r="NX272" s="23"/>
      <c r="NY272" s="23"/>
      <c r="NZ272" s="23"/>
      <c r="OA272" s="23"/>
      <c r="OB272" s="23"/>
      <c r="OC272" s="23"/>
      <c r="OD272" s="23"/>
      <c r="OE272" s="23"/>
      <c r="OF272" s="23"/>
      <c r="OG272" s="23"/>
      <c r="OH272" s="23"/>
      <c r="OI272" s="23"/>
      <c r="OJ272" s="23"/>
      <c r="OK272" s="23"/>
      <c r="OL272" s="23"/>
      <c r="OM272" s="23"/>
      <c r="ON272" s="23"/>
      <c r="OO272" s="23"/>
      <c r="OP272" s="23"/>
      <c r="OQ272" s="23"/>
      <c r="OR272" s="23"/>
      <c r="OS272" s="23"/>
      <c r="OT272" s="23"/>
      <c r="OU272" s="23"/>
      <c r="OV272" s="23"/>
      <c r="OW272" s="23"/>
      <c r="OX272" s="23"/>
      <c r="OY272" s="23"/>
      <c r="OZ272" s="23"/>
      <c r="PA272" s="23"/>
      <c r="PB272" s="23"/>
      <c r="PC272" s="23"/>
      <c r="PD272" s="23"/>
      <c r="PE272" s="23"/>
      <c r="PF272" s="23"/>
      <c r="PG272" s="23"/>
      <c r="PH272" s="23"/>
      <c r="PI272" s="23"/>
      <c r="PJ272" s="23"/>
      <c r="PK272" s="23"/>
      <c r="PL272" s="23"/>
      <c r="PM272" s="23"/>
      <c r="PN272" s="23"/>
      <c r="PO272" s="23"/>
      <c r="PP272" s="23"/>
      <c r="PQ272" s="23"/>
      <c r="PR272" s="23"/>
      <c r="PS272" s="23"/>
      <c r="PT272" s="23"/>
      <c r="PU272" s="23"/>
      <c r="PV272" s="23"/>
      <c r="PW272" s="23"/>
      <c r="PX272" s="23"/>
      <c r="PY272" s="23"/>
      <c r="PZ272" s="23"/>
      <c r="QA272" s="23"/>
      <c r="QB272" s="23"/>
      <c r="QC272" s="23"/>
      <c r="QD272" s="23"/>
      <c r="QE272" s="23"/>
      <c r="QF272" s="23"/>
      <c r="QG272" s="23"/>
      <c r="QH272" s="23"/>
      <c r="QI272" s="23"/>
      <c r="QJ272" s="23"/>
      <c r="QK272" s="23"/>
      <c r="QL272" s="23"/>
      <c r="QM272" s="23"/>
      <c r="QN272" s="23"/>
      <c r="QO272" s="23"/>
      <c r="QP272" s="23"/>
      <c r="QQ272" s="23"/>
      <c r="QR272" s="23"/>
      <c r="QS272" s="23"/>
      <c r="QT272" s="23"/>
      <c r="QU272" s="23"/>
      <c r="QV272" s="23"/>
      <c r="QW272" s="23"/>
      <c r="QX272" s="23"/>
      <c r="QY272" s="23"/>
      <c r="QZ272" s="23"/>
      <c r="RA272" s="23"/>
      <c r="RB272" s="23"/>
      <c r="RC272" s="23"/>
      <c r="RD272" s="23"/>
      <c r="RE272" s="23"/>
      <c r="RF272" s="23"/>
      <c r="RG272" s="23"/>
      <c r="RH272" s="23"/>
      <c r="RI272" s="23"/>
      <c r="RJ272" s="23"/>
      <c r="RK272" s="23"/>
      <c r="RL272" s="23"/>
      <c r="RM272" s="23"/>
      <c r="RN272" s="23"/>
      <c r="RO272" s="23"/>
      <c r="RP272" s="23"/>
      <c r="RQ272" s="23"/>
      <c r="RR272" s="23"/>
      <c r="RS272" s="23"/>
      <c r="RT272" s="23"/>
      <c r="RU272" s="23"/>
      <c r="RV272" s="23"/>
      <c r="RW272" s="23"/>
      <c r="RX272" s="23"/>
      <c r="RY272" s="23"/>
      <c r="RZ272" s="23"/>
      <c r="SA272" s="23"/>
      <c r="SB272" s="23"/>
      <c r="SC272" s="23"/>
      <c r="SD272" s="23"/>
      <c r="SE272" s="23"/>
      <c r="SF272" s="23"/>
      <c r="SG272" s="23"/>
      <c r="SH272" s="23"/>
      <c r="SI272" s="23"/>
      <c r="SJ272" s="23"/>
      <c r="SK272" s="23"/>
      <c r="SL272" s="23"/>
      <c r="SM272" s="23"/>
      <c r="SN272" s="23"/>
      <c r="SO272" s="23"/>
      <c r="SP272" s="23"/>
      <c r="SQ272" s="23"/>
      <c r="SR272" s="23"/>
      <c r="SS272" s="23"/>
      <c r="ST272" s="23"/>
      <c r="SU272" s="23"/>
      <c r="SV272" s="23"/>
      <c r="SW272" s="23"/>
      <c r="SX272" s="23"/>
      <c r="SY272" s="23"/>
      <c r="SZ272" s="23"/>
      <c r="TA272" s="23"/>
      <c r="TB272" s="23"/>
      <c r="TC272" s="23"/>
      <c r="TD272" s="23"/>
      <c r="TE272" s="23"/>
      <c r="TF272" s="23"/>
      <c r="TG272" s="23"/>
    </row>
    <row r="273" spans="1:527" s="22" customFormat="1" ht="65.25" customHeight="1" x14ac:dyDescent="0.25">
      <c r="A273" s="59" t="s">
        <v>206</v>
      </c>
      <c r="B273" s="93" t="str">
        <f>'дод 8'!A165</f>
        <v>6084</v>
      </c>
      <c r="C273" s="93" t="str">
        <f>'дод 8'!B165</f>
        <v>0610</v>
      </c>
      <c r="D273" s="60" t="s">
        <v>531</v>
      </c>
      <c r="E273" s="99">
        <f t="shared" si="135"/>
        <v>0</v>
      </c>
      <c r="F273" s="99"/>
      <c r="G273" s="99"/>
      <c r="H273" s="99"/>
      <c r="I273" s="99"/>
      <c r="J273" s="99">
        <f t="shared" si="137"/>
        <v>71348.649999999994</v>
      </c>
      <c r="K273" s="99"/>
      <c r="L273" s="113"/>
      <c r="M273" s="99"/>
      <c r="N273" s="99"/>
      <c r="O273" s="99">
        <f>70060+1288.65</f>
        <v>71348.649999999994</v>
      </c>
      <c r="P273" s="99">
        <f t="shared" si="136"/>
        <v>71348.649999999994</v>
      </c>
      <c r="Q273" s="23"/>
      <c r="R273" s="32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  <c r="KQ273" s="23"/>
      <c r="KR273" s="23"/>
      <c r="KS273" s="23"/>
      <c r="KT273" s="23"/>
      <c r="KU273" s="23"/>
      <c r="KV273" s="23"/>
      <c r="KW273" s="23"/>
      <c r="KX273" s="23"/>
      <c r="KY273" s="23"/>
      <c r="KZ273" s="23"/>
      <c r="LA273" s="23"/>
      <c r="LB273" s="23"/>
      <c r="LC273" s="23"/>
      <c r="LD273" s="23"/>
      <c r="LE273" s="23"/>
      <c r="LF273" s="23"/>
      <c r="LG273" s="23"/>
      <c r="LH273" s="23"/>
      <c r="LI273" s="23"/>
      <c r="LJ273" s="23"/>
      <c r="LK273" s="23"/>
      <c r="LL273" s="23"/>
      <c r="LM273" s="23"/>
      <c r="LN273" s="23"/>
      <c r="LO273" s="23"/>
      <c r="LP273" s="23"/>
      <c r="LQ273" s="23"/>
      <c r="LR273" s="23"/>
      <c r="LS273" s="23"/>
      <c r="LT273" s="23"/>
      <c r="LU273" s="23"/>
      <c r="LV273" s="23"/>
      <c r="LW273" s="23"/>
      <c r="LX273" s="23"/>
      <c r="LY273" s="23"/>
      <c r="LZ273" s="23"/>
      <c r="MA273" s="23"/>
      <c r="MB273" s="23"/>
      <c r="MC273" s="23"/>
      <c r="MD273" s="23"/>
      <c r="ME273" s="23"/>
      <c r="MF273" s="23"/>
      <c r="MG273" s="23"/>
      <c r="MH273" s="23"/>
      <c r="MI273" s="23"/>
      <c r="MJ273" s="23"/>
      <c r="MK273" s="23"/>
      <c r="ML273" s="23"/>
      <c r="MM273" s="23"/>
      <c r="MN273" s="23"/>
      <c r="MO273" s="23"/>
      <c r="MP273" s="23"/>
      <c r="MQ273" s="23"/>
      <c r="MR273" s="23"/>
      <c r="MS273" s="23"/>
      <c r="MT273" s="23"/>
      <c r="MU273" s="23"/>
      <c r="MV273" s="23"/>
      <c r="MW273" s="23"/>
      <c r="MX273" s="23"/>
      <c r="MY273" s="23"/>
      <c r="MZ273" s="23"/>
      <c r="NA273" s="23"/>
      <c r="NB273" s="23"/>
      <c r="NC273" s="23"/>
      <c r="ND273" s="23"/>
      <c r="NE273" s="23"/>
      <c r="NF273" s="23"/>
      <c r="NG273" s="23"/>
      <c r="NH273" s="23"/>
      <c r="NI273" s="23"/>
      <c r="NJ273" s="23"/>
      <c r="NK273" s="23"/>
      <c r="NL273" s="23"/>
      <c r="NM273" s="23"/>
      <c r="NN273" s="23"/>
      <c r="NO273" s="23"/>
      <c r="NP273" s="23"/>
      <c r="NQ273" s="23"/>
      <c r="NR273" s="23"/>
      <c r="NS273" s="23"/>
      <c r="NT273" s="23"/>
      <c r="NU273" s="23"/>
      <c r="NV273" s="23"/>
      <c r="NW273" s="23"/>
      <c r="NX273" s="23"/>
      <c r="NY273" s="23"/>
      <c r="NZ273" s="23"/>
      <c r="OA273" s="23"/>
      <c r="OB273" s="23"/>
      <c r="OC273" s="23"/>
      <c r="OD273" s="23"/>
      <c r="OE273" s="23"/>
      <c r="OF273" s="23"/>
      <c r="OG273" s="23"/>
      <c r="OH273" s="23"/>
      <c r="OI273" s="23"/>
      <c r="OJ273" s="23"/>
      <c r="OK273" s="23"/>
      <c r="OL273" s="23"/>
      <c r="OM273" s="23"/>
      <c r="ON273" s="23"/>
      <c r="OO273" s="23"/>
      <c r="OP273" s="23"/>
      <c r="OQ273" s="23"/>
      <c r="OR273" s="23"/>
      <c r="OS273" s="23"/>
      <c r="OT273" s="23"/>
      <c r="OU273" s="23"/>
      <c r="OV273" s="23"/>
      <c r="OW273" s="23"/>
      <c r="OX273" s="23"/>
      <c r="OY273" s="23"/>
      <c r="OZ273" s="23"/>
      <c r="PA273" s="23"/>
      <c r="PB273" s="23"/>
      <c r="PC273" s="23"/>
      <c r="PD273" s="23"/>
      <c r="PE273" s="23"/>
      <c r="PF273" s="23"/>
      <c r="PG273" s="23"/>
      <c r="PH273" s="23"/>
      <c r="PI273" s="23"/>
      <c r="PJ273" s="23"/>
      <c r="PK273" s="23"/>
      <c r="PL273" s="23"/>
      <c r="PM273" s="23"/>
      <c r="PN273" s="23"/>
      <c r="PO273" s="23"/>
      <c r="PP273" s="23"/>
      <c r="PQ273" s="23"/>
      <c r="PR273" s="23"/>
      <c r="PS273" s="23"/>
      <c r="PT273" s="23"/>
      <c r="PU273" s="23"/>
      <c r="PV273" s="23"/>
      <c r="PW273" s="23"/>
      <c r="PX273" s="23"/>
      <c r="PY273" s="23"/>
      <c r="PZ273" s="23"/>
      <c r="QA273" s="23"/>
      <c r="QB273" s="23"/>
      <c r="QC273" s="23"/>
      <c r="QD273" s="23"/>
      <c r="QE273" s="23"/>
      <c r="QF273" s="23"/>
      <c r="QG273" s="23"/>
      <c r="QH273" s="23"/>
      <c r="QI273" s="23"/>
      <c r="QJ273" s="23"/>
      <c r="QK273" s="23"/>
      <c r="QL273" s="23"/>
      <c r="QM273" s="23"/>
      <c r="QN273" s="23"/>
      <c r="QO273" s="23"/>
      <c r="QP273" s="23"/>
      <c r="QQ273" s="23"/>
      <c r="QR273" s="23"/>
      <c r="QS273" s="23"/>
      <c r="QT273" s="23"/>
      <c r="QU273" s="23"/>
      <c r="QV273" s="23"/>
      <c r="QW273" s="23"/>
      <c r="QX273" s="23"/>
      <c r="QY273" s="23"/>
      <c r="QZ273" s="23"/>
      <c r="RA273" s="23"/>
      <c r="RB273" s="23"/>
      <c r="RC273" s="23"/>
      <c r="RD273" s="23"/>
      <c r="RE273" s="23"/>
      <c r="RF273" s="23"/>
      <c r="RG273" s="23"/>
      <c r="RH273" s="23"/>
      <c r="RI273" s="23"/>
      <c r="RJ273" s="23"/>
      <c r="RK273" s="23"/>
      <c r="RL273" s="23"/>
      <c r="RM273" s="23"/>
      <c r="RN273" s="23"/>
      <c r="RO273" s="23"/>
      <c r="RP273" s="23"/>
      <c r="RQ273" s="23"/>
      <c r="RR273" s="23"/>
      <c r="RS273" s="23"/>
      <c r="RT273" s="23"/>
      <c r="RU273" s="23"/>
      <c r="RV273" s="23"/>
      <c r="RW273" s="23"/>
      <c r="RX273" s="23"/>
      <c r="RY273" s="23"/>
      <c r="RZ273" s="23"/>
      <c r="SA273" s="23"/>
      <c r="SB273" s="23"/>
      <c r="SC273" s="23"/>
      <c r="SD273" s="23"/>
      <c r="SE273" s="23"/>
      <c r="SF273" s="23"/>
      <c r="SG273" s="23"/>
      <c r="SH273" s="23"/>
      <c r="SI273" s="23"/>
      <c r="SJ273" s="23"/>
      <c r="SK273" s="23"/>
      <c r="SL273" s="23"/>
      <c r="SM273" s="23"/>
      <c r="SN273" s="23"/>
      <c r="SO273" s="23"/>
      <c r="SP273" s="23"/>
      <c r="SQ273" s="23"/>
      <c r="SR273" s="23"/>
      <c r="SS273" s="23"/>
      <c r="ST273" s="23"/>
      <c r="SU273" s="23"/>
      <c r="SV273" s="23"/>
      <c r="SW273" s="23"/>
      <c r="SX273" s="23"/>
      <c r="SY273" s="23"/>
      <c r="SZ273" s="23"/>
      <c r="TA273" s="23"/>
      <c r="TB273" s="23"/>
      <c r="TC273" s="23"/>
      <c r="TD273" s="23"/>
      <c r="TE273" s="23"/>
      <c r="TF273" s="23"/>
      <c r="TG273" s="23"/>
    </row>
    <row r="274" spans="1:527" s="22" customFormat="1" ht="31.5" x14ac:dyDescent="0.25">
      <c r="A274" s="59" t="s">
        <v>275</v>
      </c>
      <c r="B274" s="93" t="str">
        <f>'дод 8'!A177</f>
        <v>7310</v>
      </c>
      <c r="C274" s="93" t="str">
        <f>'дод 8'!B177</f>
        <v>0443</v>
      </c>
      <c r="D274" s="60" t="str">
        <f>'дод 8'!C177</f>
        <v>Будівництво1 об'єктів житлово-комунального господарства</v>
      </c>
      <c r="E274" s="99">
        <f t="shared" si="135"/>
        <v>0</v>
      </c>
      <c r="F274" s="99"/>
      <c r="G274" s="99"/>
      <c r="H274" s="99"/>
      <c r="I274" s="99"/>
      <c r="J274" s="99">
        <f t="shared" si="137"/>
        <v>23385.4</v>
      </c>
      <c r="K274" s="99">
        <v>23385.4</v>
      </c>
      <c r="L274" s="99"/>
      <c r="M274" s="99"/>
      <c r="N274" s="99"/>
      <c r="O274" s="99">
        <v>23385.4</v>
      </c>
      <c r="P274" s="99">
        <f t="shared" si="136"/>
        <v>23385.4</v>
      </c>
      <c r="Q274" s="23"/>
      <c r="R274" s="32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  <c r="KQ274" s="23"/>
      <c r="KR274" s="23"/>
      <c r="KS274" s="23"/>
      <c r="KT274" s="23"/>
      <c r="KU274" s="23"/>
      <c r="KV274" s="23"/>
      <c r="KW274" s="23"/>
      <c r="KX274" s="23"/>
      <c r="KY274" s="23"/>
      <c r="KZ274" s="23"/>
      <c r="LA274" s="23"/>
      <c r="LB274" s="23"/>
      <c r="LC274" s="23"/>
      <c r="LD274" s="23"/>
      <c r="LE274" s="23"/>
      <c r="LF274" s="23"/>
      <c r="LG274" s="23"/>
      <c r="LH274" s="23"/>
      <c r="LI274" s="23"/>
      <c r="LJ274" s="23"/>
      <c r="LK274" s="23"/>
      <c r="LL274" s="23"/>
      <c r="LM274" s="23"/>
      <c r="LN274" s="23"/>
      <c r="LO274" s="23"/>
      <c r="LP274" s="23"/>
      <c r="LQ274" s="23"/>
      <c r="LR274" s="23"/>
      <c r="LS274" s="23"/>
      <c r="LT274" s="23"/>
      <c r="LU274" s="23"/>
      <c r="LV274" s="23"/>
      <c r="LW274" s="23"/>
      <c r="LX274" s="23"/>
      <c r="LY274" s="23"/>
      <c r="LZ274" s="23"/>
      <c r="MA274" s="23"/>
      <c r="MB274" s="23"/>
      <c r="MC274" s="23"/>
      <c r="MD274" s="23"/>
      <c r="ME274" s="23"/>
      <c r="MF274" s="23"/>
      <c r="MG274" s="23"/>
      <c r="MH274" s="23"/>
      <c r="MI274" s="23"/>
      <c r="MJ274" s="23"/>
      <c r="MK274" s="23"/>
      <c r="ML274" s="23"/>
      <c r="MM274" s="23"/>
      <c r="MN274" s="23"/>
      <c r="MO274" s="23"/>
      <c r="MP274" s="23"/>
      <c r="MQ274" s="23"/>
      <c r="MR274" s="23"/>
      <c r="MS274" s="23"/>
      <c r="MT274" s="23"/>
      <c r="MU274" s="23"/>
      <c r="MV274" s="23"/>
      <c r="MW274" s="23"/>
      <c r="MX274" s="23"/>
      <c r="MY274" s="23"/>
      <c r="MZ274" s="23"/>
      <c r="NA274" s="23"/>
      <c r="NB274" s="23"/>
      <c r="NC274" s="23"/>
      <c r="ND274" s="23"/>
      <c r="NE274" s="23"/>
      <c r="NF274" s="23"/>
      <c r="NG274" s="23"/>
      <c r="NH274" s="23"/>
      <c r="NI274" s="23"/>
      <c r="NJ274" s="23"/>
      <c r="NK274" s="23"/>
      <c r="NL274" s="23"/>
      <c r="NM274" s="23"/>
      <c r="NN274" s="23"/>
      <c r="NO274" s="23"/>
      <c r="NP274" s="23"/>
      <c r="NQ274" s="23"/>
      <c r="NR274" s="23"/>
      <c r="NS274" s="23"/>
      <c r="NT274" s="23"/>
      <c r="NU274" s="23"/>
      <c r="NV274" s="23"/>
      <c r="NW274" s="23"/>
      <c r="NX274" s="23"/>
      <c r="NY274" s="23"/>
      <c r="NZ274" s="23"/>
      <c r="OA274" s="23"/>
      <c r="OB274" s="23"/>
      <c r="OC274" s="23"/>
      <c r="OD274" s="23"/>
      <c r="OE274" s="23"/>
      <c r="OF274" s="23"/>
      <c r="OG274" s="23"/>
      <c r="OH274" s="23"/>
      <c r="OI274" s="23"/>
      <c r="OJ274" s="23"/>
      <c r="OK274" s="23"/>
      <c r="OL274" s="23"/>
      <c r="OM274" s="23"/>
      <c r="ON274" s="23"/>
      <c r="OO274" s="23"/>
      <c r="OP274" s="23"/>
      <c r="OQ274" s="23"/>
      <c r="OR274" s="23"/>
      <c r="OS274" s="23"/>
      <c r="OT274" s="23"/>
      <c r="OU274" s="23"/>
      <c r="OV274" s="23"/>
      <c r="OW274" s="23"/>
      <c r="OX274" s="23"/>
      <c r="OY274" s="23"/>
      <c r="OZ274" s="23"/>
      <c r="PA274" s="23"/>
      <c r="PB274" s="23"/>
      <c r="PC274" s="23"/>
      <c r="PD274" s="23"/>
      <c r="PE274" s="23"/>
      <c r="PF274" s="23"/>
      <c r="PG274" s="23"/>
      <c r="PH274" s="23"/>
      <c r="PI274" s="23"/>
      <c r="PJ274" s="23"/>
      <c r="PK274" s="23"/>
      <c r="PL274" s="23"/>
      <c r="PM274" s="23"/>
      <c r="PN274" s="23"/>
      <c r="PO274" s="23"/>
      <c r="PP274" s="23"/>
      <c r="PQ274" s="23"/>
      <c r="PR274" s="23"/>
      <c r="PS274" s="23"/>
      <c r="PT274" s="23"/>
      <c r="PU274" s="23"/>
      <c r="PV274" s="23"/>
      <c r="PW274" s="23"/>
      <c r="PX274" s="23"/>
      <c r="PY274" s="23"/>
      <c r="PZ274" s="23"/>
      <c r="QA274" s="23"/>
      <c r="QB274" s="23"/>
      <c r="QC274" s="23"/>
      <c r="QD274" s="23"/>
      <c r="QE274" s="23"/>
      <c r="QF274" s="23"/>
      <c r="QG274" s="23"/>
      <c r="QH274" s="23"/>
      <c r="QI274" s="23"/>
      <c r="QJ274" s="23"/>
      <c r="QK274" s="23"/>
      <c r="QL274" s="23"/>
      <c r="QM274" s="23"/>
      <c r="QN274" s="23"/>
      <c r="QO274" s="23"/>
      <c r="QP274" s="23"/>
      <c r="QQ274" s="23"/>
      <c r="QR274" s="23"/>
      <c r="QS274" s="23"/>
      <c r="QT274" s="23"/>
      <c r="QU274" s="23"/>
      <c r="QV274" s="23"/>
      <c r="QW274" s="23"/>
      <c r="QX274" s="23"/>
      <c r="QY274" s="23"/>
      <c r="QZ274" s="23"/>
      <c r="RA274" s="23"/>
      <c r="RB274" s="23"/>
      <c r="RC274" s="23"/>
      <c r="RD274" s="23"/>
      <c r="RE274" s="23"/>
      <c r="RF274" s="23"/>
      <c r="RG274" s="23"/>
      <c r="RH274" s="23"/>
      <c r="RI274" s="23"/>
      <c r="RJ274" s="23"/>
      <c r="RK274" s="23"/>
      <c r="RL274" s="23"/>
      <c r="RM274" s="23"/>
      <c r="RN274" s="23"/>
      <c r="RO274" s="23"/>
      <c r="RP274" s="23"/>
      <c r="RQ274" s="23"/>
      <c r="RR274" s="23"/>
      <c r="RS274" s="23"/>
      <c r="RT274" s="23"/>
      <c r="RU274" s="23"/>
      <c r="RV274" s="23"/>
      <c r="RW274" s="23"/>
      <c r="RX274" s="23"/>
      <c r="RY274" s="23"/>
      <c r="RZ274" s="23"/>
      <c r="SA274" s="23"/>
      <c r="SB274" s="23"/>
      <c r="SC274" s="23"/>
      <c r="SD274" s="23"/>
      <c r="SE274" s="23"/>
      <c r="SF274" s="23"/>
      <c r="SG274" s="23"/>
      <c r="SH274" s="23"/>
      <c r="SI274" s="23"/>
      <c r="SJ274" s="23"/>
      <c r="SK274" s="23"/>
      <c r="SL274" s="23"/>
      <c r="SM274" s="23"/>
      <c r="SN274" s="23"/>
      <c r="SO274" s="23"/>
      <c r="SP274" s="23"/>
      <c r="SQ274" s="23"/>
      <c r="SR274" s="23"/>
      <c r="SS274" s="23"/>
      <c r="ST274" s="23"/>
      <c r="SU274" s="23"/>
      <c r="SV274" s="23"/>
      <c r="SW274" s="23"/>
      <c r="SX274" s="23"/>
      <c r="SY274" s="23"/>
      <c r="SZ274" s="23"/>
      <c r="TA274" s="23"/>
      <c r="TB274" s="23"/>
      <c r="TC274" s="23"/>
      <c r="TD274" s="23"/>
      <c r="TE274" s="23"/>
      <c r="TF274" s="23"/>
      <c r="TG274" s="23"/>
    </row>
    <row r="275" spans="1:527" s="22" customFormat="1" ht="18.75" x14ac:dyDescent="0.25">
      <c r="A275" s="59" t="s">
        <v>276</v>
      </c>
      <c r="B275" s="93" t="str">
        <f>'дод 8'!A178</f>
        <v>7321</v>
      </c>
      <c r="C275" s="93" t="str">
        <f>'дод 8'!B178</f>
        <v>0443</v>
      </c>
      <c r="D275" s="6" t="s">
        <v>548</v>
      </c>
      <c r="E275" s="99">
        <f t="shared" si="135"/>
        <v>0</v>
      </c>
      <c r="F275" s="99"/>
      <c r="G275" s="99"/>
      <c r="H275" s="99"/>
      <c r="I275" s="99"/>
      <c r="J275" s="99">
        <f t="shared" si="137"/>
        <v>4370560</v>
      </c>
      <c r="K275" s="99">
        <f>42471+46089+10000+22000+1000000+100000+3000000+150000</f>
        <v>4370560</v>
      </c>
      <c r="L275" s="99"/>
      <c r="M275" s="99"/>
      <c r="N275" s="99"/>
      <c r="O275" s="99">
        <f>42471+46089+10000+22000+1000000+100000+3000000+150000</f>
        <v>4370560</v>
      </c>
      <c r="P275" s="99">
        <f t="shared" si="136"/>
        <v>4370560</v>
      </c>
      <c r="Q275" s="23"/>
      <c r="R275" s="32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  <c r="HQ275" s="23"/>
      <c r="HR275" s="23"/>
      <c r="HS275" s="23"/>
      <c r="HT275" s="23"/>
      <c r="HU275" s="23"/>
      <c r="HV275" s="23"/>
      <c r="HW275" s="23"/>
      <c r="HX275" s="23"/>
      <c r="HY275" s="23"/>
      <c r="HZ275" s="23"/>
      <c r="IA275" s="23"/>
      <c r="IB275" s="23"/>
      <c r="IC275" s="23"/>
      <c r="ID275" s="23"/>
      <c r="IE275" s="23"/>
      <c r="IF275" s="23"/>
      <c r="IG275" s="23"/>
      <c r="IH275" s="23"/>
      <c r="II275" s="23"/>
      <c r="IJ275" s="23"/>
      <c r="IK275" s="23"/>
      <c r="IL275" s="23"/>
      <c r="IM275" s="23"/>
      <c r="IN275" s="23"/>
      <c r="IO275" s="23"/>
      <c r="IP275" s="23"/>
      <c r="IQ275" s="23"/>
      <c r="IR275" s="23"/>
      <c r="IS275" s="23"/>
      <c r="IT275" s="23"/>
      <c r="IU275" s="23"/>
      <c r="IV275" s="23"/>
      <c r="IW275" s="23"/>
      <c r="IX275" s="23"/>
      <c r="IY275" s="23"/>
      <c r="IZ275" s="23"/>
      <c r="JA275" s="23"/>
      <c r="JB275" s="23"/>
      <c r="JC275" s="23"/>
      <c r="JD275" s="23"/>
      <c r="JE275" s="23"/>
      <c r="JF275" s="23"/>
      <c r="JG275" s="23"/>
      <c r="JH275" s="23"/>
      <c r="JI275" s="23"/>
      <c r="JJ275" s="23"/>
      <c r="JK275" s="23"/>
      <c r="JL275" s="23"/>
      <c r="JM275" s="23"/>
      <c r="JN275" s="23"/>
      <c r="JO275" s="23"/>
      <c r="JP275" s="23"/>
      <c r="JQ275" s="23"/>
      <c r="JR275" s="23"/>
      <c r="JS275" s="23"/>
      <c r="JT275" s="23"/>
      <c r="JU275" s="23"/>
      <c r="JV275" s="23"/>
      <c r="JW275" s="23"/>
      <c r="JX275" s="23"/>
      <c r="JY275" s="23"/>
      <c r="JZ275" s="23"/>
      <c r="KA275" s="23"/>
      <c r="KB275" s="23"/>
      <c r="KC275" s="23"/>
      <c r="KD275" s="23"/>
      <c r="KE275" s="23"/>
      <c r="KF275" s="23"/>
      <c r="KG275" s="23"/>
      <c r="KH275" s="23"/>
      <c r="KI275" s="23"/>
      <c r="KJ275" s="23"/>
      <c r="KK275" s="23"/>
      <c r="KL275" s="23"/>
      <c r="KM275" s="23"/>
      <c r="KN275" s="23"/>
      <c r="KO275" s="23"/>
      <c r="KP275" s="23"/>
      <c r="KQ275" s="23"/>
      <c r="KR275" s="23"/>
      <c r="KS275" s="23"/>
      <c r="KT275" s="23"/>
      <c r="KU275" s="23"/>
      <c r="KV275" s="23"/>
      <c r="KW275" s="23"/>
      <c r="KX275" s="23"/>
      <c r="KY275" s="23"/>
      <c r="KZ275" s="23"/>
      <c r="LA275" s="23"/>
      <c r="LB275" s="23"/>
      <c r="LC275" s="23"/>
      <c r="LD275" s="23"/>
      <c r="LE275" s="23"/>
      <c r="LF275" s="23"/>
      <c r="LG275" s="23"/>
      <c r="LH275" s="23"/>
      <c r="LI275" s="23"/>
      <c r="LJ275" s="23"/>
      <c r="LK275" s="23"/>
      <c r="LL275" s="23"/>
      <c r="LM275" s="23"/>
      <c r="LN275" s="23"/>
      <c r="LO275" s="23"/>
      <c r="LP275" s="23"/>
      <c r="LQ275" s="23"/>
      <c r="LR275" s="23"/>
      <c r="LS275" s="23"/>
      <c r="LT275" s="23"/>
      <c r="LU275" s="23"/>
      <c r="LV275" s="23"/>
      <c r="LW275" s="23"/>
      <c r="LX275" s="23"/>
      <c r="LY275" s="23"/>
      <c r="LZ275" s="23"/>
      <c r="MA275" s="23"/>
      <c r="MB275" s="23"/>
      <c r="MC275" s="23"/>
      <c r="MD275" s="23"/>
      <c r="ME275" s="23"/>
      <c r="MF275" s="23"/>
      <c r="MG275" s="23"/>
      <c r="MH275" s="23"/>
      <c r="MI275" s="23"/>
      <c r="MJ275" s="23"/>
      <c r="MK275" s="23"/>
      <c r="ML275" s="23"/>
      <c r="MM275" s="23"/>
      <c r="MN275" s="23"/>
      <c r="MO275" s="23"/>
      <c r="MP275" s="23"/>
      <c r="MQ275" s="23"/>
      <c r="MR275" s="23"/>
      <c r="MS275" s="23"/>
      <c r="MT275" s="23"/>
      <c r="MU275" s="23"/>
      <c r="MV275" s="23"/>
      <c r="MW275" s="23"/>
      <c r="MX275" s="23"/>
      <c r="MY275" s="23"/>
      <c r="MZ275" s="23"/>
      <c r="NA275" s="23"/>
      <c r="NB275" s="23"/>
      <c r="NC275" s="23"/>
      <c r="ND275" s="23"/>
      <c r="NE275" s="23"/>
      <c r="NF275" s="23"/>
      <c r="NG275" s="23"/>
      <c r="NH275" s="23"/>
      <c r="NI275" s="23"/>
      <c r="NJ275" s="23"/>
      <c r="NK275" s="23"/>
      <c r="NL275" s="23"/>
      <c r="NM275" s="23"/>
      <c r="NN275" s="23"/>
      <c r="NO275" s="23"/>
      <c r="NP275" s="23"/>
      <c r="NQ275" s="23"/>
      <c r="NR275" s="23"/>
      <c r="NS275" s="23"/>
      <c r="NT275" s="23"/>
      <c r="NU275" s="23"/>
      <c r="NV275" s="23"/>
      <c r="NW275" s="23"/>
      <c r="NX275" s="23"/>
      <c r="NY275" s="23"/>
      <c r="NZ275" s="23"/>
      <c r="OA275" s="23"/>
      <c r="OB275" s="23"/>
      <c r="OC275" s="23"/>
      <c r="OD275" s="23"/>
      <c r="OE275" s="23"/>
      <c r="OF275" s="23"/>
      <c r="OG275" s="23"/>
      <c r="OH275" s="23"/>
      <c r="OI275" s="23"/>
      <c r="OJ275" s="23"/>
      <c r="OK275" s="23"/>
      <c r="OL275" s="23"/>
      <c r="OM275" s="23"/>
      <c r="ON275" s="23"/>
      <c r="OO275" s="23"/>
      <c r="OP275" s="23"/>
      <c r="OQ275" s="23"/>
      <c r="OR275" s="23"/>
      <c r="OS275" s="23"/>
      <c r="OT275" s="23"/>
      <c r="OU275" s="23"/>
      <c r="OV275" s="23"/>
      <c r="OW275" s="23"/>
      <c r="OX275" s="23"/>
      <c r="OY275" s="23"/>
      <c r="OZ275" s="23"/>
      <c r="PA275" s="23"/>
      <c r="PB275" s="23"/>
      <c r="PC275" s="23"/>
      <c r="PD275" s="23"/>
      <c r="PE275" s="23"/>
      <c r="PF275" s="23"/>
      <c r="PG275" s="23"/>
      <c r="PH275" s="23"/>
      <c r="PI275" s="23"/>
      <c r="PJ275" s="23"/>
      <c r="PK275" s="23"/>
      <c r="PL275" s="23"/>
      <c r="PM275" s="23"/>
      <c r="PN275" s="23"/>
      <c r="PO275" s="23"/>
      <c r="PP275" s="23"/>
      <c r="PQ275" s="23"/>
      <c r="PR275" s="23"/>
      <c r="PS275" s="23"/>
      <c r="PT275" s="23"/>
      <c r="PU275" s="23"/>
      <c r="PV275" s="23"/>
      <c r="PW275" s="23"/>
      <c r="PX275" s="23"/>
      <c r="PY275" s="23"/>
      <c r="PZ275" s="23"/>
      <c r="QA275" s="23"/>
      <c r="QB275" s="23"/>
      <c r="QC275" s="23"/>
      <c r="QD275" s="23"/>
      <c r="QE275" s="23"/>
      <c r="QF275" s="23"/>
      <c r="QG275" s="23"/>
      <c r="QH275" s="23"/>
      <c r="QI275" s="23"/>
      <c r="QJ275" s="23"/>
      <c r="QK275" s="23"/>
      <c r="QL275" s="23"/>
      <c r="QM275" s="23"/>
      <c r="QN275" s="23"/>
      <c r="QO275" s="23"/>
      <c r="QP275" s="23"/>
      <c r="QQ275" s="23"/>
      <c r="QR275" s="23"/>
      <c r="QS275" s="23"/>
      <c r="QT275" s="23"/>
      <c r="QU275" s="23"/>
      <c r="QV275" s="23"/>
      <c r="QW275" s="23"/>
      <c r="QX275" s="23"/>
      <c r="QY275" s="23"/>
      <c r="QZ275" s="23"/>
      <c r="RA275" s="23"/>
      <c r="RB275" s="23"/>
      <c r="RC275" s="23"/>
      <c r="RD275" s="23"/>
      <c r="RE275" s="23"/>
      <c r="RF275" s="23"/>
      <c r="RG275" s="23"/>
      <c r="RH275" s="23"/>
      <c r="RI275" s="23"/>
      <c r="RJ275" s="23"/>
      <c r="RK275" s="23"/>
      <c r="RL275" s="23"/>
      <c r="RM275" s="23"/>
      <c r="RN275" s="23"/>
      <c r="RO275" s="23"/>
      <c r="RP275" s="23"/>
      <c r="RQ275" s="23"/>
      <c r="RR275" s="23"/>
      <c r="RS275" s="23"/>
      <c r="RT275" s="23"/>
      <c r="RU275" s="23"/>
      <c r="RV275" s="23"/>
      <c r="RW275" s="23"/>
      <c r="RX275" s="23"/>
      <c r="RY275" s="23"/>
      <c r="RZ275" s="23"/>
      <c r="SA275" s="23"/>
      <c r="SB275" s="23"/>
      <c r="SC275" s="23"/>
      <c r="SD275" s="23"/>
      <c r="SE275" s="23"/>
      <c r="SF275" s="23"/>
      <c r="SG275" s="23"/>
      <c r="SH275" s="23"/>
      <c r="SI275" s="23"/>
      <c r="SJ275" s="23"/>
      <c r="SK275" s="23"/>
      <c r="SL275" s="23"/>
      <c r="SM275" s="23"/>
      <c r="SN275" s="23"/>
      <c r="SO275" s="23"/>
      <c r="SP275" s="23"/>
      <c r="SQ275" s="23"/>
      <c r="SR275" s="23"/>
      <c r="SS275" s="23"/>
      <c r="ST275" s="23"/>
      <c r="SU275" s="23"/>
      <c r="SV275" s="23"/>
      <c r="SW275" s="23"/>
      <c r="SX275" s="23"/>
      <c r="SY275" s="23"/>
      <c r="SZ275" s="23"/>
      <c r="TA275" s="23"/>
      <c r="TB275" s="23"/>
      <c r="TC275" s="23"/>
      <c r="TD275" s="23"/>
      <c r="TE275" s="23"/>
      <c r="TF275" s="23"/>
      <c r="TG275" s="23"/>
    </row>
    <row r="276" spans="1:527" s="22" customFormat="1" ht="18.75" x14ac:dyDescent="0.25">
      <c r="A276" s="59" t="s">
        <v>278</v>
      </c>
      <c r="B276" s="93" t="str">
        <f>'дод 8'!A180</f>
        <v>7322</v>
      </c>
      <c r="C276" s="93" t="str">
        <f>'дод 8'!B180</f>
        <v>0443</v>
      </c>
      <c r="D276" s="6" t="s">
        <v>549</v>
      </c>
      <c r="E276" s="99">
        <f t="shared" si="135"/>
        <v>0</v>
      </c>
      <c r="F276" s="99"/>
      <c r="G276" s="99"/>
      <c r="H276" s="99"/>
      <c r="I276" s="99"/>
      <c r="J276" s="99">
        <f t="shared" si="137"/>
        <v>9800000</v>
      </c>
      <c r="K276" s="99">
        <f>3000000+1800000+2000000+3000000</f>
        <v>9800000</v>
      </c>
      <c r="L276" s="99"/>
      <c r="M276" s="99"/>
      <c r="N276" s="99"/>
      <c r="O276" s="99">
        <f>3000000+1800000+2000000+3000000</f>
        <v>9800000</v>
      </c>
      <c r="P276" s="99">
        <f t="shared" si="136"/>
        <v>9800000</v>
      </c>
      <c r="Q276" s="23"/>
      <c r="R276" s="32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  <c r="HB276" s="23"/>
      <c r="HC276" s="23"/>
      <c r="HD276" s="23"/>
      <c r="HE276" s="23"/>
      <c r="HF276" s="23"/>
      <c r="HG276" s="23"/>
      <c r="HH276" s="23"/>
      <c r="HI276" s="23"/>
      <c r="HJ276" s="23"/>
      <c r="HK276" s="23"/>
      <c r="HL276" s="23"/>
      <c r="HM276" s="23"/>
      <c r="HN276" s="23"/>
      <c r="HO276" s="23"/>
      <c r="HP276" s="23"/>
      <c r="HQ276" s="23"/>
      <c r="HR276" s="23"/>
      <c r="HS276" s="23"/>
      <c r="HT276" s="23"/>
      <c r="HU276" s="23"/>
      <c r="HV276" s="23"/>
      <c r="HW276" s="23"/>
      <c r="HX276" s="23"/>
      <c r="HY276" s="23"/>
      <c r="HZ276" s="23"/>
      <c r="IA276" s="23"/>
      <c r="IB276" s="23"/>
      <c r="IC276" s="23"/>
      <c r="ID276" s="23"/>
      <c r="IE276" s="23"/>
      <c r="IF276" s="23"/>
      <c r="IG276" s="23"/>
      <c r="IH276" s="23"/>
      <c r="II276" s="23"/>
      <c r="IJ276" s="23"/>
      <c r="IK276" s="23"/>
      <c r="IL276" s="23"/>
      <c r="IM276" s="23"/>
      <c r="IN276" s="23"/>
      <c r="IO276" s="23"/>
      <c r="IP276" s="23"/>
      <c r="IQ276" s="23"/>
      <c r="IR276" s="23"/>
      <c r="IS276" s="23"/>
      <c r="IT276" s="23"/>
      <c r="IU276" s="23"/>
      <c r="IV276" s="23"/>
      <c r="IW276" s="23"/>
      <c r="IX276" s="23"/>
      <c r="IY276" s="23"/>
      <c r="IZ276" s="23"/>
      <c r="JA276" s="23"/>
      <c r="JB276" s="23"/>
      <c r="JC276" s="23"/>
      <c r="JD276" s="23"/>
      <c r="JE276" s="23"/>
      <c r="JF276" s="23"/>
      <c r="JG276" s="23"/>
      <c r="JH276" s="23"/>
      <c r="JI276" s="23"/>
      <c r="JJ276" s="23"/>
      <c r="JK276" s="23"/>
      <c r="JL276" s="23"/>
      <c r="JM276" s="23"/>
      <c r="JN276" s="23"/>
      <c r="JO276" s="23"/>
      <c r="JP276" s="23"/>
      <c r="JQ276" s="23"/>
      <c r="JR276" s="23"/>
      <c r="JS276" s="23"/>
      <c r="JT276" s="23"/>
      <c r="JU276" s="23"/>
      <c r="JV276" s="23"/>
      <c r="JW276" s="23"/>
      <c r="JX276" s="23"/>
      <c r="JY276" s="23"/>
      <c r="JZ276" s="23"/>
      <c r="KA276" s="23"/>
      <c r="KB276" s="23"/>
      <c r="KC276" s="23"/>
      <c r="KD276" s="23"/>
      <c r="KE276" s="23"/>
      <c r="KF276" s="23"/>
      <c r="KG276" s="23"/>
      <c r="KH276" s="23"/>
      <c r="KI276" s="23"/>
      <c r="KJ276" s="23"/>
      <c r="KK276" s="23"/>
      <c r="KL276" s="23"/>
      <c r="KM276" s="23"/>
      <c r="KN276" s="23"/>
      <c r="KO276" s="23"/>
      <c r="KP276" s="23"/>
      <c r="KQ276" s="23"/>
      <c r="KR276" s="23"/>
      <c r="KS276" s="23"/>
      <c r="KT276" s="23"/>
      <c r="KU276" s="23"/>
      <c r="KV276" s="23"/>
      <c r="KW276" s="23"/>
      <c r="KX276" s="23"/>
      <c r="KY276" s="23"/>
      <c r="KZ276" s="23"/>
      <c r="LA276" s="23"/>
      <c r="LB276" s="23"/>
      <c r="LC276" s="23"/>
      <c r="LD276" s="23"/>
      <c r="LE276" s="23"/>
      <c r="LF276" s="23"/>
      <c r="LG276" s="23"/>
      <c r="LH276" s="23"/>
      <c r="LI276" s="23"/>
      <c r="LJ276" s="23"/>
      <c r="LK276" s="23"/>
      <c r="LL276" s="23"/>
      <c r="LM276" s="23"/>
      <c r="LN276" s="23"/>
      <c r="LO276" s="23"/>
      <c r="LP276" s="23"/>
      <c r="LQ276" s="23"/>
      <c r="LR276" s="23"/>
      <c r="LS276" s="23"/>
      <c r="LT276" s="23"/>
      <c r="LU276" s="23"/>
      <c r="LV276" s="23"/>
      <c r="LW276" s="23"/>
      <c r="LX276" s="23"/>
      <c r="LY276" s="23"/>
      <c r="LZ276" s="23"/>
      <c r="MA276" s="23"/>
      <c r="MB276" s="23"/>
      <c r="MC276" s="23"/>
      <c r="MD276" s="23"/>
      <c r="ME276" s="23"/>
      <c r="MF276" s="23"/>
      <c r="MG276" s="23"/>
      <c r="MH276" s="23"/>
      <c r="MI276" s="23"/>
      <c r="MJ276" s="23"/>
      <c r="MK276" s="23"/>
      <c r="ML276" s="23"/>
      <c r="MM276" s="23"/>
      <c r="MN276" s="23"/>
      <c r="MO276" s="23"/>
      <c r="MP276" s="23"/>
      <c r="MQ276" s="23"/>
      <c r="MR276" s="23"/>
      <c r="MS276" s="23"/>
      <c r="MT276" s="23"/>
      <c r="MU276" s="23"/>
      <c r="MV276" s="23"/>
      <c r="MW276" s="23"/>
      <c r="MX276" s="23"/>
      <c r="MY276" s="23"/>
      <c r="MZ276" s="23"/>
      <c r="NA276" s="23"/>
      <c r="NB276" s="23"/>
      <c r="NC276" s="23"/>
      <c r="ND276" s="23"/>
      <c r="NE276" s="23"/>
      <c r="NF276" s="23"/>
      <c r="NG276" s="23"/>
      <c r="NH276" s="23"/>
      <c r="NI276" s="23"/>
      <c r="NJ276" s="23"/>
      <c r="NK276" s="23"/>
      <c r="NL276" s="23"/>
      <c r="NM276" s="23"/>
      <c r="NN276" s="23"/>
      <c r="NO276" s="23"/>
      <c r="NP276" s="23"/>
      <c r="NQ276" s="23"/>
      <c r="NR276" s="23"/>
      <c r="NS276" s="23"/>
      <c r="NT276" s="23"/>
      <c r="NU276" s="23"/>
      <c r="NV276" s="23"/>
      <c r="NW276" s="23"/>
      <c r="NX276" s="23"/>
      <c r="NY276" s="23"/>
      <c r="NZ276" s="23"/>
      <c r="OA276" s="23"/>
      <c r="OB276" s="23"/>
      <c r="OC276" s="23"/>
      <c r="OD276" s="23"/>
      <c r="OE276" s="23"/>
      <c r="OF276" s="23"/>
      <c r="OG276" s="23"/>
      <c r="OH276" s="23"/>
      <c r="OI276" s="23"/>
      <c r="OJ276" s="23"/>
      <c r="OK276" s="23"/>
      <c r="OL276" s="23"/>
      <c r="OM276" s="23"/>
      <c r="ON276" s="23"/>
      <c r="OO276" s="23"/>
      <c r="OP276" s="23"/>
      <c r="OQ276" s="23"/>
      <c r="OR276" s="23"/>
      <c r="OS276" s="23"/>
      <c r="OT276" s="23"/>
      <c r="OU276" s="23"/>
      <c r="OV276" s="23"/>
      <c r="OW276" s="23"/>
      <c r="OX276" s="23"/>
      <c r="OY276" s="23"/>
      <c r="OZ276" s="23"/>
      <c r="PA276" s="23"/>
      <c r="PB276" s="23"/>
      <c r="PC276" s="23"/>
      <c r="PD276" s="23"/>
      <c r="PE276" s="23"/>
      <c r="PF276" s="23"/>
      <c r="PG276" s="23"/>
      <c r="PH276" s="23"/>
      <c r="PI276" s="23"/>
      <c r="PJ276" s="23"/>
      <c r="PK276" s="23"/>
      <c r="PL276" s="23"/>
      <c r="PM276" s="23"/>
      <c r="PN276" s="23"/>
      <c r="PO276" s="23"/>
      <c r="PP276" s="23"/>
      <c r="PQ276" s="23"/>
      <c r="PR276" s="23"/>
      <c r="PS276" s="23"/>
      <c r="PT276" s="23"/>
      <c r="PU276" s="23"/>
      <c r="PV276" s="23"/>
      <c r="PW276" s="23"/>
      <c r="PX276" s="23"/>
      <c r="PY276" s="23"/>
      <c r="PZ276" s="23"/>
      <c r="QA276" s="23"/>
      <c r="QB276" s="23"/>
      <c r="QC276" s="23"/>
      <c r="QD276" s="23"/>
      <c r="QE276" s="23"/>
      <c r="QF276" s="23"/>
      <c r="QG276" s="23"/>
      <c r="QH276" s="23"/>
      <c r="QI276" s="23"/>
      <c r="QJ276" s="23"/>
      <c r="QK276" s="23"/>
      <c r="QL276" s="23"/>
      <c r="QM276" s="23"/>
      <c r="QN276" s="23"/>
      <c r="QO276" s="23"/>
      <c r="QP276" s="23"/>
      <c r="QQ276" s="23"/>
      <c r="QR276" s="23"/>
      <c r="QS276" s="23"/>
      <c r="QT276" s="23"/>
      <c r="QU276" s="23"/>
      <c r="QV276" s="23"/>
      <c r="QW276" s="23"/>
      <c r="QX276" s="23"/>
      <c r="QY276" s="23"/>
      <c r="QZ276" s="23"/>
      <c r="RA276" s="23"/>
      <c r="RB276" s="23"/>
      <c r="RC276" s="23"/>
      <c r="RD276" s="23"/>
      <c r="RE276" s="23"/>
      <c r="RF276" s="23"/>
      <c r="RG276" s="23"/>
      <c r="RH276" s="23"/>
      <c r="RI276" s="23"/>
      <c r="RJ276" s="23"/>
      <c r="RK276" s="23"/>
      <c r="RL276" s="23"/>
      <c r="RM276" s="23"/>
      <c r="RN276" s="23"/>
      <c r="RO276" s="23"/>
      <c r="RP276" s="23"/>
      <c r="RQ276" s="23"/>
      <c r="RR276" s="23"/>
      <c r="RS276" s="23"/>
      <c r="RT276" s="23"/>
      <c r="RU276" s="23"/>
      <c r="RV276" s="23"/>
      <c r="RW276" s="23"/>
      <c r="RX276" s="23"/>
      <c r="RY276" s="23"/>
      <c r="RZ276" s="23"/>
      <c r="SA276" s="23"/>
      <c r="SB276" s="23"/>
      <c r="SC276" s="23"/>
      <c r="SD276" s="23"/>
      <c r="SE276" s="23"/>
      <c r="SF276" s="23"/>
      <c r="SG276" s="23"/>
      <c r="SH276" s="23"/>
      <c r="SI276" s="23"/>
      <c r="SJ276" s="23"/>
      <c r="SK276" s="23"/>
      <c r="SL276" s="23"/>
      <c r="SM276" s="23"/>
      <c r="SN276" s="23"/>
      <c r="SO276" s="23"/>
      <c r="SP276" s="23"/>
      <c r="SQ276" s="23"/>
      <c r="SR276" s="23"/>
      <c r="SS276" s="23"/>
      <c r="ST276" s="23"/>
      <c r="SU276" s="23"/>
      <c r="SV276" s="23"/>
      <c r="SW276" s="23"/>
      <c r="SX276" s="23"/>
      <c r="SY276" s="23"/>
      <c r="SZ276" s="23"/>
      <c r="TA276" s="23"/>
      <c r="TB276" s="23"/>
      <c r="TC276" s="23"/>
      <c r="TD276" s="23"/>
      <c r="TE276" s="23"/>
      <c r="TF276" s="23"/>
      <c r="TG276" s="23"/>
    </row>
    <row r="277" spans="1:527" s="22" customFormat="1" ht="18.75" x14ac:dyDescent="0.25">
      <c r="A277" s="59" t="s">
        <v>563</v>
      </c>
      <c r="B277" s="93">
        <v>7324</v>
      </c>
      <c r="C277" s="93">
        <v>443</v>
      </c>
      <c r="D277" s="6" t="s">
        <v>551</v>
      </c>
      <c r="E277" s="99">
        <f t="shared" si="135"/>
        <v>0</v>
      </c>
      <c r="F277" s="99"/>
      <c r="G277" s="99"/>
      <c r="H277" s="99"/>
      <c r="I277" s="99"/>
      <c r="J277" s="99">
        <f t="shared" si="137"/>
        <v>400000</v>
      </c>
      <c r="K277" s="99">
        <v>400000</v>
      </c>
      <c r="L277" s="99"/>
      <c r="M277" s="99"/>
      <c r="N277" s="99"/>
      <c r="O277" s="99">
        <v>400000</v>
      </c>
      <c r="P277" s="99">
        <f t="shared" si="136"/>
        <v>400000</v>
      </c>
      <c r="Q277" s="23"/>
      <c r="R277" s="32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  <c r="IW277" s="23"/>
      <c r="IX277" s="23"/>
      <c r="IY277" s="23"/>
      <c r="IZ277" s="23"/>
      <c r="JA277" s="23"/>
      <c r="JB277" s="23"/>
      <c r="JC277" s="23"/>
      <c r="JD277" s="23"/>
      <c r="JE277" s="23"/>
      <c r="JF277" s="23"/>
      <c r="JG277" s="23"/>
      <c r="JH277" s="23"/>
      <c r="JI277" s="23"/>
      <c r="JJ277" s="23"/>
      <c r="JK277" s="23"/>
      <c r="JL277" s="23"/>
      <c r="JM277" s="23"/>
      <c r="JN277" s="23"/>
      <c r="JO277" s="23"/>
      <c r="JP277" s="23"/>
      <c r="JQ277" s="23"/>
      <c r="JR277" s="23"/>
      <c r="JS277" s="23"/>
      <c r="JT277" s="23"/>
      <c r="JU277" s="23"/>
      <c r="JV277" s="23"/>
      <c r="JW277" s="23"/>
      <c r="JX277" s="23"/>
      <c r="JY277" s="23"/>
      <c r="JZ277" s="23"/>
      <c r="KA277" s="23"/>
      <c r="KB277" s="23"/>
      <c r="KC277" s="23"/>
      <c r="KD277" s="23"/>
      <c r="KE277" s="23"/>
      <c r="KF277" s="23"/>
      <c r="KG277" s="23"/>
      <c r="KH277" s="23"/>
      <c r="KI277" s="23"/>
      <c r="KJ277" s="23"/>
      <c r="KK277" s="23"/>
      <c r="KL277" s="23"/>
      <c r="KM277" s="23"/>
      <c r="KN277" s="23"/>
      <c r="KO277" s="23"/>
      <c r="KP277" s="23"/>
      <c r="KQ277" s="23"/>
      <c r="KR277" s="23"/>
      <c r="KS277" s="23"/>
      <c r="KT277" s="23"/>
      <c r="KU277" s="23"/>
      <c r="KV277" s="23"/>
      <c r="KW277" s="23"/>
      <c r="KX277" s="23"/>
      <c r="KY277" s="23"/>
      <c r="KZ277" s="23"/>
      <c r="LA277" s="23"/>
      <c r="LB277" s="23"/>
      <c r="LC277" s="23"/>
      <c r="LD277" s="23"/>
      <c r="LE277" s="23"/>
      <c r="LF277" s="23"/>
      <c r="LG277" s="23"/>
      <c r="LH277" s="23"/>
      <c r="LI277" s="23"/>
      <c r="LJ277" s="23"/>
      <c r="LK277" s="23"/>
      <c r="LL277" s="23"/>
      <c r="LM277" s="23"/>
      <c r="LN277" s="23"/>
      <c r="LO277" s="23"/>
      <c r="LP277" s="23"/>
      <c r="LQ277" s="23"/>
      <c r="LR277" s="23"/>
      <c r="LS277" s="23"/>
      <c r="LT277" s="23"/>
      <c r="LU277" s="23"/>
      <c r="LV277" s="23"/>
      <c r="LW277" s="23"/>
      <c r="LX277" s="23"/>
      <c r="LY277" s="23"/>
      <c r="LZ277" s="23"/>
      <c r="MA277" s="23"/>
      <c r="MB277" s="23"/>
      <c r="MC277" s="23"/>
      <c r="MD277" s="23"/>
      <c r="ME277" s="23"/>
      <c r="MF277" s="23"/>
      <c r="MG277" s="23"/>
      <c r="MH277" s="23"/>
      <c r="MI277" s="23"/>
      <c r="MJ277" s="23"/>
      <c r="MK277" s="23"/>
      <c r="ML277" s="23"/>
      <c r="MM277" s="23"/>
      <c r="MN277" s="23"/>
      <c r="MO277" s="23"/>
      <c r="MP277" s="23"/>
      <c r="MQ277" s="23"/>
      <c r="MR277" s="23"/>
      <c r="MS277" s="23"/>
      <c r="MT277" s="23"/>
      <c r="MU277" s="23"/>
      <c r="MV277" s="23"/>
      <c r="MW277" s="23"/>
      <c r="MX277" s="23"/>
      <c r="MY277" s="23"/>
      <c r="MZ277" s="23"/>
      <c r="NA277" s="23"/>
      <c r="NB277" s="23"/>
      <c r="NC277" s="23"/>
      <c r="ND277" s="23"/>
      <c r="NE277" s="23"/>
      <c r="NF277" s="23"/>
      <c r="NG277" s="23"/>
      <c r="NH277" s="23"/>
      <c r="NI277" s="23"/>
      <c r="NJ277" s="23"/>
      <c r="NK277" s="23"/>
      <c r="NL277" s="23"/>
      <c r="NM277" s="23"/>
      <c r="NN277" s="23"/>
      <c r="NO277" s="23"/>
      <c r="NP277" s="23"/>
      <c r="NQ277" s="23"/>
      <c r="NR277" s="23"/>
      <c r="NS277" s="23"/>
      <c r="NT277" s="23"/>
      <c r="NU277" s="23"/>
      <c r="NV277" s="23"/>
      <c r="NW277" s="23"/>
      <c r="NX277" s="23"/>
      <c r="NY277" s="23"/>
      <c r="NZ277" s="23"/>
      <c r="OA277" s="23"/>
      <c r="OB277" s="23"/>
      <c r="OC277" s="23"/>
      <c r="OD277" s="23"/>
      <c r="OE277" s="23"/>
      <c r="OF277" s="23"/>
      <c r="OG277" s="23"/>
      <c r="OH277" s="23"/>
      <c r="OI277" s="23"/>
      <c r="OJ277" s="23"/>
      <c r="OK277" s="23"/>
      <c r="OL277" s="23"/>
      <c r="OM277" s="23"/>
      <c r="ON277" s="23"/>
      <c r="OO277" s="23"/>
      <c r="OP277" s="23"/>
      <c r="OQ277" s="23"/>
      <c r="OR277" s="23"/>
      <c r="OS277" s="23"/>
      <c r="OT277" s="23"/>
      <c r="OU277" s="23"/>
      <c r="OV277" s="23"/>
      <c r="OW277" s="23"/>
      <c r="OX277" s="23"/>
      <c r="OY277" s="23"/>
      <c r="OZ277" s="23"/>
      <c r="PA277" s="23"/>
      <c r="PB277" s="23"/>
      <c r="PC277" s="23"/>
      <c r="PD277" s="23"/>
      <c r="PE277" s="23"/>
      <c r="PF277" s="23"/>
      <c r="PG277" s="23"/>
      <c r="PH277" s="23"/>
      <c r="PI277" s="23"/>
      <c r="PJ277" s="23"/>
      <c r="PK277" s="23"/>
      <c r="PL277" s="23"/>
      <c r="PM277" s="23"/>
      <c r="PN277" s="23"/>
      <c r="PO277" s="23"/>
      <c r="PP277" s="23"/>
      <c r="PQ277" s="23"/>
      <c r="PR277" s="23"/>
      <c r="PS277" s="23"/>
      <c r="PT277" s="23"/>
      <c r="PU277" s="23"/>
      <c r="PV277" s="23"/>
      <c r="PW277" s="23"/>
      <c r="PX277" s="23"/>
      <c r="PY277" s="23"/>
      <c r="PZ277" s="23"/>
      <c r="QA277" s="23"/>
      <c r="QB277" s="23"/>
      <c r="QC277" s="23"/>
      <c r="QD277" s="23"/>
      <c r="QE277" s="23"/>
      <c r="QF277" s="23"/>
      <c r="QG277" s="23"/>
      <c r="QH277" s="23"/>
      <c r="QI277" s="23"/>
      <c r="QJ277" s="23"/>
      <c r="QK277" s="23"/>
      <c r="QL277" s="23"/>
      <c r="QM277" s="23"/>
      <c r="QN277" s="23"/>
      <c r="QO277" s="23"/>
      <c r="QP277" s="23"/>
      <c r="QQ277" s="23"/>
      <c r="QR277" s="23"/>
      <c r="QS277" s="23"/>
      <c r="QT277" s="23"/>
      <c r="QU277" s="23"/>
      <c r="QV277" s="23"/>
      <c r="QW277" s="23"/>
      <c r="QX277" s="23"/>
      <c r="QY277" s="23"/>
      <c r="QZ277" s="23"/>
      <c r="RA277" s="23"/>
      <c r="RB277" s="23"/>
      <c r="RC277" s="23"/>
      <c r="RD277" s="23"/>
      <c r="RE277" s="23"/>
      <c r="RF277" s="23"/>
      <c r="RG277" s="23"/>
      <c r="RH277" s="23"/>
      <c r="RI277" s="23"/>
      <c r="RJ277" s="23"/>
      <c r="RK277" s="23"/>
      <c r="RL277" s="23"/>
      <c r="RM277" s="23"/>
      <c r="RN277" s="23"/>
      <c r="RO277" s="23"/>
      <c r="RP277" s="23"/>
      <c r="RQ277" s="23"/>
      <c r="RR277" s="23"/>
      <c r="RS277" s="23"/>
      <c r="RT277" s="23"/>
      <c r="RU277" s="23"/>
      <c r="RV277" s="23"/>
      <c r="RW277" s="23"/>
      <c r="RX277" s="23"/>
      <c r="RY277" s="23"/>
      <c r="RZ277" s="23"/>
      <c r="SA277" s="23"/>
      <c r="SB277" s="23"/>
      <c r="SC277" s="23"/>
      <c r="SD277" s="23"/>
      <c r="SE277" s="23"/>
      <c r="SF277" s="23"/>
      <c r="SG277" s="23"/>
      <c r="SH277" s="23"/>
      <c r="SI277" s="23"/>
      <c r="SJ277" s="23"/>
      <c r="SK277" s="23"/>
      <c r="SL277" s="23"/>
      <c r="SM277" s="23"/>
      <c r="SN277" s="23"/>
      <c r="SO277" s="23"/>
      <c r="SP277" s="23"/>
      <c r="SQ277" s="23"/>
      <c r="SR277" s="23"/>
      <c r="SS277" s="23"/>
      <c r="ST277" s="23"/>
      <c r="SU277" s="23"/>
      <c r="SV277" s="23"/>
      <c r="SW277" s="23"/>
      <c r="SX277" s="23"/>
      <c r="SY277" s="23"/>
      <c r="SZ277" s="23"/>
      <c r="TA277" s="23"/>
      <c r="TB277" s="23"/>
      <c r="TC277" s="23"/>
      <c r="TD277" s="23"/>
      <c r="TE277" s="23"/>
      <c r="TF277" s="23"/>
      <c r="TG277" s="23"/>
    </row>
    <row r="278" spans="1:527" s="22" customFormat="1" ht="34.5" x14ac:dyDescent="0.25">
      <c r="A278" s="59" t="s">
        <v>359</v>
      </c>
      <c r="B278" s="93">
        <f>'дод 8'!A183</f>
        <v>7325</v>
      </c>
      <c r="C278" s="59" t="s">
        <v>111</v>
      </c>
      <c r="D278" s="6" t="s">
        <v>546</v>
      </c>
      <c r="E278" s="99">
        <f t="shared" si="135"/>
        <v>0</v>
      </c>
      <c r="F278" s="99"/>
      <c r="G278" s="99"/>
      <c r="H278" s="99"/>
      <c r="I278" s="99"/>
      <c r="J278" s="99">
        <f t="shared" si="137"/>
        <v>2849440</v>
      </c>
      <c r="K278" s="99">
        <f>199440+1000000+600000+750000+300000</f>
        <v>2849440</v>
      </c>
      <c r="L278" s="99"/>
      <c r="M278" s="99"/>
      <c r="N278" s="99"/>
      <c r="O278" s="99">
        <f>199440+1000000+600000+750000+300000</f>
        <v>2849440</v>
      </c>
      <c r="P278" s="99">
        <f t="shared" si="136"/>
        <v>2849440</v>
      </c>
      <c r="Q278" s="23"/>
      <c r="R278" s="32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  <c r="KQ278" s="23"/>
      <c r="KR278" s="23"/>
      <c r="KS278" s="23"/>
      <c r="KT278" s="23"/>
      <c r="KU278" s="23"/>
      <c r="KV278" s="23"/>
      <c r="KW278" s="23"/>
      <c r="KX278" s="23"/>
      <c r="KY278" s="23"/>
      <c r="KZ278" s="23"/>
      <c r="LA278" s="23"/>
      <c r="LB278" s="23"/>
      <c r="LC278" s="23"/>
      <c r="LD278" s="23"/>
      <c r="LE278" s="23"/>
      <c r="LF278" s="23"/>
      <c r="LG278" s="23"/>
      <c r="LH278" s="23"/>
      <c r="LI278" s="23"/>
      <c r="LJ278" s="23"/>
      <c r="LK278" s="23"/>
      <c r="LL278" s="23"/>
      <c r="LM278" s="23"/>
      <c r="LN278" s="23"/>
      <c r="LO278" s="23"/>
      <c r="LP278" s="23"/>
      <c r="LQ278" s="23"/>
      <c r="LR278" s="23"/>
      <c r="LS278" s="23"/>
      <c r="LT278" s="23"/>
      <c r="LU278" s="23"/>
      <c r="LV278" s="23"/>
      <c r="LW278" s="23"/>
      <c r="LX278" s="23"/>
      <c r="LY278" s="23"/>
      <c r="LZ278" s="23"/>
      <c r="MA278" s="23"/>
      <c r="MB278" s="23"/>
      <c r="MC278" s="23"/>
      <c r="MD278" s="23"/>
      <c r="ME278" s="23"/>
      <c r="MF278" s="23"/>
      <c r="MG278" s="23"/>
      <c r="MH278" s="23"/>
      <c r="MI278" s="23"/>
      <c r="MJ278" s="23"/>
      <c r="MK278" s="23"/>
      <c r="ML278" s="23"/>
      <c r="MM278" s="23"/>
      <c r="MN278" s="23"/>
      <c r="MO278" s="23"/>
      <c r="MP278" s="23"/>
      <c r="MQ278" s="23"/>
      <c r="MR278" s="23"/>
      <c r="MS278" s="23"/>
      <c r="MT278" s="23"/>
      <c r="MU278" s="23"/>
      <c r="MV278" s="23"/>
      <c r="MW278" s="23"/>
      <c r="MX278" s="23"/>
      <c r="MY278" s="23"/>
      <c r="MZ278" s="23"/>
      <c r="NA278" s="23"/>
      <c r="NB278" s="23"/>
      <c r="NC278" s="23"/>
      <c r="ND278" s="23"/>
      <c r="NE278" s="23"/>
      <c r="NF278" s="23"/>
      <c r="NG278" s="23"/>
      <c r="NH278" s="23"/>
      <c r="NI278" s="23"/>
      <c r="NJ278" s="23"/>
      <c r="NK278" s="23"/>
      <c r="NL278" s="23"/>
      <c r="NM278" s="23"/>
      <c r="NN278" s="23"/>
      <c r="NO278" s="23"/>
      <c r="NP278" s="23"/>
      <c r="NQ278" s="23"/>
      <c r="NR278" s="23"/>
      <c r="NS278" s="23"/>
      <c r="NT278" s="23"/>
      <c r="NU278" s="23"/>
      <c r="NV278" s="23"/>
      <c r="NW278" s="23"/>
      <c r="NX278" s="23"/>
      <c r="NY278" s="23"/>
      <c r="NZ278" s="23"/>
      <c r="OA278" s="23"/>
      <c r="OB278" s="23"/>
      <c r="OC278" s="23"/>
      <c r="OD278" s="23"/>
      <c r="OE278" s="23"/>
      <c r="OF278" s="23"/>
      <c r="OG278" s="23"/>
      <c r="OH278" s="23"/>
      <c r="OI278" s="23"/>
      <c r="OJ278" s="23"/>
      <c r="OK278" s="23"/>
      <c r="OL278" s="23"/>
      <c r="OM278" s="23"/>
      <c r="ON278" s="23"/>
      <c r="OO278" s="23"/>
      <c r="OP278" s="23"/>
      <c r="OQ278" s="23"/>
      <c r="OR278" s="23"/>
      <c r="OS278" s="23"/>
      <c r="OT278" s="23"/>
      <c r="OU278" s="23"/>
      <c r="OV278" s="23"/>
      <c r="OW278" s="23"/>
      <c r="OX278" s="23"/>
      <c r="OY278" s="23"/>
      <c r="OZ278" s="23"/>
      <c r="PA278" s="23"/>
      <c r="PB278" s="23"/>
      <c r="PC278" s="23"/>
      <c r="PD278" s="23"/>
      <c r="PE278" s="23"/>
      <c r="PF278" s="23"/>
      <c r="PG278" s="23"/>
      <c r="PH278" s="23"/>
      <c r="PI278" s="23"/>
      <c r="PJ278" s="23"/>
      <c r="PK278" s="23"/>
      <c r="PL278" s="23"/>
      <c r="PM278" s="23"/>
      <c r="PN278" s="23"/>
      <c r="PO278" s="23"/>
      <c r="PP278" s="23"/>
      <c r="PQ278" s="23"/>
      <c r="PR278" s="23"/>
      <c r="PS278" s="23"/>
      <c r="PT278" s="23"/>
      <c r="PU278" s="23"/>
      <c r="PV278" s="23"/>
      <c r="PW278" s="23"/>
      <c r="PX278" s="23"/>
      <c r="PY278" s="23"/>
      <c r="PZ278" s="23"/>
      <c r="QA278" s="23"/>
      <c r="QB278" s="23"/>
      <c r="QC278" s="23"/>
      <c r="QD278" s="23"/>
      <c r="QE278" s="23"/>
      <c r="QF278" s="23"/>
      <c r="QG278" s="23"/>
      <c r="QH278" s="23"/>
      <c r="QI278" s="23"/>
      <c r="QJ278" s="23"/>
      <c r="QK278" s="23"/>
      <c r="QL278" s="23"/>
      <c r="QM278" s="23"/>
      <c r="QN278" s="23"/>
      <c r="QO278" s="23"/>
      <c r="QP278" s="23"/>
      <c r="QQ278" s="23"/>
      <c r="QR278" s="23"/>
      <c r="QS278" s="23"/>
      <c r="QT278" s="23"/>
      <c r="QU278" s="23"/>
      <c r="QV278" s="23"/>
      <c r="QW278" s="23"/>
      <c r="QX278" s="23"/>
      <c r="QY278" s="23"/>
      <c r="QZ278" s="23"/>
      <c r="RA278" s="23"/>
      <c r="RB278" s="23"/>
      <c r="RC278" s="23"/>
      <c r="RD278" s="23"/>
      <c r="RE278" s="23"/>
      <c r="RF278" s="23"/>
      <c r="RG278" s="23"/>
      <c r="RH278" s="23"/>
      <c r="RI278" s="23"/>
      <c r="RJ278" s="23"/>
      <c r="RK278" s="23"/>
      <c r="RL278" s="23"/>
      <c r="RM278" s="23"/>
      <c r="RN278" s="23"/>
      <c r="RO278" s="23"/>
      <c r="RP278" s="23"/>
      <c r="RQ278" s="23"/>
      <c r="RR278" s="23"/>
      <c r="RS278" s="23"/>
      <c r="RT278" s="23"/>
      <c r="RU278" s="23"/>
      <c r="RV278" s="23"/>
      <c r="RW278" s="23"/>
      <c r="RX278" s="23"/>
      <c r="RY278" s="23"/>
      <c r="RZ278" s="23"/>
      <c r="SA278" s="23"/>
      <c r="SB278" s="23"/>
      <c r="SC278" s="23"/>
      <c r="SD278" s="23"/>
      <c r="SE278" s="23"/>
      <c r="SF278" s="23"/>
      <c r="SG278" s="23"/>
      <c r="SH278" s="23"/>
      <c r="SI278" s="23"/>
      <c r="SJ278" s="23"/>
      <c r="SK278" s="23"/>
      <c r="SL278" s="23"/>
      <c r="SM278" s="23"/>
      <c r="SN278" s="23"/>
      <c r="SO278" s="23"/>
      <c r="SP278" s="23"/>
      <c r="SQ278" s="23"/>
      <c r="SR278" s="23"/>
      <c r="SS278" s="23"/>
      <c r="ST278" s="23"/>
      <c r="SU278" s="23"/>
      <c r="SV278" s="23"/>
      <c r="SW278" s="23"/>
      <c r="SX278" s="23"/>
      <c r="SY278" s="23"/>
      <c r="SZ278" s="23"/>
      <c r="TA278" s="23"/>
      <c r="TB278" s="23"/>
      <c r="TC278" s="23"/>
      <c r="TD278" s="23"/>
      <c r="TE278" s="23"/>
      <c r="TF278" s="23"/>
      <c r="TG278" s="23"/>
    </row>
    <row r="279" spans="1:527" s="22" customFormat="1" ht="18" customHeight="1" x14ac:dyDescent="0.25">
      <c r="A279" s="59" t="s">
        <v>280</v>
      </c>
      <c r="B279" s="93" t="str">
        <f>'дод 8'!A184</f>
        <v>7330</v>
      </c>
      <c r="C279" s="93" t="str">
        <f>'дод 8'!B184</f>
        <v>0443</v>
      </c>
      <c r="D279" s="6" t="s">
        <v>547</v>
      </c>
      <c r="E279" s="99">
        <f t="shared" si="135"/>
        <v>0</v>
      </c>
      <c r="F279" s="99"/>
      <c r="G279" s="99"/>
      <c r="H279" s="99"/>
      <c r="I279" s="99"/>
      <c r="J279" s="99">
        <f t="shared" si="137"/>
        <v>11360539</v>
      </c>
      <c r="K279" s="99">
        <f>39750000+1567447+258138-1800000+200000+135000+200000+95995-28000000+240000-70000+60000+30000-30000+49900+1000000-2814608-60000+698667-136875+136875-150000</f>
        <v>11360539</v>
      </c>
      <c r="L279" s="99"/>
      <c r="M279" s="99"/>
      <c r="N279" s="99"/>
      <c r="O279" s="99">
        <f>39750000+1567447+258138-1800000+200000+135000+200000+95995-28000000+240000-70000+60000+30000-30000+49900+1000000-2814608-60000+698667-136875+136875-150000</f>
        <v>11360539</v>
      </c>
      <c r="P279" s="99">
        <f t="shared" si="136"/>
        <v>11360539</v>
      </c>
      <c r="Q279" s="23"/>
      <c r="R279" s="32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  <c r="SQ279" s="23"/>
      <c r="SR279" s="23"/>
      <c r="SS279" s="23"/>
      <c r="ST279" s="23"/>
      <c r="SU279" s="23"/>
      <c r="SV279" s="23"/>
      <c r="SW279" s="23"/>
      <c r="SX279" s="23"/>
      <c r="SY279" s="23"/>
      <c r="SZ279" s="23"/>
      <c r="TA279" s="23"/>
      <c r="TB279" s="23"/>
      <c r="TC279" s="23"/>
      <c r="TD279" s="23"/>
      <c r="TE279" s="23"/>
      <c r="TF279" s="23"/>
      <c r="TG279" s="23"/>
    </row>
    <row r="280" spans="1:527" s="22" customFormat="1" ht="31.5" x14ac:dyDescent="0.25">
      <c r="A280" s="59" t="s">
        <v>428</v>
      </c>
      <c r="B280" s="93">
        <v>7340</v>
      </c>
      <c r="C280" s="59" t="s">
        <v>111</v>
      </c>
      <c r="D280" s="60" t="s">
        <v>1</v>
      </c>
      <c r="E280" s="99">
        <f t="shared" si="135"/>
        <v>0</v>
      </c>
      <c r="F280" s="99"/>
      <c r="G280" s="99"/>
      <c r="H280" s="99"/>
      <c r="I280" s="99"/>
      <c r="J280" s="99">
        <f t="shared" si="137"/>
        <v>1000000</v>
      </c>
      <c r="K280" s="99">
        <f>6000000-2067496-104420-86000-2742084</f>
        <v>1000000</v>
      </c>
      <c r="L280" s="99"/>
      <c r="M280" s="99"/>
      <c r="N280" s="99"/>
      <c r="O280" s="99">
        <f>6000000-2067496-104420-86000-2742084</f>
        <v>1000000</v>
      </c>
      <c r="P280" s="99">
        <f t="shared" si="136"/>
        <v>1000000</v>
      </c>
      <c r="Q280" s="23"/>
      <c r="R280" s="32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  <c r="KQ280" s="23"/>
      <c r="KR280" s="23"/>
      <c r="KS280" s="23"/>
      <c r="KT280" s="23"/>
      <c r="KU280" s="23"/>
      <c r="KV280" s="23"/>
      <c r="KW280" s="23"/>
      <c r="KX280" s="23"/>
      <c r="KY280" s="23"/>
      <c r="KZ280" s="23"/>
      <c r="LA280" s="23"/>
      <c r="LB280" s="23"/>
      <c r="LC280" s="23"/>
      <c r="LD280" s="23"/>
      <c r="LE280" s="23"/>
      <c r="LF280" s="23"/>
      <c r="LG280" s="23"/>
      <c r="LH280" s="23"/>
      <c r="LI280" s="23"/>
      <c r="LJ280" s="23"/>
      <c r="LK280" s="23"/>
      <c r="LL280" s="23"/>
      <c r="LM280" s="23"/>
      <c r="LN280" s="23"/>
      <c r="LO280" s="23"/>
      <c r="LP280" s="23"/>
      <c r="LQ280" s="23"/>
      <c r="LR280" s="23"/>
      <c r="LS280" s="23"/>
      <c r="LT280" s="23"/>
      <c r="LU280" s="23"/>
      <c r="LV280" s="23"/>
      <c r="LW280" s="23"/>
      <c r="LX280" s="23"/>
      <c r="LY280" s="23"/>
      <c r="LZ280" s="23"/>
      <c r="MA280" s="23"/>
      <c r="MB280" s="23"/>
      <c r="MC280" s="23"/>
      <c r="MD280" s="23"/>
      <c r="ME280" s="23"/>
      <c r="MF280" s="23"/>
      <c r="MG280" s="23"/>
      <c r="MH280" s="23"/>
      <c r="MI280" s="23"/>
      <c r="MJ280" s="23"/>
      <c r="MK280" s="23"/>
      <c r="ML280" s="23"/>
      <c r="MM280" s="23"/>
      <c r="MN280" s="23"/>
      <c r="MO280" s="23"/>
      <c r="MP280" s="23"/>
      <c r="MQ280" s="23"/>
      <c r="MR280" s="23"/>
      <c r="MS280" s="23"/>
      <c r="MT280" s="23"/>
      <c r="MU280" s="23"/>
      <c r="MV280" s="23"/>
      <c r="MW280" s="23"/>
      <c r="MX280" s="23"/>
      <c r="MY280" s="23"/>
      <c r="MZ280" s="23"/>
      <c r="NA280" s="23"/>
      <c r="NB280" s="23"/>
      <c r="NC280" s="23"/>
      <c r="ND280" s="23"/>
      <c r="NE280" s="23"/>
      <c r="NF280" s="23"/>
      <c r="NG280" s="23"/>
      <c r="NH280" s="23"/>
      <c r="NI280" s="23"/>
      <c r="NJ280" s="23"/>
      <c r="NK280" s="23"/>
      <c r="NL280" s="23"/>
      <c r="NM280" s="23"/>
      <c r="NN280" s="23"/>
      <c r="NO280" s="23"/>
      <c r="NP280" s="23"/>
      <c r="NQ280" s="23"/>
      <c r="NR280" s="23"/>
      <c r="NS280" s="23"/>
      <c r="NT280" s="23"/>
      <c r="NU280" s="23"/>
      <c r="NV280" s="23"/>
      <c r="NW280" s="23"/>
      <c r="NX280" s="23"/>
      <c r="NY280" s="23"/>
      <c r="NZ280" s="23"/>
      <c r="OA280" s="23"/>
      <c r="OB280" s="23"/>
      <c r="OC280" s="23"/>
      <c r="OD280" s="23"/>
      <c r="OE280" s="23"/>
      <c r="OF280" s="23"/>
      <c r="OG280" s="23"/>
      <c r="OH280" s="23"/>
      <c r="OI280" s="23"/>
      <c r="OJ280" s="23"/>
      <c r="OK280" s="23"/>
      <c r="OL280" s="23"/>
      <c r="OM280" s="23"/>
      <c r="ON280" s="23"/>
      <c r="OO280" s="23"/>
      <c r="OP280" s="23"/>
      <c r="OQ280" s="23"/>
      <c r="OR280" s="23"/>
      <c r="OS280" s="23"/>
      <c r="OT280" s="23"/>
      <c r="OU280" s="23"/>
      <c r="OV280" s="23"/>
      <c r="OW280" s="23"/>
      <c r="OX280" s="23"/>
      <c r="OY280" s="23"/>
      <c r="OZ280" s="23"/>
      <c r="PA280" s="23"/>
      <c r="PB280" s="23"/>
      <c r="PC280" s="23"/>
      <c r="PD280" s="23"/>
      <c r="PE280" s="23"/>
      <c r="PF280" s="23"/>
      <c r="PG280" s="23"/>
      <c r="PH280" s="23"/>
      <c r="PI280" s="23"/>
      <c r="PJ280" s="23"/>
      <c r="PK280" s="23"/>
      <c r="PL280" s="23"/>
      <c r="PM280" s="23"/>
      <c r="PN280" s="23"/>
      <c r="PO280" s="23"/>
      <c r="PP280" s="23"/>
      <c r="PQ280" s="23"/>
      <c r="PR280" s="23"/>
      <c r="PS280" s="23"/>
      <c r="PT280" s="23"/>
      <c r="PU280" s="23"/>
      <c r="PV280" s="23"/>
      <c r="PW280" s="23"/>
      <c r="PX280" s="23"/>
      <c r="PY280" s="23"/>
      <c r="PZ280" s="23"/>
      <c r="QA280" s="23"/>
      <c r="QB280" s="23"/>
      <c r="QC280" s="23"/>
      <c r="QD280" s="23"/>
      <c r="QE280" s="23"/>
      <c r="QF280" s="23"/>
      <c r="QG280" s="23"/>
      <c r="QH280" s="23"/>
      <c r="QI280" s="23"/>
      <c r="QJ280" s="23"/>
      <c r="QK280" s="23"/>
      <c r="QL280" s="23"/>
      <c r="QM280" s="23"/>
      <c r="QN280" s="23"/>
      <c r="QO280" s="23"/>
      <c r="QP280" s="23"/>
      <c r="QQ280" s="23"/>
      <c r="QR280" s="23"/>
      <c r="QS280" s="23"/>
      <c r="QT280" s="23"/>
      <c r="QU280" s="23"/>
      <c r="QV280" s="23"/>
      <c r="QW280" s="23"/>
      <c r="QX280" s="23"/>
      <c r="QY280" s="23"/>
      <c r="QZ280" s="23"/>
      <c r="RA280" s="23"/>
      <c r="RB280" s="23"/>
      <c r="RC280" s="23"/>
      <c r="RD280" s="23"/>
      <c r="RE280" s="23"/>
      <c r="RF280" s="23"/>
      <c r="RG280" s="23"/>
      <c r="RH280" s="23"/>
      <c r="RI280" s="23"/>
      <c r="RJ280" s="23"/>
      <c r="RK280" s="23"/>
      <c r="RL280" s="23"/>
      <c r="RM280" s="23"/>
      <c r="RN280" s="23"/>
      <c r="RO280" s="23"/>
      <c r="RP280" s="23"/>
      <c r="RQ280" s="23"/>
      <c r="RR280" s="23"/>
      <c r="RS280" s="23"/>
      <c r="RT280" s="23"/>
      <c r="RU280" s="23"/>
      <c r="RV280" s="23"/>
      <c r="RW280" s="23"/>
      <c r="RX280" s="23"/>
      <c r="RY280" s="23"/>
      <c r="RZ280" s="23"/>
      <c r="SA280" s="23"/>
      <c r="SB280" s="23"/>
      <c r="SC280" s="23"/>
      <c r="SD280" s="23"/>
      <c r="SE280" s="23"/>
      <c r="SF280" s="23"/>
      <c r="SG280" s="23"/>
      <c r="SH280" s="23"/>
      <c r="SI280" s="23"/>
      <c r="SJ280" s="23"/>
      <c r="SK280" s="23"/>
      <c r="SL280" s="23"/>
      <c r="SM280" s="23"/>
      <c r="SN280" s="23"/>
      <c r="SO280" s="23"/>
      <c r="SP280" s="23"/>
      <c r="SQ280" s="23"/>
      <c r="SR280" s="23"/>
      <c r="SS280" s="23"/>
      <c r="ST280" s="23"/>
      <c r="SU280" s="23"/>
      <c r="SV280" s="23"/>
      <c r="SW280" s="23"/>
      <c r="SX280" s="23"/>
      <c r="SY280" s="23"/>
      <c r="SZ280" s="23"/>
      <c r="TA280" s="23"/>
      <c r="TB280" s="23"/>
      <c r="TC280" s="23"/>
      <c r="TD280" s="23"/>
      <c r="TE280" s="23"/>
      <c r="TF280" s="23"/>
      <c r="TG280" s="23"/>
    </row>
    <row r="281" spans="1:527" s="22" customFormat="1" ht="53.25" customHeight="1" x14ac:dyDescent="0.25">
      <c r="A281" s="59" t="s">
        <v>371</v>
      </c>
      <c r="B281" s="93">
        <f>'дод 8'!A187</f>
        <v>7361</v>
      </c>
      <c r="C281" s="93" t="str">
        <f>'дод 8'!B187</f>
        <v>0490</v>
      </c>
      <c r="D281" s="60" t="str">
        <f>'дод 8'!C187</f>
        <v>Співфінансування інвестиційних проектів, що реалізуються за рахунок коштів державного фонду регіонального розвитку</v>
      </c>
      <c r="E281" s="99">
        <f t="shared" ref="E281" si="138">F281+I281</f>
        <v>0</v>
      </c>
      <c r="F281" s="99"/>
      <c r="G281" s="99"/>
      <c r="H281" s="99"/>
      <c r="I281" s="99"/>
      <c r="J281" s="99">
        <f t="shared" ref="J281" si="139">L281+O281</f>
        <v>67172673</v>
      </c>
      <c r="K281" s="99">
        <f>10172673+28000000+15000000+924549+4075451+9000000</f>
        <v>67172673</v>
      </c>
      <c r="L281" s="99"/>
      <c r="M281" s="99"/>
      <c r="N281" s="99"/>
      <c r="O281" s="99">
        <f>10172673+28000000+15000000+924549+4075451+9000000</f>
        <v>67172673</v>
      </c>
      <c r="P281" s="99">
        <f t="shared" si="136"/>
        <v>67172673</v>
      </c>
      <c r="Q281" s="23"/>
      <c r="R281" s="32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  <c r="SQ281" s="23"/>
      <c r="SR281" s="23"/>
      <c r="SS281" s="23"/>
      <c r="ST281" s="23"/>
      <c r="SU281" s="23"/>
      <c r="SV281" s="23"/>
      <c r="SW281" s="23"/>
      <c r="SX281" s="23"/>
      <c r="SY281" s="23"/>
      <c r="SZ281" s="23"/>
      <c r="TA281" s="23"/>
      <c r="TB281" s="23"/>
      <c r="TC281" s="23"/>
      <c r="TD281" s="23"/>
      <c r="TE281" s="23"/>
      <c r="TF281" s="23"/>
      <c r="TG281" s="23"/>
    </row>
    <row r="282" spans="1:527" s="22" customFormat="1" ht="47.25" hidden="1" customHeight="1" x14ac:dyDescent="0.25">
      <c r="A282" s="59" t="s">
        <v>366</v>
      </c>
      <c r="B282" s="93">
        <v>7363</v>
      </c>
      <c r="C282" s="59" t="s">
        <v>82</v>
      </c>
      <c r="D282" s="60" t="s">
        <v>398</v>
      </c>
      <c r="E282" s="99">
        <f t="shared" si="135"/>
        <v>0</v>
      </c>
      <c r="F282" s="99"/>
      <c r="G282" s="99"/>
      <c r="H282" s="99"/>
      <c r="I282" s="99"/>
      <c r="J282" s="99">
        <f t="shared" si="137"/>
        <v>0</v>
      </c>
      <c r="K282" s="99"/>
      <c r="L282" s="99"/>
      <c r="M282" s="99"/>
      <c r="N282" s="99"/>
      <c r="O282" s="99"/>
      <c r="P282" s="99">
        <f t="shared" si="136"/>
        <v>0</v>
      </c>
      <c r="Q282" s="23"/>
      <c r="R282" s="32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  <c r="IW282" s="23"/>
      <c r="IX282" s="23"/>
      <c r="IY282" s="23"/>
      <c r="IZ282" s="23"/>
      <c r="JA282" s="23"/>
      <c r="JB282" s="23"/>
      <c r="JC282" s="23"/>
      <c r="JD282" s="23"/>
      <c r="JE282" s="23"/>
      <c r="JF282" s="23"/>
      <c r="JG282" s="23"/>
      <c r="JH282" s="23"/>
      <c r="JI282" s="23"/>
      <c r="JJ282" s="23"/>
      <c r="JK282" s="23"/>
      <c r="JL282" s="23"/>
      <c r="JM282" s="23"/>
      <c r="JN282" s="23"/>
      <c r="JO282" s="23"/>
      <c r="JP282" s="23"/>
      <c r="JQ282" s="23"/>
      <c r="JR282" s="23"/>
      <c r="JS282" s="23"/>
      <c r="JT282" s="23"/>
      <c r="JU282" s="23"/>
      <c r="JV282" s="23"/>
      <c r="JW282" s="23"/>
      <c r="JX282" s="23"/>
      <c r="JY282" s="23"/>
      <c r="JZ282" s="23"/>
      <c r="KA282" s="23"/>
      <c r="KB282" s="23"/>
      <c r="KC282" s="23"/>
      <c r="KD282" s="23"/>
      <c r="KE282" s="23"/>
      <c r="KF282" s="23"/>
      <c r="KG282" s="23"/>
      <c r="KH282" s="23"/>
      <c r="KI282" s="23"/>
      <c r="KJ282" s="23"/>
      <c r="KK282" s="23"/>
      <c r="KL282" s="23"/>
      <c r="KM282" s="23"/>
      <c r="KN282" s="23"/>
      <c r="KO282" s="23"/>
      <c r="KP282" s="23"/>
      <c r="KQ282" s="23"/>
      <c r="KR282" s="23"/>
      <c r="KS282" s="23"/>
      <c r="KT282" s="23"/>
      <c r="KU282" s="23"/>
      <c r="KV282" s="23"/>
      <c r="KW282" s="23"/>
      <c r="KX282" s="23"/>
      <c r="KY282" s="23"/>
      <c r="KZ282" s="23"/>
      <c r="LA282" s="23"/>
      <c r="LB282" s="23"/>
      <c r="LC282" s="23"/>
      <c r="LD282" s="23"/>
      <c r="LE282" s="23"/>
      <c r="LF282" s="23"/>
      <c r="LG282" s="23"/>
      <c r="LH282" s="23"/>
      <c r="LI282" s="23"/>
      <c r="LJ282" s="23"/>
      <c r="LK282" s="23"/>
      <c r="LL282" s="23"/>
      <c r="LM282" s="23"/>
      <c r="LN282" s="23"/>
      <c r="LO282" s="23"/>
      <c r="LP282" s="23"/>
      <c r="LQ282" s="23"/>
      <c r="LR282" s="23"/>
      <c r="LS282" s="23"/>
      <c r="LT282" s="23"/>
      <c r="LU282" s="23"/>
      <c r="LV282" s="23"/>
      <c r="LW282" s="23"/>
      <c r="LX282" s="23"/>
      <c r="LY282" s="23"/>
      <c r="LZ282" s="23"/>
      <c r="MA282" s="23"/>
      <c r="MB282" s="23"/>
      <c r="MC282" s="23"/>
      <c r="MD282" s="23"/>
      <c r="ME282" s="23"/>
      <c r="MF282" s="23"/>
      <c r="MG282" s="23"/>
      <c r="MH282" s="23"/>
      <c r="MI282" s="23"/>
      <c r="MJ282" s="23"/>
      <c r="MK282" s="23"/>
      <c r="ML282" s="23"/>
      <c r="MM282" s="23"/>
      <c r="MN282" s="23"/>
      <c r="MO282" s="23"/>
      <c r="MP282" s="23"/>
      <c r="MQ282" s="23"/>
      <c r="MR282" s="23"/>
      <c r="MS282" s="23"/>
      <c r="MT282" s="23"/>
      <c r="MU282" s="23"/>
      <c r="MV282" s="23"/>
      <c r="MW282" s="23"/>
      <c r="MX282" s="23"/>
      <c r="MY282" s="23"/>
      <c r="MZ282" s="23"/>
      <c r="NA282" s="23"/>
      <c r="NB282" s="23"/>
      <c r="NC282" s="23"/>
      <c r="ND282" s="23"/>
      <c r="NE282" s="23"/>
      <c r="NF282" s="23"/>
      <c r="NG282" s="23"/>
      <c r="NH282" s="23"/>
      <c r="NI282" s="23"/>
      <c r="NJ282" s="23"/>
      <c r="NK282" s="23"/>
      <c r="NL282" s="23"/>
      <c r="NM282" s="23"/>
      <c r="NN282" s="23"/>
      <c r="NO282" s="23"/>
      <c r="NP282" s="23"/>
      <c r="NQ282" s="23"/>
      <c r="NR282" s="23"/>
      <c r="NS282" s="23"/>
      <c r="NT282" s="23"/>
      <c r="NU282" s="23"/>
      <c r="NV282" s="23"/>
      <c r="NW282" s="23"/>
      <c r="NX282" s="23"/>
      <c r="NY282" s="23"/>
      <c r="NZ282" s="23"/>
      <c r="OA282" s="23"/>
      <c r="OB282" s="23"/>
      <c r="OC282" s="23"/>
      <c r="OD282" s="23"/>
      <c r="OE282" s="23"/>
      <c r="OF282" s="23"/>
      <c r="OG282" s="23"/>
      <c r="OH282" s="23"/>
      <c r="OI282" s="23"/>
      <c r="OJ282" s="23"/>
      <c r="OK282" s="23"/>
      <c r="OL282" s="23"/>
      <c r="OM282" s="23"/>
      <c r="ON282" s="23"/>
      <c r="OO282" s="23"/>
      <c r="OP282" s="23"/>
      <c r="OQ282" s="23"/>
      <c r="OR282" s="23"/>
      <c r="OS282" s="23"/>
      <c r="OT282" s="23"/>
      <c r="OU282" s="23"/>
      <c r="OV282" s="23"/>
      <c r="OW282" s="23"/>
      <c r="OX282" s="23"/>
      <c r="OY282" s="23"/>
      <c r="OZ282" s="23"/>
      <c r="PA282" s="23"/>
      <c r="PB282" s="23"/>
      <c r="PC282" s="23"/>
      <c r="PD282" s="23"/>
      <c r="PE282" s="23"/>
      <c r="PF282" s="23"/>
      <c r="PG282" s="23"/>
      <c r="PH282" s="23"/>
      <c r="PI282" s="23"/>
      <c r="PJ282" s="23"/>
      <c r="PK282" s="23"/>
      <c r="PL282" s="23"/>
      <c r="PM282" s="23"/>
      <c r="PN282" s="23"/>
      <c r="PO282" s="23"/>
      <c r="PP282" s="23"/>
      <c r="PQ282" s="23"/>
      <c r="PR282" s="23"/>
      <c r="PS282" s="23"/>
      <c r="PT282" s="23"/>
      <c r="PU282" s="23"/>
      <c r="PV282" s="23"/>
      <c r="PW282" s="23"/>
      <c r="PX282" s="23"/>
      <c r="PY282" s="23"/>
      <c r="PZ282" s="23"/>
      <c r="QA282" s="23"/>
      <c r="QB282" s="23"/>
      <c r="QC282" s="23"/>
      <c r="QD282" s="23"/>
      <c r="QE282" s="23"/>
      <c r="QF282" s="23"/>
      <c r="QG282" s="23"/>
      <c r="QH282" s="23"/>
      <c r="QI282" s="23"/>
      <c r="QJ282" s="23"/>
      <c r="QK282" s="23"/>
      <c r="QL282" s="23"/>
      <c r="QM282" s="23"/>
      <c r="QN282" s="23"/>
      <c r="QO282" s="23"/>
      <c r="QP282" s="23"/>
      <c r="QQ282" s="23"/>
      <c r="QR282" s="23"/>
      <c r="QS282" s="23"/>
      <c r="QT282" s="23"/>
      <c r="QU282" s="23"/>
      <c r="QV282" s="23"/>
      <c r="QW282" s="23"/>
      <c r="QX282" s="23"/>
      <c r="QY282" s="23"/>
      <c r="QZ282" s="23"/>
      <c r="RA282" s="23"/>
      <c r="RB282" s="23"/>
      <c r="RC282" s="23"/>
      <c r="RD282" s="23"/>
      <c r="RE282" s="23"/>
      <c r="RF282" s="23"/>
      <c r="RG282" s="23"/>
      <c r="RH282" s="23"/>
      <c r="RI282" s="23"/>
      <c r="RJ282" s="23"/>
      <c r="RK282" s="23"/>
      <c r="RL282" s="23"/>
      <c r="RM282" s="23"/>
      <c r="RN282" s="23"/>
      <c r="RO282" s="23"/>
      <c r="RP282" s="23"/>
      <c r="RQ282" s="23"/>
      <c r="RR282" s="23"/>
      <c r="RS282" s="23"/>
      <c r="RT282" s="23"/>
      <c r="RU282" s="23"/>
      <c r="RV282" s="23"/>
      <c r="RW282" s="23"/>
      <c r="RX282" s="23"/>
      <c r="RY282" s="23"/>
      <c r="RZ282" s="23"/>
      <c r="SA282" s="23"/>
      <c r="SB282" s="23"/>
      <c r="SC282" s="23"/>
      <c r="SD282" s="23"/>
      <c r="SE282" s="23"/>
      <c r="SF282" s="23"/>
      <c r="SG282" s="23"/>
      <c r="SH282" s="23"/>
      <c r="SI282" s="23"/>
      <c r="SJ282" s="23"/>
      <c r="SK282" s="23"/>
      <c r="SL282" s="23"/>
      <c r="SM282" s="23"/>
      <c r="SN282" s="23"/>
      <c r="SO282" s="23"/>
      <c r="SP282" s="23"/>
      <c r="SQ282" s="23"/>
      <c r="SR282" s="23"/>
      <c r="SS282" s="23"/>
      <c r="ST282" s="23"/>
      <c r="SU282" s="23"/>
      <c r="SV282" s="23"/>
      <c r="SW282" s="23"/>
      <c r="SX282" s="23"/>
      <c r="SY282" s="23"/>
      <c r="SZ282" s="23"/>
      <c r="TA282" s="23"/>
      <c r="TB282" s="23"/>
      <c r="TC282" s="23"/>
      <c r="TD282" s="23"/>
      <c r="TE282" s="23"/>
      <c r="TF282" s="23"/>
      <c r="TG282" s="23"/>
    </row>
    <row r="283" spans="1:527" s="22" customFormat="1" ht="31.5" x14ac:dyDescent="0.25">
      <c r="A283" s="59" t="s">
        <v>430</v>
      </c>
      <c r="B283" s="93">
        <v>7370</v>
      </c>
      <c r="C283" s="59" t="s">
        <v>82</v>
      </c>
      <c r="D283" s="60" t="s">
        <v>431</v>
      </c>
      <c r="E283" s="99">
        <f>F283+I283</f>
        <v>81034.600000000006</v>
      </c>
      <c r="F283" s="99">
        <f>104420-23385.4</f>
        <v>81034.600000000006</v>
      </c>
      <c r="G283" s="99"/>
      <c r="H283" s="99"/>
      <c r="I283" s="99"/>
      <c r="J283" s="99">
        <f t="shared" si="137"/>
        <v>0</v>
      </c>
      <c r="K283" s="99"/>
      <c r="L283" s="99"/>
      <c r="M283" s="99"/>
      <c r="N283" s="99"/>
      <c r="O283" s="99"/>
      <c r="P283" s="99">
        <f t="shared" si="136"/>
        <v>81034.600000000006</v>
      </c>
      <c r="Q283" s="23"/>
      <c r="R283" s="32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  <c r="KQ283" s="23"/>
      <c r="KR283" s="23"/>
      <c r="KS283" s="23"/>
      <c r="KT283" s="23"/>
      <c r="KU283" s="23"/>
      <c r="KV283" s="23"/>
      <c r="KW283" s="23"/>
      <c r="KX283" s="23"/>
      <c r="KY283" s="23"/>
      <c r="KZ283" s="23"/>
      <c r="LA283" s="23"/>
      <c r="LB283" s="23"/>
      <c r="LC283" s="23"/>
      <c r="LD283" s="23"/>
      <c r="LE283" s="23"/>
      <c r="LF283" s="23"/>
      <c r="LG283" s="23"/>
      <c r="LH283" s="23"/>
      <c r="LI283" s="23"/>
      <c r="LJ283" s="23"/>
      <c r="LK283" s="23"/>
      <c r="LL283" s="23"/>
      <c r="LM283" s="23"/>
      <c r="LN283" s="23"/>
      <c r="LO283" s="23"/>
      <c r="LP283" s="23"/>
      <c r="LQ283" s="23"/>
      <c r="LR283" s="23"/>
      <c r="LS283" s="23"/>
      <c r="LT283" s="23"/>
      <c r="LU283" s="23"/>
      <c r="LV283" s="23"/>
      <c r="LW283" s="23"/>
      <c r="LX283" s="23"/>
      <c r="LY283" s="23"/>
      <c r="LZ283" s="23"/>
      <c r="MA283" s="23"/>
      <c r="MB283" s="23"/>
      <c r="MC283" s="23"/>
      <c r="MD283" s="23"/>
      <c r="ME283" s="23"/>
      <c r="MF283" s="23"/>
      <c r="MG283" s="23"/>
      <c r="MH283" s="23"/>
      <c r="MI283" s="23"/>
      <c r="MJ283" s="23"/>
      <c r="MK283" s="23"/>
      <c r="ML283" s="23"/>
      <c r="MM283" s="23"/>
      <c r="MN283" s="23"/>
      <c r="MO283" s="23"/>
      <c r="MP283" s="23"/>
      <c r="MQ283" s="23"/>
      <c r="MR283" s="23"/>
      <c r="MS283" s="23"/>
      <c r="MT283" s="23"/>
      <c r="MU283" s="23"/>
      <c r="MV283" s="23"/>
      <c r="MW283" s="23"/>
      <c r="MX283" s="23"/>
      <c r="MY283" s="23"/>
      <c r="MZ283" s="23"/>
      <c r="NA283" s="23"/>
      <c r="NB283" s="23"/>
      <c r="NC283" s="23"/>
      <c r="ND283" s="23"/>
      <c r="NE283" s="23"/>
      <c r="NF283" s="23"/>
      <c r="NG283" s="23"/>
      <c r="NH283" s="23"/>
      <c r="NI283" s="23"/>
      <c r="NJ283" s="23"/>
      <c r="NK283" s="23"/>
      <c r="NL283" s="23"/>
      <c r="NM283" s="23"/>
      <c r="NN283" s="23"/>
      <c r="NO283" s="23"/>
      <c r="NP283" s="23"/>
      <c r="NQ283" s="23"/>
      <c r="NR283" s="23"/>
      <c r="NS283" s="23"/>
      <c r="NT283" s="23"/>
      <c r="NU283" s="23"/>
      <c r="NV283" s="23"/>
      <c r="NW283" s="23"/>
      <c r="NX283" s="23"/>
      <c r="NY283" s="23"/>
      <c r="NZ283" s="23"/>
      <c r="OA283" s="23"/>
      <c r="OB283" s="23"/>
      <c r="OC283" s="23"/>
      <c r="OD283" s="23"/>
      <c r="OE283" s="23"/>
      <c r="OF283" s="23"/>
      <c r="OG283" s="23"/>
      <c r="OH283" s="23"/>
      <c r="OI283" s="23"/>
      <c r="OJ283" s="23"/>
      <c r="OK283" s="23"/>
      <c r="OL283" s="23"/>
      <c r="OM283" s="23"/>
      <c r="ON283" s="23"/>
      <c r="OO283" s="23"/>
      <c r="OP283" s="23"/>
      <c r="OQ283" s="23"/>
      <c r="OR283" s="23"/>
      <c r="OS283" s="23"/>
      <c r="OT283" s="23"/>
      <c r="OU283" s="23"/>
      <c r="OV283" s="23"/>
      <c r="OW283" s="23"/>
      <c r="OX283" s="23"/>
      <c r="OY283" s="23"/>
      <c r="OZ283" s="23"/>
      <c r="PA283" s="23"/>
      <c r="PB283" s="23"/>
      <c r="PC283" s="23"/>
      <c r="PD283" s="23"/>
      <c r="PE283" s="23"/>
      <c r="PF283" s="23"/>
      <c r="PG283" s="23"/>
      <c r="PH283" s="23"/>
      <c r="PI283" s="23"/>
      <c r="PJ283" s="23"/>
      <c r="PK283" s="23"/>
      <c r="PL283" s="23"/>
      <c r="PM283" s="23"/>
      <c r="PN283" s="23"/>
      <c r="PO283" s="23"/>
      <c r="PP283" s="23"/>
      <c r="PQ283" s="23"/>
      <c r="PR283" s="23"/>
      <c r="PS283" s="23"/>
      <c r="PT283" s="23"/>
      <c r="PU283" s="23"/>
      <c r="PV283" s="23"/>
      <c r="PW283" s="23"/>
      <c r="PX283" s="23"/>
      <c r="PY283" s="23"/>
      <c r="PZ283" s="23"/>
      <c r="QA283" s="23"/>
      <c r="QB283" s="23"/>
      <c r="QC283" s="23"/>
      <c r="QD283" s="23"/>
      <c r="QE283" s="23"/>
      <c r="QF283" s="23"/>
      <c r="QG283" s="23"/>
      <c r="QH283" s="23"/>
      <c r="QI283" s="23"/>
      <c r="QJ283" s="23"/>
      <c r="QK283" s="23"/>
      <c r="QL283" s="23"/>
      <c r="QM283" s="23"/>
      <c r="QN283" s="23"/>
      <c r="QO283" s="23"/>
      <c r="QP283" s="23"/>
      <c r="QQ283" s="23"/>
      <c r="QR283" s="23"/>
      <c r="QS283" s="23"/>
      <c r="QT283" s="23"/>
      <c r="QU283" s="23"/>
      <c r="QV283" s="23"/>
      <c r="QW283" s="23"/>
      <c r="QX283" s="23"/>
      <c r="QY283" s="23"/>
      <c r="QZ283" s="23"/>
      <c r="RA283" s="23"/>
      <c r="RB283" s="23"/>
      <c r="RC283" s="23"/>
      <c r="RD283" s="23"/>
      <c r="RE283" s="23"/>
      <c r="RF283" s="23"/>
      <c r="RG283" s="23"/>
      <c r="RH283" s="23"/>
      <c r="RI283" s="23"/>
      <c r="RJ283" s="23"/>
      <c r="RK283" s="23"/>
      <c r="RL283" s="23"/>
      <c r="RM283" s="23"/>
      <c r="RN283" s="23"/>
      <c r="RO283" s="23"/>
      <c r="RP283" s="23"/>
      <c r="RQ283" s="23"/>
      <c r="RR283" s="23"/>
      <c r="RS283" s="23"/>
      <c r="RT283" s="23"/>
      <c r="RU283" s="23"/>
      <c r="RV283" s="23"/>
      <c r="RW283" s="23"/>
      <c r="RX283" s="23"/>
      <c r="RY283" s="23"/>
      <c r="RZ283" s="23"/>
      <c r="SA283" s="23"/>
      <c r="SB283" s="23"/>
      <c r="SC283" s="23"/>
      <c r="SD283" s="23"/>
      <c r="SE283" s="23"/>
      <c r="SF283" s="23"/>
      <c r="SG283" s="23"/>
      <c r="SH283" s="23"/>
      <c r="SI283" s="23"/>
      <c r="SJ283" s="23"/>
      <c r="SK283" s="23"/>
      <c r="SL283" s="23"/>
      <c r="SM283" s="23"/>
      <c r="SN283" s="23"/>
      <c r="SO283" s="23"/>
      <c r="SP283" s="23"/>
      <c r="SQ283" s="23"/>
      <c r="SR283" s="23"/>
      <c r="SS283" s="23"/>
      <c r="ST283" s="23"/>
      <c r="SU283" s="23"/>
      <c r="SV283" s="23"/>
      <c r="SW283" s="23"/>
      <c r="SX283" s="23"/>
      <c r="SY283" s="23"/>
      <c r="SZ283" s="23"/>
      <c r="TA283" s="23"/>
      <c r="TB283" s="23"/>
      <c r="TC283" s="23"/>
      <c r="TD283" s="23"/>
      <c r="TE283" s="23"/>
      <c r="TF283" s="23"/>
      <c r="TG283" s="23"/>
    </row>
    <row r="284" spans="1:527" s="22" customFormat="1" ht="21.75" customHeight="1" x14ac:dyDescent="0.25">
      <c r="A284" s="59" t="s">
        <v>146</v>
      </c>
      <c r="B284" s="93" t="str">
        <f>'дод 8'!A215</f>
        <v>7640</v>
      </c>
      <c r="C284" s="93" t="str">
        <f>'дод 8'!B215</f>
        <v>0470</v>
      </c>
      <c r="D284" s="60" t="s">
        <v>468</v>
      </c>
      <c r="E284" s="99">
        <f t="shared" si="135"/>
        <v>531386.55000000005</v>
      </c>
      <c r="F284" s="99">
        <f>1763607-797422.45+49500-484298</f>
        <v>531386.55000000005</v>
      </c>
      <c r="G284" s="99"/>
      <c r="H284" s="99"/>
      <c r="I284" s="99"/>
      <c r="J284" s="99">
        <f t="shared" si="137"/>
        <v>121780030.44999999</v>
      </c>
      <c r="K284" s="99">
        <f>124644482+797422.45+2700000-4500000-14835808+1500000</f>
        <v>110306096.45</v>
      </c>
      <c r="L284" s="113"/>
      <c r="M284" s="99"/>
      <c r="N284" s="99"/>
      <c r="O284" s="99">
        <f>136118416+797422.45+2700000-4500000-14835808+1500000</f>
        <v>121780030.44999999</v>
      </c>
      <c r="P284" s="99">
        <f t="shared" si="136"/>
        <v>122311416.99999999</v>
      </c>
      <c r="Q284" s="23"/>
      <c r="R284" s="32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  <c r="SQ284" s="23"/>
      <c r="SR284" s="23"/>
      <c r="SS284" s="23"/>
      <c r="ST284" s="23"/>
      <c r="SU284" s="23"/>
      <c r="SV284" s="23"/>
      <c r="SW284" s="23"/>
      <c r="SX284" s="23"/>
      <c r="SY284" s="23"/>
      <c r="SZ284" s="23"/>
      <c r="TA284" s="23"/>
      <c r="TB284" s="23"/>
      <c r="TC284" s="23"/>
      <c r="TD284" s="23"/>
      <c r="TE284" s="23"/>
      <c r="TF284" s="23"/>
      <c r="TG284" s="23"/>
    </row>
    <row r="285" spans="1:527" s="24" customFormat="1" ht="17.25" customHeight="1" x14ac:dyDescent="0.25">
      <c r="A285" s="84"/>
      <c r="B285" s="111"/>
      <c r="C285" s="111"/>
      <c r="D285" s="85" t="s">
        <v>419</v>
      </c>
      <c r="E285" s="101">
        <f t="shared" si="135"/>
        <v>0</v>
      </c>
      <c r="F285" s="101"/>
      <c r="G285" s="101"/>
      <c r="H285" s="101"/>
      <c r="I285" s="101"/>
      <c r="J285" s="101">
        <f t="shared" si="137"/>
        <v>96859595</v>
      </c>
      <c r="K285" s="101">
        <v>96859595</v>
      </c>
      <c r="L285" s="114"/>
      <c r="M285" s="101"/>
      <c r="N285" s="101"/>
      <c r="O285" s="101">
        <v>96859595</v>
      </c>
      <c r="P285" s="101">
        <f t="shared" si="136"/>
        <v>96859595</v>
      </c>
      <c r="Q285" s="30"/>
      <c r="R285" s="32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  <c r="CU285" s="30"/>
      <c r="CV285" s="30"/>
      <c r="CW285" s="30"/>
      <c r="CX285" s="30"/>
      <c r="CY285" s="30"/>
      <c r="CZ285" s="30"/>
      <c r="DA285" s="30"/>
      <c r="DB285" s="30"/>
      <c r="DC285" s="30"/>
      <c r="DD285" s="30"/>
      <c r="DE285" s="30"/>
      <c r="DF285" s="30"/>
      <c r="DG285" s="30"/>
      <c r="DH285" s="30"/>
      <c r="DI285" s="30"/>
      <c r="DJ285" s="30"/>
      <c r="DK285" s="30"/>
      <c r="DL285" s="30"/>
      <c r="DM285" s="30"/>
      <c r="DN285" s="30"/>
      <c r="DO285" s="30"/>
      <c r="DP285" s="30"/>
      <c r="DQ285" s="30"/>
      <c r="DR285" s="30"/>
      <c r="DS285" s="30"/>
      <c r="DT285" s="30"/>
      <c r="DU285" s="30"/>
      <c r="DV285" s="30"/>
      <c r="DW285" s="30"/>
      <c r="DX285" s="30"/>
      <c r="DY285" s="30"/>
      <c r="DZ285" s="30"/>
      <c r="EA285" s="30"/>
      <c r="EB285" s="30"/>
      <c r="EC285" s="30"/>
      <c r="ED285" s="30"/>
      <c r="EE285" s="30"/>
      <c r="EF285" s="30"/>
      <c r="EG285" s="30"/>
      <c r="EH285" s="30"/>
      <c r="EI285" s="30"/>
      <c r="EJ285" s="30"/>
      <c r="EK285" s="30"/>
      <c r="EL285" s="30"/>
      <c r="EM285" s="30"/>
      <c r="EN285" s="30"/>
      <c r="EO285" s="30"/>
      <c r="EP285" s="30"/>
      <c r="EQ285" s="30"/>
      <c r="ER285" s="30"/>
      <c r="ES285" s="30"/>
      <c r="ET285" s="30"/>
      <c r="EU285" s="30"/>
      <c r="EV285" s="30"/>
      <c r="EW285" s="30"/>
      <c r="EX285" s="30"/>
      <c r="EY285" s="30"/>
      <c r="EZ285" s="30"/>
      <c r="FA285" s="30"/>
      <c r="FB285" s="30"/>
      <c r="FC285" s="30"/>
      <c r="FD285" s="30"/>
      <c r="FE285" s="30"/>
      <c r="FF285" s="30"/>
      <c r="FG285" s="30"/>
      <c r="FH285" s="30"/>
      <c r="FI285" s="30"/>
      <c r="FJ285" s="30"/>
      <c r="FK285" s="30"/>
      <c r="FL285" s="30"/>
      <c r="FM285" s="30"/>
      <c r="FN285" s="30"/>
      <c r="FO285" s="30"/>
      <c r="FP285" s="30"/>
      <c r="FQ285" s="30"/>
      <c r="FR285" s="30"/>
      <c r="FS285" s="30"/>
      <c r="FT285" s="30"/>
      <c r="FU285" s="30"/>
      <c r="FV285" s="30"/>
      <c r="FW285" s="30"/>
      <c r="FX285" s="30"/>
      <c r="FY285" s="30"/>
      <c r="FZ285" s="30"/>
      <c r="GA285" s="30"/>
      <c r="GB285" s="30"/>
      <c r="GC285" s="30"/>
      <c r="GD285" s="30"/>
      <c r="GE285" s="30"/>
      <c r="GF285" s="30"/>
      <c r="GG285" s="30"/>
      <c r="GH285" s="30"/>
      <c r="GI285" s="30"/>
      <c r="GJ285" s="30"/>
      <c r="GK285" s="30"/>
      <c r="GL285" s="30"/>
      <c r="GM285" s="30"/>
      <c r="GN285" s="30"/>
      <c r="GO285" s="30"/>
      <c r="GP285" s="30"/>
      <c r="GQ285" s="30"/>
      <c r="GR285" s="30"/>
      <c r="GS285" s="30"/>
      <c r="GT285" s="30"/>
      <c r="GU285" s="30"/>
      <c r="GV285" s="30"/>
      <c r="GW285" s="30"/>
      <c r="GX285" s="30"/>
      <c r="GY285" s="30"/>
      <c r="GZ285" s="30"/>
      <c r="HA285" s="30"/>
      <c r="HB285" s="30"/>
      <c r="HC285" s="30"/>
      <c r="HD285" s="30"/>
      <c r="HE285" s="30"/>
      <c r="HF285" s="30"/>
      <c r="HG285" s="30"/>
      <c r="HH285" s="30"/>
      <c r="HI285" s="30"/>
      <c r="HJ285" s="30"/>
      <c r="HK285" s="30"/>
      <c r="HL285" s="30"/>
      <c r="HM285" s="30"/>
      <c r="HN285" s="30"/>
      <c r="HO285" s="30"/>
      <c r="HP285" s="30"/>
      <c r="HQ285" s="30"/>
      <c r="HR285" s="30"/>
      <c r="HS285" s="30"/>
      <c r="HT285" s="30"/>
      <c r="HU285" s="30"/>
      <c r="HV285" s="30"/>
      <c r="HW285" s="30"/>
      <c r="HX285" s="30"/>
      <c r="HY285" s="30"/>
      <c r="HZ285" s="30"/>
      <c r="IA285" s="30"/>
      <c r="IB285" s="30"/>
      <c r="IC285" s="30"/>
      <c r="ID285" s="30"/>
      <c r="IE285" s="30"/>
      <c r="IF285" s="30"/>
      <c r="IG285" s="30"/>
      <c r="IH285" s="30"/>
      <c r="II285" s="30"/>
      <c r="IJ285" s="30"/>
      <c r="IK285" s="30"/>
      <c r="IL285" s="30"/>
      <c r="IM285" s="30"/>
      <c r="IN285" s="30"/>
      <c r="IO285" s="30"/>
      <c r="IP285" s="30"/>
      <c r="IQ285" s="30"/>
      <c r="IR285" s="30"/>
      <c r="IS285" s="30"/>
      <c r="IT285" s="30"/>
      <c r="IU285" s="30"/>
      <c r="IV285" s="30"/>
      <c r="IW285" s="30"/>
      <c r="IX285" s="30"/>
      <c r="IY285" s="30"/>
      <c r="IZ285" s="30"/>
      <c r="JA285" s="30"/>
      <c r="JB285" s="30"/>
      <c r="JC285" s="30"/>
      <c r="JD285" s="30"/>
      <c r="JE285" s="30"/>
      <c r="JF285" s="30"/>
      <c r="JG285" s="30"/>
      <c r="JH285" s="30"/>
      <c r="JI285" s="30"/>
      <c r="JJ285" s="30"/>
      <c r="JK285" s="30"/>
      <c r="JL285" s="30"/>
      <c r="JM285" s="30"/>
      <c r="JN285" s="30"/>
      <c r="JO285" s="30"/>
      <c r="JP285" s="30"/>
      <c r="JQ285" s="30"/>
      <c r="JR285" s="30"/>
      <c r="JS285" s="30"/>
      <c r="JT285" s="30"/>
      <c r="JU285" s="30"/>
      <c r="JV285" s="30"/>
      <c r="JW285" s="30"/>
      <c r="JX285" s="30"/>
      <c r="JY285" s="30"/>
      <c r="JZ285" s="30"/>
      <c r="KA285" s="30"/>
      <c r="KB285" s="30"/>
      <c r="KC285" s="30"/>
      <c r="KD285" s="30"/>
      <c r="KE285" s="30"/>
      <c r="KF285" s="30"/>
      <c r="KG285" s="30"/>
      <c r="KH285" s="30"/>
      <c r="KI285" s="30"/>
      <c r="KJ285" s="30"/>
      <c r="KK285" s="30"/>
      <c r="KL285" s="30"/>
      <c r="KM285" s="30"/>
      <c r="KN285" s="30"/>
      <c r="KO285" s="30"/>
      <c r="KP285" s="30"/>
      <c r="KQ285" s="30"/>
      <c r="KR285" s="30"/>
      <c r="KS285" s="30"/>
      <c r="KT285" s="30"/>
      <c r="KU285" s="30"/>
      <c r="KV285" s="30"/>
      <c r="KW285" s="30"/>
      <c r="KX285" s="30"/>
      <c r="KY285" s="30"/>
      <c r="KZ285" s="30"/>
      <c r="LA285" s="30"/>
      <c r="LB285" s="30"/>
      <c r="LC285" s="30"/>
      <c r="LD285" s="30"/>
      <c r="LE285" s="30"/>
      <c r="LF285" s="30"/>
      <c r="LG285" s="30"/>
      <c r="LH285" s="30"/>
      <c r="LI285" s="30"/>
      <c r="LJ285" s="30"/>
      <c r="LK285" s="30"/>
      <c r="LL285" s="30"/>
      <c r="LM285" s="30"/>
      <c r="LN285" s="30"/>
      <c r="LO285" s="30"/>
      <c r="LP285" s="30"/>
      <c r="LQ285" s="30"/>
      <c r="LR285" s="30"/>
      <c r="LS285" s="30"/>
      <c r="LT285" s="30"/>
      <c r="LU285" s="30"/>
      <c r="LV285" s="30"/>
      <c r="LW285" s="30"/>
      <c r="LX285" s="30"/>
      <c r="LY285" s="30"/>
      <c r="LZ285" s="30"/>
      <c r="MA285" s="30"/>
      <c r="MB285" s="30"/>
      <c r="MC285" s="30"/>
      <c r="MD285" s="30"/>
      <c r="ME285" s="30"/>
      <c r="MF285" s="30"/>
      <c r="MG285" s="30"/>
      <c r="MH285" s="30"/>
      <c r="MI285" s="30"/>
      <c r="MJ285" s="30"/>
      <c r="MK285" s="30"/>
      <c r="ML285" s="30"/>
      <c r="MM285" s="30"/>
      <c r="MN285" s="30"/>
      <c r="MO285" s="30"/>
      <c r="MP285" s="30"/>
      <c r="MQ285" s="30"/>
      <c r="MR285" s="30"/>
      <c r="MS285" s="30"/>
      <c r="MT285" s="30"/>
      <c r="MU285" s="30"/>
      <c r="MV285" s="30"/>
      <c r="MW285" s="30"/>
      <c r="MX285" s="30"/>
      <c r="MY285" s="30"/>
      <c r="MZ285" s="30"/>
      <c r="NA285" s="30"/>
      <c r="NB285" s="30"/>
      <c r="NC285" s="30"/>
      <c r="ND285" s="30"/>
      <c r="NE285" s="30"/>
      <c r="NF285" s="30"/>
      <c r="NG285" s="30"/>
      <c r="NH285" s="30"/>
      <c r="NI285" s="30"/>
      <c r="NJ285" s="30"/>
      <c r="NK285" s="30"/>
      <c r="NL285" s="30"/>
      <c r="NM285" s="30"/>
      <c r="NN285" s="30"/>
      <c r="NO285" s="30"/>
      <c r="NP285" s="30"/>
      <c r="NQ285" s="30"/>
      <c r="NR285" s="30"/>
      <c r="NS285" s="30"/>
      <c r="NT285" s="30"/>
      <c r="NU285" s="30"/>
      <c r="NV285" s="30"/>
      <c r="NW285" s="30"/>
      <c r="NX285" s="30"/>
      <c r="NY285" s="30"/>
      <c r="NZ285" s="30"/>
      <c r="OA285" s="30"/>
      <c r="OB285" s="30"/>
      <c r="OC285" s="30"/>
      <c r="OD285" s="30"/>
      <c r="OE285" s="30"/>
      <c r="OF285" s="30"/>
      <c r="OG285" s="30"/>
      <c r="OH285" s="30"/>
      <c r="OI285" s="30"/>
      <c r="OJ285" s="30"/>
      <c r="OK285" s="30"/>
      <c r="OL285" s="30"/>
      <c r="OM285" s="30"/>
      <c r="ON285" s="30"/>
      <c r="OO285" s="30"/>
      <c r="OP285" s="30"/>
      <c r="OQ285" s="30"/>
      <c r="OR285" s="30"/>
      <c r="OS285" s="30"/>
      <c r="OT285" s="30"/>
      <c r="OU285" s="30"/>
      <c r="OV285" s="30"/>
      <c r="OW285" s="30"/>
      <c r="OX285" s="30"/>
      <c r="OY285" s="30"/>
      <c r="OZ285" s="30"/>
      <c r="PA285" s="30"/>
      <c r="PB285" s="30"/>
      <c r="PC285" s="30"/>
      <c r="PD285" s="30"/>
      <c r="PE285" s="30"/>
      <c r="PF285" s="30"/>
      <c r="PG285" s="30"/>
      <c r="PH285" s="30"/>
      <c r="PI285" s="30"/>
      <c r="PJ285" s="30"/>
      <c r="PK285" s="30"/>
      <c r="PL285" s="30"/>
      <c r="PM285" s="30"/>
      <c r="PN285" s="30"/>
      <c r="PO285" s="30"/>
      <c r="PP285" s="30"/>
      <c r="PQ285" s="30"/>
      <c r="PR285" s="30"/>
      <c r="PS285" s="30"/>
      <c r="PT285" s="30"/>
      <c r="PU285" s="30"/>
      <c r="PV285" s="30"/>
      <c r="PW285" s="30"/>
      <c r="PX285" s="30"/>
      <c r="PY285" s="30"/>
      <c r="PZ285" s="30"/>
      <c r="QA285" s="30"/>
      <c r="QB285" s="30"/>
      <c r="QC285" s="30"/>
      <c r="QD285" s="30"/>
      <c r="QE285" s="30"/>
      <c r="QF285" s="30"/>
      <c r="QG285" s="30"/>
      <c r="QH285" s="30"/>
      <c r="QI285" s="30"/>
      <c r="QJ285" s="30"/>
      <c r="QK285" s="30"/>
      <c r="QL285" s="30"/>
      <c r="QM285" s="30"/>
      <c r="QN285" s="30"/>
      <c r="QO285" s="30"/>
      <c r="QP285" s="30"/>
      <c r="QQ285" s="30"/>
      <c r="QR285" s="30"/>
      <c r="QS285" s="30"/>
      <c r="QT285" s="30"/>
      <c r="QU285" s="30"/>
      <c r="QV285" s="30"/>
      <c r="QW285" s="30"/>
      <c r="QX285" s="30"/>
      <c r="QY285" s="30"/>
      <c r="QZ285" s="30"/>
      <c r="RA285" s="30"/>
      <c r="RB285" s="30"/>
      <c r="RC285" s="30"/>
      <c r="RD285" s="30"/>
      <c r="RE285" s="30"/>
      <c r="RF285" s="30"/>
      <c r="RG285" s="30"/>
      <c r="RH285" s="30"/>
      <c r="RI285" s="30"/>
      <c r="RJ285" s="30"/>
      <c r="RK285" s="30"/>
      <c r="RL285" s="30"/>
      <c r="RM285" s="30"/>
      <c r="RN285" s="30"/>
      <c r="RO285" s="30"/>
      <c r="RP285" s="30"/>
      <c r="RQ285" s="30"/>
      <c r="RR285" s="30"/>
      <c r="RS285" s="30"/>
      <c r="RT285" s="30"/>
      <c r="RU285" s="30"/>
      <c r="RV285" s="30"/>
      <c r="RW285" s="30"/>
      <c r="RX285" s="30"/>
      <c r="RY285" s="30"/>
      <c r="RZ285" s="30"/>
      <c r="SA285" s="30"/>
      <c r="SB285" s="30"/>
      <c r="SC285" s="30"/>
      <c r="SD285" s="30"/>
      <c r="SE285" s="30"/>
      <c r="SF285" s="30"/>
      <c r="SG285" s="30"/>
      <c r="SH285" s="30"/>
      <c r="SI285" s="30"/>
      <c r="SJ285" s="30"/>
      <c r="SK285" s="30"/>
      <c r="SL285" s="30"/>
      <c r="SM285" s="30"/>
      <c r="SN285" s="30"/>
      <c r="SO285" s="30"/>
      <c r="SP285" s="30"/>
      <c r="SQ285" s="30"/>
      <c r="SR285" s="30"/>
      <c r="SS285" s="30"/>
      <c r="ST285" s="30"/>
      <c r="SU285" s="30"/>
      <c r="SV285" s="30"/>
      <c r="SW285" s="30"/>
      <c r="SX285" s="30"/>
      <c r="SY285" s="30"/>
      <c r="SZ285" s="30"/>
      <c r="TA285" s="30"/>
      <c r="TB285" s="30"/>
      <c r="TC285" s="30"/>
      <c r="TD285" s="30"/>
      <c r="TE285" s="30"/>
      <c r="TF285" s="30"/>
      <c r="TG285" s="30"/>
    </row>
    <row r="286" spans="1:527" s="22" customFormat="1" ht="126" hidden="1" customHeight="1" x14ac:dyDescent="0.25">
      <c r="A286" s="59" t="s">
        <v>369</v>
      </c>
      <c r="B286" s="93">
        <v>7691</v>
      </c>
      <c r="C286" s="37" t="s">
        <v>82</v>
      </c>
      <c r="D286" s="60" t="s">
        <v>314</v>
      </c>
      <c r="E286" s="99">
        <f t="shared" si="135"/>
        <v>0</v>
      </c>
      <c r="F286" s="99"/>
      <c r="G286" s="99"/>
      <c r="H286" s="99"/>
      <c r="I286" s="99"/>
      <c r="J286" s="99">
        <f t="shared" si="137"/>
        <v>0</v>
      </c>
      <c r="K286" s="99"/>
      <c r="L286" s="113"/>
      <c r="M286" s="99"/>
      <c r="N286" s="99"/>
      <c r="O286" s="99"/>
      <c r="P286" s="99">
        <f t="shared" si="136"/>
        <v>0</v>
      </c>
      <c r="Q286" s="23"/>
      <c r="R286" s="32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  <c r="MJ286" s="23"/>
      <c r="MK286" s="23"/>
      <c r="ML286" s="23"/>
      <c r="MM286" s="23"/>
      <c r="MN286" s="23"/>
      <c r="MO286" s="23"/>
      <c r="MP286" s="23"/>
      <c r="MQ286" s="23"/>
      <c r="MR286" s="23"/>
      <c r="MS286" s="23"/>
      <c r="MT286" s="23"/>
      <c r="MU286" s="23"/>
      <c r="MV286" s="23"/>
      <c r="MW286" s="23"/>
      <c r="MX286" s="23"/>
      <c r="MY286" s="23"/>
      <c r="MZ286" s="23"/>
      <c r="NA286" s="23"/>
      <c r="NB286" s="23"/>
      <c r="NC286" s="23"/>
      <c r="ND286" s="23"/>
      <c r="NE286" s="23"/>
      <c r="NF286" s="23"/>
      <c r="NG286" s="23"/>
      <c r="NH286" s="23"/>
      <c r="NI286" s="23"/>
      <c r="NJ286" s="23"/>
      <c r="NK286" s="23"/>
      <c r="NL286" s="23"/>
      <c r="NM286" s="23"/>
      <c r="NN286" s="23"/>
      <c r="NO286" s="23"/>
      <c r="NP286" s="23"/>
      <c r="NQ286" s="23"/>
      <c r="NR286" s="23"/>
      <c r="NS286" s="23"/>
      <c r="NT286" s="23"/>
      <c r="NU286" s="23"/>
      <c r="NV286" s="23"/>
      <c r="NW286" s="23"/>
      <c r="NX286" s="23"/>
      <c r="NY286" s="23"/>
      <c r="NZ286" s="23"/>
      <c r="OA286" s="23"/>
      <c r="OB286" s="23"/>
      <c r="OC286" s="23"/>
      <c r="OD286" s="23"/>
      <c r="OE286" s="23"/>
      <c r="OF286" s="23"/>
      <c r="OG286" s="23"/>
      <c r="OH286" s="23"/>
      <c r="OI286" s="23"/>
      <c r="OJ286" s="23"/>
      <c r="OK286" s="23"/>
      <c r="OL286" s="23"/>
      <c r="OM286" s="23"/>
      <c r="ON286" s="23"/>
      <c r="OO286" s="23"/>
      <c r="OP286" s="23"/>
      <c r="OQ286" s="23"/>
      <c r="OR286" s="23"/>
      <c r="OS286" s="23"/>
      <c r="OT286" s="23"/>
      <c r="OU286" s="23"/>
      <c r="OV286" s="23"/>
      <c r="OW286" s="23"/>
      <c r="OX286" s="23"/>
      <c r="OY286" s="23"/>
      <c r="OZ286" s="23"/>
      <c r="PA286" s="23"/>
      <c r="PB286" s="23"/>
      <c r="PC286" s="23"/>
      <c r="PD286" s="23"/>
      <c r="PE286" s="23"/>
      <c r="PF286" s="23"/>
      <c r="PG286" s="23"/>
      <c r="PH286" s="23"/>
      <c r="PI286" s="23"/>
      <c r="PJ286" s="23"/>
      <c r="PK286" s="23"/>
      <c r="PL286" s="23"/>
      <c r="PM286" s="23"/>
      <c r="PN286" s="23"/>
      <c r="PO286" s="23"/>
      <c r="PP286" s="23"/>
      <c r="PQ286" s="23"/>
      <c r="PR286" s="23"/>
      <c r="PS286" s="23"/>
      <c r="PT286" s="23"/>
      <c r="PU286" s="23"/>
      <c r="PV286" s="23"/>
      <c r="PW286" s="23"/>
      <c r="PX286" s="23"/>
      <c r="PY286" s="23"/>
      <c r="PZ286" s="23"/>
      <c r="QA286" s="23"/>
      <c r="QB286" s="23"/>
      <c r="QC286" s="23"/>
      <c r="QD286" s="23"/>
      <c r="QE286" s="23"/>
      <c r="QF286" s="23"/>
      <c r="QG286" s="23"/>
      <c r="QH286" s="23"/>
      <c r="QI286" s="23"/>
      <c r="QJ286" s="23"/>
      <c r="QK286" s="23"/>
      <c r="QL286" s="23"/>
      <c r="QM286" s="23"/>
      <c r="QN286" s="23"/>
      <c r="QO286" s="23"/>
      <c r="QP286" s="23"/>
      <c r="QQ286" s="23"/>
      <c r="QR286" s="23"/>
      <c r="QS286" s="23"/>
      <c r="QT286" s="23"/>
      <c r="QU286" s="23"/>
      <c r="QV286" s="23"/>
      <c r="QW286" s="23"/>
      <c r="QX286" s="23"/>
      <c r="QY286" s="23"/>
      <c r="QZ286" s="23"/>
      <c r="RA286" s="23"/>
      <c r="RB286" s="23"/>
      <c r="RC286" s="23"/>
      <c r="RD286" s="23"/>
      <c r="RE286" s="23"/>
      <c r="RF286" s="23"/>
      <c r="RG286" s="23"/>
      <c r="RH286" s="23"/>
      <c r="RI286" s="23"/>
      <c r="RJ286" s="23"/>
      <c r="RK286" s="23"/>
      <c r="RL286" s="23"/>
      <c r="RM286" s="23"/>
      <c r="RN286" s="23"/>
      <c r="RO286" s="23"/>
      <c r="RP286" s="23"/>
      <c r="RQ286" s="23"/>
      <c r="RR286" s="23"/>
      <c r="RS286" s="23"/>
      <c r="RT286" s="23"/>
      <c r="RU286" s="23"/>
      <c r="RV286" s="23"/>
      <c r="RW286" s="23"/>
      <c r="RX286" s="23"/>
      <c r="RY286" s="23"/>
      <c r="RZ286" s="23"/>
      <c r="SA286" s="23"/>
      <c r="SB286" s="23"/>
      <c r="SC286" s="23"/>
      <c r="SD286" s="23"/>
      <c r="SE286" s="23"/>
      <c r="SF286" s="23"/>
      <c r="SG286" s="23"/>
      <c r="SH286" s="23"/>
      <c r="SI286" s="23"/>
      <c r="SJ286" s="23"/>
      <c r="SK286" s="23"/>
      <c r="SL286" s="23"/>
      <c r="SM286" s="23"/>
      <c r="SN286" s="23"/>
      <c r="SO286" s="23"/>
      <c r="SP286" s="23"/>
      <c r="SQ286" s="23"/>
      <c r="SR286" s="23"/>
      <c r="SS286" s="23"/>
      <c r="ST286" s="23"/>
      <c r="SU286" s="23"/>
      <c r="SV286" s="23"/>
      <c r="SW286" s="23"/>
      <c r="SX286" s="23"/>
      <c r="SY286" s="23"/>
      <c r="SZ286" s="23"/>
      <c r="TA286" s="23"/>
      <c r="TB286" s="23"/>
      <c r="TC286" s="23"/>
      <c r="TD286" s="23"/>
      <c r="TE286" s="23"/>
      <c r="TF286" s="23"/>
      <c r="TG286" s="23"/>
    </row>
    <row r="287" spans="1:527" s="22" customFormat="1" ht="33.75" customHeight="1" x14ac:dyDescent="0.25">
      <c r="A287" s="59" t="s">
        <v>528</v>
      </c>
      <c r="B287" s="93">
        <v>9750</v>
      </c>
      <c r="C287" s="59" t="s">
        <v>45</v>
      </c>
      <c r="D287" s="60" t="s">
        <v>529</v>
      </c>
      <c r="E287" s="99">
        <f t="shared" ref="E287" si="140">F287+I287</f>
        <v>0</v>
      </c>
      <c r="F287" s="99"/>
      <c r="G287" s="99"/>
      <c r="H287" s="99"/>
      <c r="I287" s="99"/>
      <c r="J287" s="99">
        <f t="shared" ref="J287" si="141">L287+O287</f>
        <v>86000</v>
      </c>
      <c r="K287" s="99">
        <v>86000</v>
      </c>
      <c r="L287" s="113"/>
      <c r="M287" s="99"/>
      <c r="N287" s="99"/>
      <c r="O287" s="99">
        <v>86000</v>
      </c>
      <c r="P287" s="99">
        <f t="shared" ref="P287" si="142">E287+J287</f>
        <v>86000</v>
      </c>
      <c r="Q287" s="23"/>
      <c r="R287" s="32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  <c r="TF287" s="23"/>
      <c r="TG287" s="23"/>
    </row>
    <row r="288" spans="1:527" s="27" customFormat="1" ht="30.75" customHeight="1" x14ac:dyDescent="0.25">
      <c r="A288" s="110" t="s">
        <v>207</v>
      </c>
      <c r="B288" s="112"/>
      <c r="C288" s="112"/>
      <c r="D288" s="107" t="s">
        <v>40</v>
      </c>
      <c r="E288" s="95">
        <f>E289</f>
        <v>11950107</v>
      </c>
      <c r="F288" s="95">
        <f t="shared" ref="F288:J288" si="143">F289</f>
        <v>11950107</v>
      </c>
      <c r="G288" s="95">
        <f t="shared" si="143"/>
        <v>7405200</v>
      </c>
      <c r="H288" s="95">
        <f t="shared" si="143"/>
        <v>132522</v>
      </c>
      <c r="I288" s="95">
        <f t="shared" si="143"/>
        <v>0</v>
      </c>
      <c r="J288" s="95">
        <f t="shared" si="143"/>
        <v>2596250.2999999998</v>
      </c>
      <c r="K288" s="95">
        <f t="shared" ref="K288" si="144">K289</f>
        <v>0</v>
      </c>
      <c r="L288" s="95">
        <f t="shared" ref="L288" si="145">L289</f>
        <v>2596250.2999999998</v>
      </c>
      <c r="M288" s="95">
        <f t="shared" ref="M288" si="146">M289</f>
        <v>0</v>
      </c>
      <c r="N288" s="95">
        <f t="shared" ref="N288" si="147">N289</f>
        <v>0</v>
      </c>
      <c r="O288" s="95">
        <f t="shared" ref="O288:P288" si="148">O289</f>
        <v>0</v>
      </c>
      <c r="P288" s="95">
        <f t="shared" si="148"/>
        <v>14546357.300000001</v>
      </c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32"/>
      <c r="CV288" s="32"/>
      <c r="CW288" s="32"/>
      <c r="CX288" s="32"/>
      <c r="CY288" s="32"/>
      <c r="CZ288" s="32"/>
      <c r="DA288" s="32"/>
      <c r="DB288" s="32"/>
      <c r="DC288" s="32"/>
      <c r="DD288" s="32"/>
      <c r="DE288" s="32"/>
      <c r="DF288" s="32"/>
      <c r="DG288" s="32"/>
      <c r="DH288" s="32"/>
      <c r="DI288" s="32"/>
      <c r="DJ288" s="32"/>
      <c r="DK288" s="32"/>
      <c r="DL288" s="32"/>
      <c r="DM288" s="32"/>
      <c r="DN288" s="32"/>
      <c r="DO288" s="32"/>
      <c r="DP288" s="32"/>
      <c r="DQ288" s="32"/>
      <c r="DR288" s="32"/>
      <c r="DS288" s="32"/>
      <c r="DT288" s="32"/>
      <c r="DU288" s="32"/>
      <c r="DV288" s="32"/>
      <c r="DW288" s="32"/>
      <c r="DX288" s="32"/>
      <c r="DY288" s="32"/>
      <c r="DZ288" s="32"/>
      <c r="EA288" s="32"/>
      <c r="EB288" s="32"/>
      <c r="EC288" s="32"/>
      <c r="ED288" s="32"/>
      <c r="EE288" s="32"/>
      <c r="EF288" s="32"/>
      <c r="EG288" s="32"/>
      <c r="EH288" s="32"/>
      <c r="EI288" s="32"/>
      <c r="EJ288" s="32"/>
      <c r="EK288" s="32"/>
      <c r="EL288" s="32"/>
      <c r="EM288" s="32"/>
      <c r="EN288" s="32"/>
      <c r="EO288" s="32"/>
      <c r="EP288" s="32"/>
      <c r="EQ288" s="32"/>
      <c r="ER288" s="32"/>
      <c r="ES288" s="32"/>
      <c r="ET288" s="32"/>
      <c r="EU288" s="32"/>
      <c r="EV288" s="32"/>
      <c r="EW288" s="32"/>
      <c r="EX288" s="32"/>
      <c r="EY288" s="32"/>
      <c r="EZ288" s="32"/>
      <c r="FA288" s="32"/>
      <c r="FB288" s="32"/>
      <c r="FC288" s="32"/>
      <c r="FD288" s="32"/>
      <c r="FE288" s="32"/>
      <c r="FF288" s="32"/>
      <c r="FG288" s="32"/>
      <c r="FH288" s="32"/>
      <c r="FI288" s="32"/>
      <c r="FJ288" s="32"/>
      <c r="FK288" s="32"/>
      <c r="FL288" s="32"/>
      <c r="FM288" s="32"/>
      <c r="FN288" s="32"/>
      <c r="FO288" s="32"/>
      <c r="FP288" s="32"/>
      <c r="FQ288" s="32"/>
      <c r="FR288" s="32"/>
      <c r="FS288" s="32"/>
      <c r="FT288" s="32"/>
      <c r="FU288" s="32"/>
      <c r="FV288" s="32"/>
      <c r="FW288" s="32"/>
      <c r="FX288" s="32"/>
      <c r="FY288" s="32"/>
      <c r="FZ288" s="32"/>
      <c r="GA288" s="32"/>
      <c r="GB288" s="32"/>
      <c r="GC288" s="32"/>
      <c r="GD288" s="32"/>
      <c r="GE288" s="32"/>
      <c r="GF288" s="32"/>
      <c r="GG288" s="32"/>
      <c r="GH288" s="32"/>
      <c r="GI288" s="32"/>
      <c r="GJ288" s="32"/>
      <c r="GK288" s="32"/>
      <c r="GL288" s="32"/>
      <c r="GM288" s="32"/>
      <c r="GN288" s="32"/>
      <c r="GO288" s="32"/>
      <c r="GP288" s="32"/>
      <c r="GQ288" s="32"/>
      <c r="GR288" s="32"/>
      <c r="GS288" s="32"/>
      <c r="GT288" s="32"/>
      <c r="GU288" s="32"/>
      <c r="GV288" s="32"/>
      <c r="GW288" s="32"/>
      <c r="GX288" s="32"/>
      <c r="GY288" s="32"/>
      <c r="GZ288" s="32"/>
      <c r="HA288" s="32"/>
      <c r="HB288" s="32"/>
      <c r="HC288" s="32"/>
      <c r="HD288" s="32"/>
      <c r="HE288" s="32"/>
      <c r="HF288" s="32"/>
      <c r="HG288" s="32"/>
      <c r="HH288" s="32"/>
      <c r="HI288" s="32"/>
      <c r="HJ288" s="32"/>
      <c r="HK288" s="32"/>
      <c r="HL288" s="32"/>
      <c r="HM288" s="32"/>
      <c r="HN288" s="32"/>
      <c r="HO288" s="32"/>
      <c r="HP288" s="32"/>
      <c r="HQ288" s="32"/>
      <c r="HR288" s="32"/>
      <c r="HS288" s="32"/>
      <c r="HT288" s="32"/>
      <c r="HU288" s="32"/>
      <c r="HV288" s="32"/>
      <c r="HW288" s="32"/>
      <c r="HX288" s="32"/>
      <c r="HY288" s="32"/>
      <c r="HZ288" s="32"/>
      <c r="IA288" s="32"/>
      <c r="IB288" s="32"/>
      <c r="IC288" s="32"/>
      <c r="ID288" s="32"/>
      <c r="IE288" s="32"/>
      <c r="IF288" s="32"/>
      <c r="IG288" s="32"/>
      <c r="IH288" s="32"/>
      <c r="II288" s="32"/>
      <c r="IJ288" s="32"/>
      <c r="IK288" s="32"/>
      <c r="IL288" s="32"/>
      <c r="IM288" s="32"/>
      <c r="IN288" s="32"/>
      <c r="IO288" s="32"/>
      <c r="IP288" s="32"/>
      <c r="IQ288" s="32"/>
      <c r="IR288" s="32"/>
      <c r="IS288" s="32"/>
      <c r="IT288" s="32"/>
      <c r="IU288" s="32"/>
      <c r="IV288" s="32"/>
      <c r="IW288" s="32"/>
      <c r="IX288" s="32"/>
      <c r="IY288" s="32"/>
      <c r="IZ288" s="32"/>
      <c r="JA288" s="32"/>
      <c r="JB288" s="32"/>
      <c r="JC288" s="32"/>
      <c r="JD288" s="32"/>
      <c r="JE288" s="32"/>
      <c r="JF288" s="32"/>
      <c r="JG288" s="32"/>
      <c r="JH288" s="32"/>
      <c r="JI288" s="32"/>
      <c r="JJ288" s="32"/>
      <c r="JK288" s="32"/>
      <c r="JL288" s="32"/>
      <c r="JM288" s="32"/>
      <c r="JN288" s="32"/>
      <c r="JO288" s="32"/>
      <c r="JP288" s="32"/>
      <c r="JQ288" s="32"/>
      <c r="JR288" s="32"/>
      <c r="JS288" s="32"/>
      <c r="JT288" s="32"/>
      <c r="JU288" s="32"/>
      <c r="JV288" s="32"/>
      <c r="JW288" s="32"/>
      <c r="JX288" s="32"/>
      <c r="JY288" s="32"/>
      <c r="JZ288" s="32"/>
      <c r="KA288" s="32"/>
      <c r="KB288" s="32"/>
      <c r="KC288" s="32"/>
      <c r="KD288" s="32"/>
      <c r="KE288" s="32"/>
      <c r="KF288" s="32"/>
      <c r="KG288" s="32"/>
      <c r="KH288" s="32"/>
      <c r="KI288" s="32"/>
      <c r="KJ288" s="32"/>
      <c r="KK288" s="32"/>
      <c r="KL288" s="32"/>
      <c r="KM288" s="32"/>
      <c r="KN288" s="32"/>
      <c r="KO288" s="32"/>
      <c r="KP288" s="32"/>
      <c r="KQ288" s="32"/>
      <c r="KR288" s="32"/>
      <c r="KS288" s="32"/>
      <c r="KT288" s="32"/>
      <c r="KU288" s="32"/>
      <c r="KV288" s="32"/>
      <c r="KW288" s="32"/>
      <c r="KX288" s="32"/>
      <c r="KY288" s="32"/>
      <c r="KZ288" s="32"/>
      <c r="LA288" s="32"/>
      <c r="LB288" s="32"/>
      <c r="LC288" s="32"/>
      <c r="LD288" s="32"/>
      <c r="LE288" s="32"/>
      <c r="LF288" s="32"/>
      <c r="LG288" s="32"/>
      <c r="LH288" s="32"/>
      <c r="LI288" s="32"/>
      <c r="LJ288" s="32"/>
      <c r="LK288" s="32"/>
      <c r="LL288" s="32"/>
      <c r="LM288" s="32"/>
      <c r="LN288" s="32"/>
      <c r="LO288" s="32"/>
      <c r="LP288" s="32"/>
      <c r="LQ288" s="32"/>
      <c r="LR288" s="32"/>
      <c r="LS288" s="32"/>
      <c r="LT288" s="32"/>
      <c r="LU288" s="32"/>
      <c r="LV288" s="32"/>
      <c r="LW288" s="32"/>
      <c r="LX288" s="32"/>
      <c r="LY288" s="32"/>
      <c r="LZ288" s="32"/>
      <c r="MA288" s="32"/>
      <c r="MB288" s="32"/>
      <c r="MC288" s="32"/>
      <c r="MD288" s="32"/>
      <c r="ME288" s="32"/>
      <c r="MF288" s="32"/>
      <c r="MG288" s="32"/>
      <c r="MH288" s="32"/>
      <c r="MI288" s="32"/>
      <c r="MJ288" s="32"/>
      <c r="MK288" s="32"/>
      <c r="ML288" s="32"/>
      <c r="MM288" s="32"/>
      <c r="MN288" s="32"/>
      <c r="MO288" s="32"/>
      <c r="MP288" s="32"/>
      <c r="MQ288" s="32"/>
      <c r="MR288" s="32"/>
      <c r="MS288" s="32"/>
      <c r="MT288" s="32"/>
      <c r="MU288" s="32"/>
      <c r="MV288" s="32"/>
      <c r="MW288" s="32"/>
      <c r="MX288" s="32"/>
      <c r="MY288" s="32"/>
      <c r="MZ288" s="32"/>
      <c r="NA288" s="32"/>
      <c r="NB288" s="32"/>
      <c r="NC288" s="32"/>
      <c r="ND288" s="32"/>
      <c r="NE288" s="32"/>
      <c r="NF288" s="32"/>
      <c r="NG288" s="32"/>
      <c r="NH288" s="32"/>
      <c r="NI288" s="32"/>
      <c r="NJ288" s="32"/>
      <c r="NK288" s="32"/>
      <c r="NL288" s="32"/>
      <c r="NM288" s="32"/>
      <c r="NN288" s="32"/>
      <c r="NO288" s="32"/>
      <c r="NP288" s="32"/>
      <c r="NQ288" s="32"/>
      <c r="NR288" s="32"/>
      <c r="NS288" s="32"/>
      <c r="NT288" s="32"/>
      <c r="NU288" s="32"/>
      <c r="NV288" s="32"/>
      <c r="NW288" s="32"/>
      <c r="NX288" s="32"/>
      <c r="NY288" s="32"/>
      <c r="NZ288" s="32"/>
      <c r="OA288" s="32"/>
      <c r="OB288" s="32"/>
      <c r="OC288" s="32"/>
      <c r="OD288" s="32"/>
      <c r="OE288" s="32"/>
      <c r="OF288" s="32"/>
      <c r="OG288" s="32"/>
      <c r="OH288" s="32"/>
      <c r="OI288" s="32"/>
      <c r="OJ288" s="32"/>
      <c r="OK288" s="32"/>
      <c r="OL288" s="32"/>
      <c r="OM288" s="32"/>
      <c r="ON288" s="32"/>
      <c r="OO288" s="32"/>
      <c r="OP288" s="32"/>
      <c r="OQ288" s="32"/>
      <c r="OR288" s="32"/>
      <c r="OS288" s="32"/>
      <c r="OT288" s="32"/>
      <c r="OU288" s="32"/>
      <c r="OV288" s="32"/>
      <c r="OW288" s="32"/>
      <c r="OX288" s="32"/>
      <c r="OY288" s="32"/>
      <c r="OZ288" s="32"/>
      <c r="PA288" s="32"/>
      <c r="PB288" s="32"/>
      <c r="PC288" s="32"/>
      <c r="PD288" s="32"/>
      <c r="PE288" s="32"/>
      <c r="PF288" s="32"/>
      <c r="PG288" s="32"/>
      <c r="PH288" s="32"/>
      <c r="PI288" s="32"/>
      <c r="PJ288" s="32"/>
      <c r="PK288" s="32"/>
      <c r="PL288" s="32"/>
      <c r="PM288" s="32"/>
      <c r="PN288" s="32"/>
      <c r="PO288" s="32"/>
      <c r="PP288" s="32"/>
      <c r="PQ288" s="32"/>
      <c r="PR288" s="32"/>
      <c r="PS288" s="32"/>
      <c r="PT288" s="32"/>
      <c r="PU288" s="32"/>
      <c r="PV288" s="32"/>
      <c r="PW288" s="32"/>
      <c r="PX288" s="32"/>
      <c r="PY288" s="32"/>
      <c r="PZ288" s="32"/>
      <c r="QA288" s="32"/>
      <c r="QB288" s="32"/>
      <c r="QC288" s="32"/>
      <c r="QD288" s="32"/>
      <c r="QE288" s="32"/>
      <c r="QF288" s="32"/>
      <c r="QG288" s="32"/>
      <c r="QH288" s="32"/>
      <c r="QI288" s="32"/>
      <c r="QJ288" s="32"/>
      <c r="QK288" s="32"/>
      <c r="QL288" s="32"/>
      <c r="QM288" s="32"/>
      <c r="QN288" s="32"/>
      <c r="QO288" s="32"/>
      <c r="QP288" s="32"/>
      <c r="QQ288" s="32"/>
      <c r="QR288" s="32"/>
      <c r="QS288" s="32"/>
      <c r="QT288" s="32"/>
      <c r="QU288" s="32"/>
      <c r="QV288" s="32"/>
      <c r="QW288" s="32"/>
      <c r="QX288" s="32"/>
      <c r="QY288" s="32"/>
      <c r="QZ288" s="32"/>
      <c r="RA288" s="32"/>
      <c r="RB288" s="32"/>
      <c r="RC288" s="32"/>
      <c r="RD288" s="32"/>
      <c r="RE288" s="32"/>
      <c r="RF288" s="32"/>
      <c r="RG288" s="32"/>
      <c r="RH288" s="32"/>
      <c r="RI288" s="32"/>
      <c r="RJ288" s="32"/>
      <c r="RK288" s="32"/>
      <c r="RL288" s="32"/>
      <c r="RM288" s="32"/>
      <c r="RN288" s="32"/>
      <c r="RO288" s="32"/>
      <c r="RP288" s="32"/>
      <c r="RQ288" s="32"/>
      <c r="RR288" s="32"/>
      <c r="RS288" s="32"/>
      <c r="RT288" s="32"/>
      <c r="RU288" s="32"/>
      <c r="RV288" s="32"/>
      <c r="RW288" s="32"/>
      <c r="RX288" s="32"/>
      <c r="RY288" s="32"/>
      <c r="RZ288" s="32"/>
      <c r="SA288" s="32"/>
      <c r="SB288" s="32"/>
      <c r="SC288" s="32"/>
      <c r="SD288" s="32"/>
      <c r="SE288" s="32"/>
      <c r="SF288" s="32"/>
      <c r="SG288" s="32"/>
      <c r="SH288" s="32"/>
      <c r="SI288" s="32"/>
      <c r="SJ288" s="32"/>
      <c r="SK288" s="32"/>
      <c r="SL288" s="32"/>
      <c r="SM288" s="32"/>
      <c r="SN288" s="32"/>
      <c r="SO288" s="32"/>
      <c r="SP288" s="32"/>
      <c r="SQ288" s="32"/>
      <c r="SR288" s="32"/>
      <c r="SS288" s="32"/>
      <c r="ST288" s="32"/>
      <c r="SU288" s="32"/>
      <c r="SV288" s="32"/>
      <c r="SW288" s="32"/>
      <c r="SX288" s="32"/>
      <c r="SY288" s="32"/>
      <c r="SZ288" s="32"/>
      <c r="TA288" s="32"/>
      <c r="TB288" s="32"/>
      <c r="TC288" s="32"/>
      <c r="TD288" s="32"/>
      <c r="TE288" s="32"/>
      <c r="TF288" s="32"/>
      <c r="TG288" s="32"/>
    </row>
    <row r="289" spans="1:527" s="34" customFormat="1" ht="35.25" customHeight="1" x14ac:dyDescent="0.25">
      <c r="A289" s="96" t="s">
        <v>208</v>
      </c>
      <c r="B289" s="109"/>
      <c r="C289" s="109"/>
      <c r="D289" s="77" t="s">
        <v>40</v>
      </c>
      <c r="E289" s="98">
        <f>E290+E291+E292+E293+E294</f>
        <v>11950107</v>
      </c>
      <c r="F289" s="98">
        <f>F290+F291+F292+F293+F294</f>
        <v>11950107</v>
      </c>
      <c r="G289" s="98">
        <f t="shared" ref="G289:P289" si="149">G290+G291+G292+G293+G294</f>
        <v>7405200</v>
      </c>
      <c r="H289" s="98">
        <f t="shared" si="149"/>
        <v>132522</v>
      </c>
      <c r="I289" s="98">
        <f t="shared" si="149"/>
        <v>0</v>
      </c>
      <c r="J289" s="98">
        <f t="shared" si="149"/>
        <v>2596250.2999999998</v>
      </c>
      <c r="K289" s="98">
        <f t="shared" si="149"/>
        <v>0</v>
      </c>
      <c r="L289" s="98">
        <f t="shared" si="149"/>
        <v>2596250.2999999998</v>
      </c>
      <c r="M289" s="98">
        <f t="shared" si="149"/>
        <v>0</v>
      </c>
      <c r="N289" s="98">
        <f t="shared" si="149"/>
        <v>0</v>
      </c>
      <c r="O289" s="98">
        <f t="shared" si="149"/>
        <v>0</v>
      </c>
      <c r="P289" s="98">
        <f t="shared" si="149"/>
        <v>14546357.300000001</v>
      </c>
      <c r="Q289" s="33"/>
      <c r="R289" s="32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  <c r="CA289" s="33"/>
      <c r="CB289" s="33"/>
      <c r="CC289" s="33"/>
      <c r="CD289" s="33"/>
      <c r="CE289" s="33"/>
      <c r="CF289" s="33"/>
      <c r="CG289" s="33"/>
      <c r="CH289" s="33"/>
      <c r="CI289" s="33"/>
      <c r="CJ289" s="33"/>
      <c r="CK289" s="33"/>
      <c r="CL289" s="33"/>
      <c r="CM289" s="33"/>
      <c r="CN289" s="33"/>
      <c r="CO289" s="33"/>
      <c r="CP289" s="33"/>
      <c r="CQ289" s="33"/>
      <c r="CR289" s="33"/>
      <c r="CS289" s="33"/>
      <c r="CT289" s="33"/>
      <c r="CU289" s="33"/>
      <c r="CV289" s="33"/>
      <c r="CW289" s="33"/>
      <c r="CX289" s="33"/>
      <c r="CY289" s="33"/>
      <c r="CZ289" s="33"/>
      <c r="DA289" s="33"/>
      <c r="DB289" s="33"/>
      <c r="DC289" s="33"/>
      <c r="DD289" s="33"/>
      <c r="DE289" s="33"/>
      <c r="DF289" s="33"/>
      <c r="DG289" s="33"/>
      <c r="DH289" s="33"/>
      <c r="DI289" s="33"/>
      <c r="DJ289" s="33"/>
      <c r="DK289" s="33"/>
      <c r="DL289" s="33"/>
      <c r="DM289" s="33"/>
      <c r="DN289" s="33"/>
      <c r="DO289" s="33"/>
      <c r="DP289" s="33"/>
      <c r="DQ289" s="33"/>
      <c r="DR289" s="33"/>
      <c r="DS289" s="33"/>
      <c r="DT289" s="33"/>
      <c r="DU289" s="33"/>
      <c r="DV289" s="33"/>
      <c r="DW289" s="33"/>
      <c r="DX289" s="33"/>
      <c r="DY289" s="33"/>
      <c r="DZ289" s="33"/>
      <c r="EA289" s="33"/>
      <c r="EB289" s="33"/>
      <c r="EC289" s="33"/>
      <c r="ED289" s="33"/>
      <c r="EE289" s="33"/>
      <c r="EF289" s="33"/>
      <c r="EG289" s="33"/>
      <c r="EH289" s="33"/>
      <c r="EI289" s="33"/>
      <c r="EJ289" s="33"/>
      <c r="EK289" s="33"/>
      <c r="EL289" s="33"/>
      <c r="EM289" s="33"/>
      <c r="EN289" s="33"/>
      <c r="EO289" s="33"/>
      <c r="EP289" s="33"/>
      <c r="EQ289" s="33"/>
      <c r="ER289" s="33"/>
      <c r="ES289" s="33"/>
      <c r="ET289" s="33"/>
      <c r="EU289" s="33"/>
      <c r="EV289" s="33"/>
      <c r="EW289" s="33"/>
      <c r="EX289" s="33"/>
      <c r="EY289" s="33"/>
      <c r="EZ289" s="33"/>
      <c r="FA289" s="33"/>
      <c r="FB289" s="33"/>
      <c r="FC289" s="33"/>
      <c r="FD289" s="33"/>
      <c r="FE289" s="33"/>
      <c r="FF289" s="33"/>
      <c r="FG289" s="33"/>
      <c r="FH289" s="33"/>
      <c r="FI289" s="33"/>
      <c r="FJ289" s="33"/>
      <c r="FK289" s="33"/>
      <c r="FL289" s="33"/>
      <c r="FM289" s="33"/>
      <c r="FN289" s="33"/>
      <c r="FO289" s="33"/>
      <c r="FP289" s="33"/>
      <c r="FQ289" s="33"/>
      <c r="FR289" s="33"/>
      <c r="FS289" s="33"/>
      <c r="FT289" s="33"/>
      <c r="FU289" s="33"/>
      <c r="FV289" s="33"/>
      <c r="FW289" s="33"/>
      <c r="FX289" s="33"/>
      <c r="FY289" s="33"/>
      <c r="FZ289" s="33"/>
      <c r="GA289" s="33"/>
      <c r="GB289" s="33"/>
      <c r="GC289" s="33"/>
      <c r="GD289" s="33"/>
      <c r="GE289" s="33"/>
      <c r="GF289" s="33"/>
      <c r="GG289" s="33"/>
      <c r="GH289" s="33"/>
      <c r="GI289" s="33"/>
      <c r="GJ289" s="33"/>
      <c r="GK289" s="33"/>
      <c r="GL289" s="33"/>
      <c r="GM289" s="33"/>
      <c r="GN289" s="33"/>
      <c r="GO289" s="33"/>
      <c r="GP289" s="33"/>
      <c r="GQ289" s="33"/>
      <c r="GR289" s="33"/>
      <c r="GS289" s="33"/>
      <c r="GT289" s="33"/>
      <c r="GU289" s="33"/>
      <c r="GV289" s="33"/>
      <c r="GW289" s="33"/>
      <c r="GX289" s="33"/>
      <c r="GY289" s="33"/>
      <c r="GZ289" s="33"/>
      <c r="HA289" s="33"/>
      <c r="HB289" s="33"/>
      <c r="HC289" s="33"/>
      <c r="HD289" s="33"/>
      <c r="HE289" s="33"/>
      <c r="HF289" s="33"/>
      <c r="HG289" s="33"/>
      <c r="HH289" s="33"/>
      <c r="HI289" s="33"/>
      <c r="HJ289" s="33"/>
      <c r="HK289" s="33"/>
      <c r="HL289" s="33"/>
      <c r="HM289" s="33"/>
      <c r="HN289" s="33"/>
      <c r="HO289" s="33"/>
      <c r="HP289" s="33"/>
      <c r="HQ289" s="33"/>
      <c r="HR289" s="33"/>
      <c r="HS289" s="33"/>
      <c r="HT289" s="33"/>
      <c r="HU289" s="33"/>
      <c r="HV289" s="33"/>
      <c r="HW289" s="33"/>
      <c r="HX289" s="33"/>
      <c r="HY289" s="33"/>
      <c r="HZ289" s="33"/>
      <c r="IA289" s="33"/>
      <c r="IB289" s="33"/>
      <c r="IC289" s="33"/>
      <c r="ID289" s="33"/>
      <c r="IE289" s="33"/>
      <c r="IF289" s="33"/>
      <c r="IG289" s="33"/>
      <c r="IH289" s="33"/>
      <c r="II289" s="33"/>
      <c r="IJ289" s="33"/>
      <c r="IK289" s="33"/>
      <c r="IL289" s="33"/>
      <c r="IM289" s="33"/>
      <c r="IN289" s="33"/>
      <c r="IO289" s="33"/>
      <c r="IP289" s="33"/>
      <c r="IQ289" s="33"/>
      <c r="IR289" s="33"/>
      <c r="IS289" s="33"/>
      <c r="IT289" s="33"/>
      <c r="IU289" s="33"/>
      <c r="IV289" s="33"/>
      <c r="IW289" s="33"/>
      <c r="IX289" s="33"/>
      <c r="IY289" s="33"/>
      <c r="IZ289" s="33"/>
      <c r="JA289" s="33"/>
      <c r="JB289" s="33"/>
      <c r="JC289" s="33"/>
      <c r="JD289" s="33"/>
      <c r="JE289" s="33"/>
      <c r="JF289" s="33"/>
      <c r="JG289" s="33"/>
      <c r="JH289" s="33"/>
      <c r="JI289" s="33"/>
      <c r="JJ289" s="33"/>
      <c r="JK289" s="33"/>
      <c r="JL289" s="33"/>
      <c r="JM289" s="33"/>
      <c r="JN289" s="33"/>
      <c r="JO289" s="33"/>
      <c r="JP289" s="33"/>
      <c r="JQ289" s="33"/>
      <c r="JR289" s="33"/>
      <c r="JS289" s="33"/>
      <c r="JT289" s="33"/>
      <c r="JU289" s="33"/>
      <c r="JV289" s="33"/>
      <c r="JW289" s="33"/>
      <c r="JX289" s="33"/>
      <c r="JY289" s="33"/>
      <c r="JZ289" s="33"/>
      <c r="KA289" s="33"/>
      <c r="KB289" s="33"/>
      <c r="KC289" s="33"/>
      <c r="KD289" s="33"/>
      <c r="KE289" s="33"/>
      <c r="KF289" s="33"/>
      <c r="KG289" s="33"/>
      <c r="KH289" s="33"/>
      <c r="KI289" s="33"/>
      <c r="KJ289" s="33"/>
      <c r="KK289" s="33"/>
      <c r="KL289" s="33"/>
      <c r="KM289" s="33"/>
      <c r="KN289" s="33"/>
      <c r="KO289" s="33"/>
      <c r="KP289" s="33"/>
      <c r="KQ289" s="33"/>
      <c r="KR289" s="33"/>
      <c r="KS289" s="33"/>
      <c r="KT289" s="33"/>
      <c r="KU289" s="33"/>
      <c r="KV289" s="33"/>
      <c r="KW289" s="33"/>
      <c r="KX289" s="33"/>
      <c r="KY289" s="33"/>
      <c r="KZ289" s="33"/>
      <c r="LA289" s="33"/>
      <c r="LB289" s="33"/>
      <c r="LC289" s="33"/>
      <c r="LD289" s="33"/>
      <c r="LE289" s="33"/>
      <c r="LF289" s="33"/>
      <c r="LG289" s="33"/>
      <c r="LH289" s="33"/>
      <c r="LI289" s="33"/>
      <c r="LJ289" s="33"/>
      <c r="LK289" s="33"/>
      <c r="LL289" s="33"/>
      <c r="LM289" s="33"/>
      <c r="LN289" s="33"/>
      <c r="LO289" s="33"/>
      <c r="LP289" s="33"/>
      <c r="LQ289" s="33"/>
      <c r="LR289" s="33"/>
      <c r="LS289" s="33"/>
      <c r="LT289" s="33"/>
      <c r="LU289" s="33"/>
      <c r="LV289" s="33"/>
      <c r="LW289" s="33"/>
      <c r="LX289" s="33"/>
      <c r="LY289" s="33"/>
      <c r="LZ289" s="33"/>
      <c r="MA289" s="33"/>
      <c r="MB289" s="33"/>
      <c r="MC289" s="33"/>
      <c r="MD289" s="33"/>
      <c r="ME289" s="33"/>
      <c r="MF289" s="33"/>
      <c r="MG289" s="33"/>
      <c r="MH289" s="33"/>
      <c r="MI289" s="33"/>
      <c r="MJ289" s="33"/>
      <c r="MK289" s="33"/>
      <c r="ML289" s="33"/>
      <c r="MM289" s="33"/>
      <c r="MN289" s="33"/>
      <c r="MO289" s="33"/>
      <c r="MP289" s="33"/>
      <c r="MQ289" s="33"/>
      <c r="MR289" s="33"/>
      <c r="MS289" s="33"/>
      <c r="MT289" s="33"/>
      <c r="MU289" s="33"/>
      <c r="MV289" s="33"/>
      <c r="MW289" s="33"/>
      <c r="MX289" s="33"/>
      <c r="MY289" s="33"/>
      <c r="MZ289" s="33"/>
      <c r="NA289" s="33"/>
      <c r="NB289" s="33"/>
      <c r="NC289" s="33"/>
      <c r="ND289" s="33"/>
      <c r="NE289" s="33"/>
      <c r="NF289" s="33"/>
      <c r="NG289" s="33"/>
      <c r="NH289" s="33"/>
      <c r="NI289" s="33"/>
      <c r="NJ289" s="33"/>
      <c r="NK289" s="33"/>
      <c r="NL289" s="33"/>
      <c r="NM289" s="33"/>
      <c r="NN289" s="33"/>
      <c r="NO289" s="33"/>
      <c r="NP289" s="33"/>
      <c r="NQ289" s="33"/>
      <c r="NR289" s="33"/>
      <c r="NS289" s="33"/>
      <c r="NT289" s="33"/>
      <c r="NU289" s="33"/>
      <c r="NV289" s="33"/>
      <c r="NW289" s="33"/>
      <c r="NX289" s="33"/>
      <c r="NY289" s="33"/>
      <c r="NZ289" s="33"/>
      <c r="OA289" s="33"/>
      <c r="OB289" s="33"/>
      <c r="OC289" s="33"/>
      <c r="OD289" s="33"/>
      <c r="OE289" s="33"/>
      <c r="OF289" s="33"/>
      <c r="OG289" s="33"/>
      <c r="OH289" s="33"/>
      <c r="OI289" s="33"/>
      <c r="OJ289" s="33"/>
      <c r="OK289" s="33"/>
      <c r="OL289" s="33"/>
      <c r="OM289" s="33"/>
      <c r="ON289" s="33"/>
      <c r="OO289" s="33"/>
      <c r="OP289" s="33"/>
      <c r="OQ289" s="33"/>
      <c r="OR289" s="33"/>
      <c r="OS289" s="33"/>
      <c r="OT289" s="33"/>
      <c r="OU289" s="33"/>
      <c r="OV289" s="33"/>
      <c r="OW289" s="33"/>
      <c r="OX289" s="33"/>
      <c r="OY289" s="33"/>
      <c r="OZ289" s="33"/>
      <c r="PA289" s="33"/>
      <c r="PB289" s="33"/>
      <c r="PC289" s="33"/>
      <c r="PD289" s="33"/>
      <c r="PE289" s="33"/>
      <c r="PF289" s="33"/>
      <c r="PG289" s="33"/>
      <c r="PH289" s="33"/>
      <c r="PI289" s="33"/>
      <c r="PJ289" s="33"/>
      <c r="PK289" s="33"/>
      <c r="PL289" s="33"/>
      <c r="PM289" s="33"/>
      <c r="PN289" s="33"/>
      <c r="PO289" s="33"/>
      <c r="PP289" s="33"/>
      <c r="PQ289" s="33"/>
      <c r="PR289" s="33"/>
      <c r="PS289" s="33"/>
      <c r="PT289" s="33"/>
      <c r="PU289" s="33"/>
      <c r="PV289" s="33"/>
      <c r="PW289" s="33"/>
      <c r="PX289" s="33"/>
      <c r="PY289" s="33"/>
      <c r="PZ289" s="33"/>
      <c r="QA289" s="33"/>
      <c r="QB289" s="33"/>
      <c r="QC289" s="33"/>
      <c r="QD289" s="33"/>
      <c r="QE289" s="33"/>
      <c r="QF289" s="33"/>
      <c r="QG289" s="33"/>
      <c r="QH289" s="33"/>
      <c r="QI289" s="33"/>
      <c r="QJ289" s="33"/>
      <c r="QK289" s="33"/>
      <c r="QL289" s="33"/>
      <c r="QM289" s="33"/>
      <c r="QN289" s="33"/>
      <c r="QO289" s="33"/>
      <c r="QP289" s="33"/>
      <c r="QQ289" s="33"/>
      <c r="QR289" s="33"/>
      <c r="QS289" s="33"/>
      <c r="QT289" s="33"/>
      <c r="QU289" s="33"/>
      <c r="QV289" s="33"/>
      <c r="QW289" s="33"/>
      <c r="QX289" s="33"/>
      <c r="QY289" s="33"/>
      <c r="QZ289" s="33"/>
      <c r="RA289" s="33"/>
      <c r="RB289" s="33"/>
      <c r="RC289" s="33"/>
      <c r="RD289" s="33"/>
      <c r="RE289" s="33"/>
      <c r="RF289" s="33"/>
      <c r="RG289" s="33"/>
      <c r="RH289" s="33"/>
      <c r="RI289" s="33"/>
      <c r="RJ289" s="33"/>
      <c r="RK289" s="33"/>
      <c r="RL289" s="33"/>
      <c r="RM289" s="33"/>
      <c r="RN289" s="33"/>
      <c r="RO289" s="33"/>
      <c r="RP289" s="33"/>
      <c r="RQ289" s="33"/>
      <c r="RR289" s="33"/>
      <c r="RS289" s="33"/>
      <c r="RT289" s="33"/>
      <c r="RU289" s="33"/>
      <c r="RV289" s="33"/>
      <c r="RW289" s="33"/>
      <c r="RX289" s="33"/>
      <c r="RY289" s="33"/>
      <c r="RZ289" s="33"/>
      <c r="SA289" s="33"/>
      <c r="SB289" s="33"/>
      <c r="SC289" s="33"/>
      <c r="SD289" s="33"/>
      <c r="SE289" s="33"/>
      <c r="SF289" s="33"/>
      <c r="SG289" s="33"/>
      <c r="SH289" s="33"/>
      <c r="SI289" s="33"/>
      <c r="SJ289" s="33"/>
      <c r="SK289" s="33"/>
      <c r="SL289" s="33"/>
      <c r="SM289" s="33"/>
      <c r="SN289" s="33"/>
      <c r="SO289" s="33"/>
      <c r="SP289" s="33"/>
      <c r="SQ289" s="33"/>
      <c r="SR289" s="33"/>
      <c r="SS289" s="33"/>
      <c r="ST289" s="33"/>
      <c r="SU289" s="33"/>
      <c r="SV289" s="33"/>
      <c r="SW289" s="33"/>
      <c r="SX289" s="33"/>
      <c r="SY289" s="33"/>
      <c r="SZ289" s="33"/>
      <c r="TA289" s="33"/>
      <c r="TB289" s="33"/>
      <c r="TC289" s="33"/>
      <c r="TD289" s="33"/>
      <c r="TE289" s="33"/>
      <c r="TF289" s="33"/>
      <c r="TG289" s="33"/>
    </row>
    <row r="290" spans="1:527" s="22" customFormat="1" ht="47.25" x14ac:dyDescent="0.25">
      <c r="A290" s="59" t="s">
        <v>209</v>
      </c>
      <c r="B290" s="93" t="str">
        <f>'дод 8'!A19</f>
        <v>0160</v>
      </c>
      <c r="C290" s="93" t="str">
        <f>'дод 8'!B19</f>
        <v>0111</v>
      </c>
      <c r="D290" s="36" t="s">
        <v>494</v>
      </c>
      <c r="E290" s="99">
        <f>F290+I290</f>
        <v>9514841</v>
      </c>
      <c r="F290" s="99">
        <f>9390500+40922+48490+29329+5600</f>
        <v>9514841</v>
      </c>
      <c r="G290" s="99">
        <v>7405200</v>
      </c>
      <c r="H290" s="99">
        <f>86000+40922+5600</f>
        <v>132522</v>
      </c>
      <c r="I290" s="99"/>
      <c r="J290" s="99">
        <f t="shared" si="137"/>
        <v>0</v>
      </c>
      <c r="K290" s="99"/>
      <c r="L290" s="99"/>
      <c r="M290" s="99"/>
      <c r="N290" s="99"/>
      <c r="O290" s="99"/>
      <c r="P290" s="99">
        <f>E290+J290</f>
        <v>9514841</v>
      </c>
      <c r="Q290" s="23"/>
      <c r="R290" s="32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  <c r="SQ290" s="23"/>
      <c r="SR290" s="23"/>
      <c r="SS290" s="23"/>
      <c r="ST290" s="23"/>
      <c r="SU290" s="23"/>
      <c r="SV290" s="23"/>
      <c r="SW290" s="23"/>
      <c r="SX290" s="23"/>
      <c r="SY290" s="23"/>
      <c r="SZ290" s="23"/>
      <c r="TA290" s="23"/>
      <c r="TB290" s="23"/>
      <c r="TC290" s="23"/>
      <c r="TD290" s="23"/>
      <c r="TE290" s="23"/>
      <c r="TF290" s="23"/>
      <c r="TG290" s="23"/>
    </row>
    <row r="291" spans="1:527" s="22" customFormat="1" ht="31.5" x14ac:dyDescent="0.25">
      <c r="A291" s="59" t="s">
        <v>311</v>
      </c>
      <c r="B291" s="93" t="str">
        <f>'дод 8'!A166</f>
        <v>6090</v>
      </c>
      <c r="C291" s="93" t="str">
        <f>'дод 8'!B166</f>
        <v>0640</v>
      </c>
      <c r="D291" s="60" t="str">
        <f>'дод 8'!C166</f>
        <v>Інша діяльність у сфері житлово-комунального господарства</v>
      </c>
      <c r="E291" s="99">
        <f>F291+I291</f>
        <v>175000</v>
      </c>
      <c r="F291" s="99">
        <v>175000</v>
      </c>
      <c r="G291" s="99"/>
      <c r="H291" s="99"/>
      <c r="I291" s="99"/>
      <c r="J291" s="99">
        <f t="shared" si="137"/>
        <v>0</v>
      </c>
      <c r="K291" s="99"/>
      <c r="L291" s="99"/>
      <c r="M291" s="99"/>
      <c r="N291" s="99"/>
      <c r="O291" s="99"/>
      <c r="P291" s="99">
        <f>E291+J291</f>
        <v>175000</v>
      </c>
      <c r="Q291" s="23"/>
      <c r="R291" s="32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  <c r="IW291" s="23"/>
      <c r="IX291" s="23"/>
      <c r="IY291" s="23"/>
      <c r="IZ291" s="23"/>
      <c r="JA291" s="23"/>
      <c r="JB291" s="23"/>
      <c r="JC291" s="23"/>
      <c r="JD291" s="23"/>
      <c r="JE291" s="23"/>
      <c r="JF291" s="23"/>
      <c r="JG291" s="23"/>
      <c r="JH291" s="23"/>
      <c r="JI291" s="23"/>
      <c r="JJ291" s="23"/>
      <c r="JK291" s="23"/>
      <c r="JL291" s="23"/>
      <c r="JM291" s="23"/>
      <c r="JN291" s="23"/>
      <c r="JO291" s="23"/>
      <c r="JP291" s="23"/>
      <c r="JQ291" s="23"/>
      <c r="JR291" s="23"/>
      <c r="JS291" s="23"/>
      <c r="JT291" s="23"/>
      <c r="JU291" s="23"/>
      <c r="JV291" s="23"/>
      <c r="JW291" s="23"/>
      <c r="JX291" s="23"/>
      <c r="JY291" s="23"/>
      <c r="JZ291" s="23"/>
      <c r="KA291" s="23"/>
      <c r="KB291" s="23"/>
      <c r="KC291" s="23"/>
      <c r="KD291" s="23"/>
      <c r="KE291" s="23"/>
      <c r="KF291" s="23"/>
      <c r="KG291" s="23"/>
      <c r="KH291" s="23"/>
      <c r="KI291" s="23"/>
      <c r="KJ291" s="23"/>
      <c r="KK291" s="23"/>
      <c r="KL291" s="23"/>
      <c r="KM291" s="23"/>
      <c r="KN291" s="23"/>
      <c r="KO291" s="23"/>
      <c r="KP291" s="23"/>
      <c r="KQ291" s="23"/>
      <c r="KR291" s="23"/>
      <c r="KS291" s="23"/>
      <c r="KT291" s="23"/>
      <c r="KU291" s="23"/>
      <c r="KV291" s="23"/>
      <c r="KW291" s="23"/>
      <c r="KX291" s="23"/>
      <c r="KY291" s="23"/>
      <c r="KZ291" s="23"/>
      <c r="LA291" s="23"/>
      <c r="LB291" s="23"/>
      <c r="LC291" s="23"/>
      <c r="LD291" s="23"/>
      <c r="LE291" s="23"/>
      <c r="LF291" s="23"/>
      <c r="LG291" s="23"/>
      <c r="LH291" s="23"/>
      <c r="LI291" s="23"/>
      <c r="LJ291" s="23"/>
      <c r="LK291" s="23"/>
      <c r="LL291" s="23"/>
      <c r="LM291" s="23"/>
      <c r="LN291" s="23"/>
      <c r="LO291" s="23"/>
      <c r="LP291" s="23"/>
      <c r="LQ291" s="23"/>
      <c r="LR291" s="23"/>
      <c r="LS291" s="23"/>
      <c r="LT291" s="23"/>
      <c r="LU291" s="23"/>
      <c r="LV291" s="23"/>
      <c r="LW291" s="23"/>
      <c r="LX291" s="23"/>
      <c r="LY291" s="23"/>
      <c r="LZ291" s="23"/>
      <c r="MA291" s="23"/>
      <c r="MB291" s="23"/>
      <c r="MC291" s="23"/>
      <c r="MD291" s="23"/>
      <c r="ME291" s="23"/>
      <c r="MF291" s="23"/>
      <c r="MG291" s="23"/>
      <c r="MH291" s="23"/>
      <c r="MI291" s="23"/>
      <c r="MJ291" s="23"/>
      <c r="MK291" s="23"/>
      <c r="ML291" s="23"/>
      <c r="MM291" s="23"/>
      <c r="MN291" s="23"/>
      <c r="MO291" s="23"/>
      <c r="MP291" s="23"/>
      <c r="MQ291" s="23"/>
      <c r="MR291" s="23"/>
      <c r="MS291" s="23"/>
      <c r="MT291" s="23"/>
      <c r="MU291" s="23"/>
      <c r="MV291" s="23"/>
      <c r="MW291" s="23"/>
      <c r="MX291" s="23"/>
      <c r="MY291" s="23"/>
      <c r="MZ291" s="23"/>
      <c r="NA291" s="23"/>
      <c r="NB291" s="23"/>
      <c r="NC291" s="23"/>
      <c r="ND291" s="23"/>
      <c r="NE291" s="23"/>
      <c r="NF291" s="23"/>
      <c r="NG291" s="23"/>
      <c r="NH291" s="23"/>
      <c r="NI291" s="23"/>
      <c r="NJ291" s="23"/>
      <c r="NK291" s="23"/>
      <c r="NL291" s="23"/>
      <c r="NM291" s="23"/>
      <c r="NN291" s="23"/>
      <c r="NO291" s="23"/>
      <c r="NP291" s="23"/>
      <c r="NQ291" s="23"/>
      <c r="NR291" s="23"/>
      <c r="NS291" s="23"/>
      <c r="NT291" s="23"/>
      <c r="NU291" s="23"/>
      <c r="NV291" s="23"/>
      <c r="NW291" s="23"/>
      <c r="NX291" s="23"/>
      <c r="NY291" s="23"/>
      <c r="NZ291" s="23"/>
      <c r="OA291" s="23"/>
      <c r="OB291" s="23"/>
      <c r="OC291" s="23"/>
      <c r="OD291" s="23"/>
      <c r="OE291" s="23"/>
      <c r="OF291" s="23"/>
      <c r="OG291" s="23"/>
      <c r="OH291" s="23"/>
      <c r="OI291" s="23"/>
      <c r="OJ291" s="23"/>
      <c r="OK291" s="23"/>
      <c r="OL291" s="23"/>
      <c r="OM291" s="23"/>
      <c r="ON291" s="23"/>
      <c r="OO291" s="23"/>
      <c r="OP291" s="23"/>
      <c r="OQ291" s="23"/>
      <c r="OR291" s="23"/>
      <c r="OS291" s="23"/>
      <c r="OT291" s="23"/>
      <c r="OU291" s="23"/>
      <c r="OV291" s="23"/>
      <c r="OW291" s="23"/>
      <c r="OX291" s="23"/>
      <c r="OY291" s="23"/>
      <c r="OZ291" s="23"/>
      <c r="PA291" s="23"/>
      <c r="PB291" s="23"/>
      <c r="PC291" s="23"/>
      <c r="PD291" s="23"/>
      <c r="PE291" s="23"/>
      <c r="PF291" s="23"/>
      <c r="PG291" s="23"/>
      <c r="PH291" s="23"/>
      <c r="PI291" s="23"/>
      <c r="PJ291" s="23"/>
      <c r="PK291" s="23"/>
      <c r="PL291" s="23"/>
      <c r="PM291" s="23"/>
      <c r="PN291" s="23"/>
      <c r="PO291" s="23"/>
      <c r="PP291" s="23"/>
      <c r="PQ291" s="23"/>
      <c r="PR291" s="23"/>
      <c r="PS291" s="23"/>
      <c r="PT291" s="23"/>
      <c r="PU291" s="23"/>
      <c r="PV291" s="23"/>
      <c r="PW291" s="23"/>
      <c r="PX291" s="23"/>
      <c r="PY291" s="23"/>
      <c r="PZ291" s="23"/>
      <c r="QA291" s="23"/>
      <c r="QB291" s="23"/>
      <c r="QC291" s="23"/>
      <c r="QD291" s="23"/>
      <c r="QE291" s="23"/>
      <c r="QF291" s="23"/>
      <c r="QG291" s="23"/>
      <c r="QH291" s="23"/>
      <c r="QI291" s="23"/>
      <c r="QJ291" s="23"/>
      <c r="QK291" s="23"/>
      <c r="QL291" s="23"/>
      <c r="QM291" s="23"/>
      <c r="QN291" s="23"/>
      <c r="QO291" s="23"/>
      <c r="QP291" s="23"/>
      <c r="QQ291" s="23"/>
      <c r="QR291" s="23"/>
      <c r="QS291" s="23"/>
      <c r="QT291" s="23"/>
      <c r="QU291" s="23"/>
      <c r="QV291" s="23"/>
      <c r="QW291" s="23"/>
      <c r="QX291" s="23"/>
      <c r="QY291" s="23"/>
      <c r="QZ291" s="23"/>
      <c r="RA291" s="23"/>
      <c r="RB291" s="23"/>
      <c r="RC291" s="23"/>
      <c r="RD291" s="23"/>
      <c r="RE291" s="23"/>
      <c r="RF291" s="23"/>
      <c r="RG291" s="23"/>
      <c r="RH291" s="23"/>
      <c r="RI291" s="23"/>
      <c r="RJ291" s="23"/>
      <c r="RK291" s="23"/>
      <c r="RL291" s="23"/>
      <c r="RM291" s="23"/>
      <c r="RN291" s="23"/>
      <c r="RO291" s="23"/>
      <c r="RP291" s="23"/>
      <c r="RQ291" s="23"/>
      <c r="RR291" s="23"/>
      <c r="RS291" s="23"/>
      <c r="RT291" s="23"/>
      <c r="RU291" s="23"/>
      <c r="RV291" s="23"/>
      <c r="RW291" s="23"/>
      <c r="RX291" s="23"/>
      <c r="RY291" s="23"/>
      <c r="RZ291" s="23"/>
      <c r="SA291" s="23"/>
      <c r="SB291" s="23"/>
      <c r="SC291" s="23"/>
      <c r="SD291" s="23"/>
      <c r="SE291" s="23"/>
      <c r="SF291" s="23"/>
      <c r="SG291" s="23"/>
      <c r="SH291" s="23"/>
      <c r="SI291" s="23"/>
      <c r="SJ291" s="23"/>
      <c r="SK291" s="23"/>
      <c r="SL291" s="23"/>
      <c r="SM291" s="23"/>
      <c r="SN291" s="23"/>
      <c r="SO291" s="23"/>
      <c r="SP291" s="23"/>
      <c r="SQ291" s="23"/>
      <c r="SR291" s="23"/>
      <c r="SS291" s="23"/>
      <c r="ST291" s="23"/>
      <c r="SU291" s="23"/>
      <c r="SV291" s="23"/>
      <c r="SW291" s="23"/>
      <c r="SX291" s="23"/>
      <c r="SY291" s="23"/>
      <c r="SZ291" s="23"/>
      <c r="TA291" s="23"/>
      <c r="TB291" s="23"/>
      <c r="TC291" s="23"/>
      <c r="TD291" s="23"/>
      <c r="TE291" s="23"/>
      <c r="TF291" s="23"/>
      <c r="TG291" s="23"/>
    </row>
    <row r="292" spans="1:527" s="22" customFormat="1" ht="31.5" hidden="1" x14ac:dyDescent="0.25">
      <c r="A292" s="59" t="s">
        <v>458</v>
      </c>
      <c r="B292" s="59" t="s">
        <v>459</v>
      </c>
      <c r="C292" s="59" t="s">
        <v>111</v>
      </c>
      <c r="D292" s="60" t="s">
        <v>460</v>
      </c>
      <c r="E292" s="99">
        <f>F292+I292</f>
        <v>0</v>
      </c>
      <c r="F292" s="99"/>
      <c r="G292" s="99"/>
      <c r="H292" s="99"/>
      <c r="I292" s="99"/>
      <c r="J292" s="99">
        <f t="shared" si="137"/>
        <v>0</v>
      </c>
      <c r="K292" s="99">
        <f>900000-900000</f>
        <v>0</v>
      </c>
      <c r="L292" s="99"/>
      <c r="M292" s="99"/>
      <c r="N292" s="99"/>
      <c r="O292" s="99">
        <f>900000-900000</f>
        <v>0</v>
      </c>
      <c r="P292" s="99">
        <f>E292+J292</f>
        <v>0</v>
      </c>
      <c r="Q292" s="23"/>
      <c r="R292" s="32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  <c r="IW292" s="23"/>
      <c r="IX292" s="23"/>
      <c r="IY292" s="23"/>
      <c r="IZ292" s="23"/>
      <c r="JA292" s="23"/>
      <c r="JB292" s="23"/>
      <c r="JC292" s="23"/>
      <c r="JD292" s="23"/>
      <c r="JE292" s="23"/>
      <c r="JF292" s="23"/>
      <c r="JG292" s="23"/>
      <c r="JH292" s="23"/>
      <c r="JI292" s="23"/>
      <c r="JJ292" s="23"/>
      <c r="JK292" s="23"/>
      <c r="JL292" s="23"/>
      <c r="JM292" s="23"/>
      <c r="JN292" s="23"/>
      <c r="JO292" s="23"/>
      <c r="JP292" s="23"/>
      <c r="JQ292" s="23"/>
      <c r="JR292" s="23"/>
      <c r="JS292" s="23"/>
      <c r="JT292" s="23"/>
      <c r="JU292" s="23"/>
      <c r="JV292" s="23"/>
      <c r="JW292" s="23"/>
      <c r="JX292" s="23"/>
      <c r="JY292" s="23"/>
      <c r="JZ292" s="23"/>
      <c r="KA292" s="23"/>
      <c r="KB292" s="23"/>
      <c r="KC292" s="23"/>
      <c r="KD292" s="23"/>
      <c r="KE292" s="23"/>
      <c r="KF292" s="23"/>
      <c r="KG292" s="23"/>
      <c r="KH292" s="23"/>
      <c r="KI292" s="23"/>
      <c r="KJ292" s="23"/>
      <c r="KK292" s="23"/>
      <c r="KL292" s="23"/>
      <c r="KM292" s="23"/>
      <c r="KN292" s="23"/>
      <c r="KO292" s="23"/>
      <c r="KP292" s="23"/>
      <c r="KQ292" s="23"/>
      <c r="KR292" s="23"/>
      <c r="KS292" s="23"/>
      <c r="KT292" s="23"/>
      <c r="KU292" s="23"/>
      <c r="KV292" s="23"/>
      <c r="KW292" s="23"/>
      <c r="KX292" s="23"/>
      <c r="KY292" s="23"/>
      <c r="KZ292" s="23"/>
      <c r="LA292" s="23"/>
      <c r="LB292" s="23"/>
      <c r="LC292" s="23"/>
      <c r="LD292" s="23"/>
      <c r="LE292" s="23"/>
      <c r="LF292" s="23"/>
      <c r="LG292" s="23"/>
      <c r="LH292" s="23"/>
      <c r="LI292" s="23"/>
      <c r="LJ292" s="23"/>
      <c r="LK292" s="23"/>
      <c r="LL292" s="23"/>
      <c r="LM292" s="23"/>
      <c r="LN292" s="23"/>
      <c r="LO292" s="23"/>
      <c r="LP292" s="23"/>
      <c r="LQ292" s="23"/>
      <c r="LR292" s="23"/>
      <c r="LS292" s="23"/>
      <c r="LT292" s="23"/>
      <c r="LU292" s="23"/>
      <c r="LV292" s="23"/>
      <c r="LW292" s="23"/>
      <c r="LX292" s="23"/>
      <c r="LY292" s="23"/>
      <c r="LZ292" s="23"/>
      <c r="MA292" s="23"/>
      <c r="MB292" s="23"/>
      <c r="MC292" s="23"/>
      <c r="MD292" s="23"/>
      <c r="ME292" s="23"/>
      <c r="MF292" s="23"/>
      <c r="MG292" s="23"/>
      <c r="MH292" s="23"/>
      <c r="MI292" s="23"/>
      <c r="MJ292" s="23"/>
      <c r="MK292" s="23"/>
      <c r="ML292" s="23"/>
      <c r="MM292" s="23"/>
      <c r="MN292" s="23"/>
      <c r="MO292" s="23"/>
      <c r="MP292" s="23"/>
      <c r="MQ292" s="23"/>
      <c r="MR292" s="23"/>
      <c r="MS292" s="23"/>
      <c r="MT292" s="23"/>
      <c r="MU292" s="23"/>
      <c r="MV292" s="23"/>
      <c r="MW292" s="23"/>
      <c r="MX292" s="23"/>
      <c r="MY292" s="23"/>
      <c r="MZ292" s="23"/>
      <c r="NA292" s="23"/>
      <c r="NB292" s="23"/>
      <c r="NC292" s="23"/>
      <c r="ND292" s="23"/>
      <c r="NE292" s="23"/>
      <c r="NF292" s="23"/>
      <c r="NG292" s="23"/>
      <c r="NH292" s="23"/>
      <c r="NI292" s="23"/>
      <c r="NJ292" s="23"/>
      <c r="NK292" s="23"/>
      <c r="NL292" s="23"/>
      <c r="NM292" s="23"/>
      <c r="NN292" s="23"/>
      <c r="NO292" s="23"/>
      <c r="NP292" s="23"/>
      <c r="NQ292" s="23"/>
      <c r="NR292" s="23"/>
      <c r="NS292" s="23"/>
      <c r="NT292" s="23"/>
      <c r="NU292" s="23"/>
      <c r="NV292" s="23"/>
      <c r="NW292" s="23"/>
      <c r="NX292" s="23"/>
      <c r="NY292" s="23"/>
      <c r="NZ292" s="23"/>
      <c r="OA292" s="23"/>
      <c r="OB292" s="23"/>
      <c r="OC292" s="23"/>
      <c r="OD292" s="23"/>
      <c r="OE292" s="23"/>
      <c r="OF292" s="23"/>
      <c r="OG292" s="23"/>
      <c r="OH292" s="23"/>
      <c r="OI292" s="23"/>
      <c r="OJ292" s="23"/>
      <c r="OK292" s="23"/>
      <c r="OL292" s="23"/>
      <c r="OM292" s="23"/>
      <c r="ON292" s="23"/>
      <c r="OO292" s="23"/>
      <c r="OP292" s="23"/>
      <c r="OQ292" s="23"/>
      <c r="OR292" s="23"/>
      <c r="OS292" s="23"/>
      <c r="OT292" s="23"/>
      <c r="OU292" s="23"/>
      <c r="OV292" s="23"/>
      <c r="OW292" s="23"/>
      <c r="OX292" s="23"/>
      <c r="OY292" s="23"/>
      <c r="OZ292" s="23"/>
      <c r="PA292" s="23"/>
      <c r="PB292" s="23"/>
      <c r="PC292" s="23"/>
      <c r="PD292" s="23"/>
      <c r="PE292" s="23"/>
      <c r="PF292" s="23"/>
      <c r="PG292" s="23"/>
      <c r="PH292" s="23"/>
      <c r="PI292" s="23"/>
      <c r="PJ292" s="23"/>
      <c r="PK292" s="23"/>
      <c r="PL292" s="23"/>
      <c r="PM292" s="23"/>
      <c r="PN292" s="23"/>
      <c r="PO292" s="23"/>
      <c r="PP292" s="23"/>
      <c r="PQ292" s="23"/>
      <c r="PR292" s="23"/>
      <c r="PS292" s="23"/>
      <c r="PT292" s="23"/>
      <c r="PU292" s="23"/>
      <c r="PV292" s="23"/>
      <c r="PW292" s="23"/>
      <c r="PX292" s="23"/>
      <c r="PY292" s="23"/>
      <c r="PZ292" s="23"/>
      <c r="QA292" s="23"/>
      <c r="QB292" s="23"/>
      <c r="QC292" s="23"/>
      <c r="QD292" s="23"/>
      <c r="QE292" s="23"/>
      <c r="QF292" s="23"/>
      <c r="QG292" s="23"/>
      <c r="QH292" s="23"/>
      <c r="QI292" s="23"/>
      <c r="QJ292" s="23"/>
      <c r="QK292" s="23"/>
      <c r="QL292" s="23"/>
      <c r="QM292" s="23"/>
      <c r="QN292" s="23"/>
      <c r="QO292" s="23"/>
      <c r="QP292" s="23"/>
      <c r="QQ292" s="23"/>
      <c r="QR292" s="23"/>
      <c r="QS292" s="23"/>
      <c r="QT292" s="23"/>
      <c r="QU292" s="23"/>
      <c r="QV292" s="23"/>
      <c r="QW292" s="23"/>
      <c r="QX292" s="23"/>
      <c r="QY292" s="23"/>
      <c r="QZ292" s="23"/>
      <c r="RA292" s="23"/>
      <c r="RB292" s="23"/>
      <c r="RC292" s="23"/>
      <c r="RD292" s="23"/>
      <c r="RE292" s="23"/>
      <c r="RF292" s="23"/>
      <c r="RG292" s="23"/>
      <c r="RH292" s="23"/>
      <c r="RI292" s="23"/>
      <c r="RJ292" s="23"/>
      <c r="RK292" s="23"/>
      <c r="RL292" s="23"/>
      <c r="RM292" s="23"/>
      <c r="RN292" s="23"/>
      <c r="RO292" s="23"/>
      <c r="RP292" s="23"/>
      <c r="RQ292" s="23"/>
      <c r="RR292" s="23"/>
      <c r="RS292" s="23"/>
      <c r="RT292" s="23"/>
      <c r="RU292" s="23"/>
      <c r="RV292" s="23"/>
      <c r="RW292" s="23"/>
      <c r="RX292" s="23"/>
      <c r="RY292" s="23"/>
      <c r="RZ292" s="23"/>
      <c r="SA292" s="23"/>
      <c r="SB292" s="23"/>
      <c r="SC292" s="23"/>
      <c r="SD292" s="23"/>
      <c r="SE292" s="23"/>
      <c r="SF292" s="23"/>
      <c r="SG292" s="23"/>
      <c r="SH292" s="23"/>
      <c r="SI292" s="23"/>
      <c r="SJ292" s="23"/>
      <c r="SK292" s="23"/>
      <c r="SL292" s="23"/>
      <c r="SM292" s="23"/>
      <c r="SN292" s="23"/>
      <c r="SO292" s="23"/>
      <c r="SP292" s="23"/>
      <c r="SQ292" s="23"/>
      <c r="SR292" s="23"/>
      <c r="SS292" s="23"/>
      <c r="ST292" s="23"/>
      <c r="SU292" s="23"/>
      <c r="SV292" s="23"/>
      <c r="SW292" s="23"/>
      <c r="SX292" s="23"/>
      <c r="SY292" s="23"/>
      <c r="SZ292" s="23"/>
      <c r="TA292" s="23"/>
      <c r="TB292" s="23"/>
      <c r="TC292" s="23"/>
      <c r="TD292" s="23"/>
      <c r="TE292" s="23"/>
      <c r="TF292" s="23"/>
      <c r="TG292" s="23"/>
    </row>
    <row r="293" spans="1:527" s="22" customFormat="1" ht="31.5" x14ac:dyDescent="0.25">
      <c r="A293" s="59" t="s">
        <v>555</v>
      </c>
      <c r="B293" s="59" t="s">
        <v>556</v>
      </c>
      <c r="C293" s="59" t="s">
        <v>82</v>
      </c>
      <c r="D293" s="60" t="s">
        <v>431</v>
      </c>
      <c r="E293" s="99">
        <f>F293+I293</f>
        <v>2260266</v>
      </c>
      <c r="F293" s="99">
        <f>1360266+900000</f>
        <v>2260266</v>
      </c>
      <c r="G293" s="99"/>
      <c r="H293" s="99"/>
      <c r="I293" s="99"/>
      <c r="J293" s="99">
        <f t="shared" ref="J293" si="150">L293+O293</f>
        <v>0</v>
      </c>
      <c r="K293" s="99"/>
      <c r="L293" s="99"/>
      <c r="M293" s="99"/>
      <c r="N293" s="99"/>
      <c r="O293" s="99"/>
      <c r="P293" s="99">
        <f>E293+J293</f>
        <v>2260266</v>
      </c>
      <c r="Q293" s="23"/>
      <c r="R293" s="32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  <c r="HQ293" s="23"/>
      <c r="HR293" s="23"/>
      <c r="HS293" s="23"/>
      <c r="HT293" s="23"/>
      <c r="HU293" s="23"/>
      <c r="HV293" s="23"/>
      <c r="HW293" s="23"/>
      <c r="HX293" s="23"/>
      <c r="HY293" s="23"/>
      <c r="HZ293" s="23"/>
      <c r="IA293" s="23"/>
      <c r="IB293" s="23"/>
      <c r="IC293" s="23"/>
      <c r="ID293" s="23"/>
      <c r="IE293" s="23"/>
      <c r="IF293" s="23"/>
      <c r="IG293" s="23"/>
      <c r="IH293" s="23"/>
      <c r="II293" s="23"/>
      <c r="IJ293" s="23"/>
      <c r="IK293" s="23"/>
      <c r="IL293" s="23"/>
      <c r="IM293" s="23"/>
      <c r="IN293" s="23"/>
      <c r="IO293" s="23"/>
      <c r="IP293" s="23"/>
      <c r="IQ293" s="23"/>
      <c r="IR293" s="23"/>
      <c r="IS293" s="23"/>
      <c r="IT293" s="23"/>
      <c r="IU293" s="23"/>
      <c r="IV293" s="23"/>
      <c r="IW293" s="23"/>
      <c r="IX293" s="23"/>
      <c r="IY293" s="23"/>
      <c r="IZ293" s="23"/>
      <c r="JA293" s="23"/>
      <c r="JB293" s="23"/>
      <c r="JC293" s="23"/>
      <c r="JD293" s="23"/>
      <c r="JE293" s="23"/>
      <c r="JF293" s="23"/>
      <c r="JG293" s="23"/>
      <c r="JH293" s="23"/>
      <c r="JI293" s="23"/>
      <c r="JJ293" s="23"/>
      <c r="JK293" s="23"/>
      <c r="JL293" s="23"/>
      <c r="JM293" s="23"/>
      <c r="JN293" s="23"/>
      <c r="JO293" s="23"/>
      <c r="JP293" s="23"/>
      <c r="JQ293" s="23"/>
      <c r="JR293" s="23"/>
      <c r="JS293" s="23"/>
      <c r="JT293" s="23"/>
      <c r="JU293" s="23"/>
      <c r="JV293" s="23"/>
      <c r="JW293" s="23"/>
      <c r="JX293" s="23"/>
      <c r="JY293" s="23"/>
      <c r="JZ293" s="23"/>
      <c r="KA293" s="23"/>
      <c r="KB293" s="23"/>
      <c r="KC293" s="23"/>
      <c r="KD293" s="23"/>
      <c r="KE293" s="23"/>
      <c r="KF293" s="23"/>
      <c r="KG293" s="23"/>
      <c r="KH293" s="23"/>
      <c r="KI293" s="23"/>
      <c r="KJ293" s="23"/>
      <c r="KK293" s="23"/>
      <c r="KL293" s="23"/>
      <c r="KM293" s="23"/>
      <c r="KN293" s="23"/>
      <c r="KO293" s="23"/>
      <c r="KP293" s="23"/>
      <c r="KQ293" s="23"/>
      <c r="KR293" s="23"/>
      <c r="KS293" s="23"/>
      <c r="KT293" s="23"/>
      <c r="KU293" s="23"/>
      <c r="KV293" s="23"/>
      <c r="KW293" s="23"/>
      <c r="KX293" s="23"/>
      <c r="KY293" s="23"/>
      <c r="KZ293" s="23"/>
      <c r="LA293" s="23"/>
      <c r="LB293" s="23"/>
      <c r="LC293" s="23"/>
      <c r="LD293" s="23"/>
      <c r="LE293" s="23"/>
      <c r="LF293" s="23"/>
      <c r="LG293" s="23"/>
      <c r="LH293" s="23"/>
      <c r="LI293" s="23"/>
      <c r="LJ293" s="23"/>
      <c r="LK293" s="23"/>
      <c r="LL293" s="23"/>
      <c r="LM293" s="23"/>
      <c r="LN293" s="23"/>
      <c r="LO293" s="23"/>
      <c r="LP293" s="23"/>
      <c r="LQ293" s="23"/>
      <c r="LR293" s="23"/>
      <c r="LS293" s="23"/>
      <c r="LT293" s="23"/>
      <c r="LU293" s="23"/>
      <c r="LV293" s="23"/>
      <c r="LW293" s="23"/>
      <c r="LX293" s="23"/>
      <c r="LY293" s="23"/>
      <c r="LZ293" s="23"/>
      <c r="MA293" s="23"/>
      <c r="MB293" s="23"/>
      <c r="MC293" s="23"/>
      <c r="MD293" s="23"/>
      <c r="ME293" s="23"/>
      <c r="MF293" s="23"/>
      <c r="MG293" s="23"/>
      <c r="MH293" s="23"/>
      <c r="MI293" s="23"/>
      <c r="MJ293" s="23"/>
      <c r="MK293" s="23"/>
      <c r="ML293" s="23"/>
      <c r="MM293" s="23"/>
      <c r="MN293" s="23"/>
      <c r="MO293" s="23"/>
      <c r="MP293" s="23"/>
      <c r="MQ293" s="23"/>
      <c r="MR293" s="23"/>
      <c r="MS293" s="23"/>
      <c r="MT293" s="23"/>
      <c r="MU293" s="23"/>
      <c r="MV293" s="23"/>
      <c r="MW293" s="23"/>
      <c r="MX293" s="23"/>
      <c r="MY293" s="23"/>
      <c r="MZ293" s="23"/>
      <c r="NA293" s="23"/>
      <c r="NB293" s="23"/>
      <c r="NC293" s="23"/>
      <c r="ND293" s="23"/>
      <c r="NE293" s="23"/>
      <c r="NF293" s="23"/>
      <c r="NG293" s="23"/>
      <c r="NH293" s="23"/>
      <c r="NI293" s="23"/>
      <c r="NJ293" s="23"/>
      <c r="NK293" s="23"/>
      <c r="NL293" s="23"/>
      <c r="NM293" s="23"/>
      <c r="NN293" s="23"/>
      <c r="NO293" s="23"/>
      <c r="NP293" s="23"/>
      <c r="NQ293" s="23"/>
      <c r="NR293" s="23"/>
      <c r="NS293" s="23"/>
      <c r="NT293" s="23"/>
      <c r="NU293" s="23"/>
      <c r="NV293" s="23"/>
      <c r="NW293" s="23"/>
      <c r="NX293" s="23"/>
      <c r="NY293" s="23"/>
      <c r="NZ293" s="23"/>
      <c r="OA293" s="23"/>
      <c r="OB293" s="23"/>
      <c r="OC293" s="23"/>
      <c r="OD293" s="23"/>
      <c r="OE293" s="23"/>
      <c r="OF293" s="23"/>
      <c r="OG293" s="23"/>
      <c r="OH293" s="23"/>
      <c r="OI293" s="23"/>
      <c r="OJ293" s="23"/>
      <c r="OK293" s="23"/>
      <c r="OL293" s="23"/>
      <c r="OM293" s="23"/>
      <c r="ON293" s="23"/>
      <c r="OO293" s="23"/>
      <c r="OP293" s="23"/>
      <c r="OQ293" s="23"/>
      <c r="OR293" s="23"/>
      <c r="OS293" s="23"/>
      <c r="OT293" s="23"/>
      <c r="OU293" s="23"/>
      <c r="OV293" s="23"/>
      <c r="OW293" s="23"/>
      <c r="OX293" s="23"/>
      <c r="OY293" s="23"/>
      <c r="OZ293" s="23"/>
      <c r="PA293" s="23"/>
      <c r="PB293" s="23"/>
      <c r="PC293" s="23"/>
      <c r="PD293" s="23"/>
      <c r="PE293" s="23"/>
      <c r="PF293" s="23"/>
      <c r="PG293" s="23"/>
      <c r="PH293" s="23"/>
      <c r="PI293" s="23"/>
      <c r="PJ293" s="23"/>
      <c r="PK293" s="23"/>
      <c r="PL293" s="23"/>
      <c r="PM293" s="23"/>
      <c r="PN293" s="23"/>
      <c r="PO293" s="23"/>
      <c r="PP293" s="23"/>
      <c r="PQ293" s="23"/>
      <c r="PR293" s="23"/>
      <c r="PS293" s="23"/>
      <c r="PT293" s="23"/>
      <c r="PU293" s="23"/>
      <c r="PV293" s="23"/>
      <c r="PW293" s="23"/>
      <c r="PX293" s="23"/>
      <c r="PY293" s="23"/>
      <c r="PZ293" s="23"/>
      <c r="QA293" s="23"/>
      <c r="QB293" s="23"/>
      <c r="QC293" s="23"/>
      <c r="QD293" s="23"/>
      <c r="QE293" s="23"/>
      <c r="QF293" s="23"/>
      <c r="QG293" s="23"/>
      <c r="QH293" s="23"/>
      <c r="QI293" s="23"/>
      <c r="QJ293" s="23"/>
      <c r="QK293" s="23"/>
      <c r="QL293" s="23"/>
      <c r="QM293" s="23"/>
      <c r="QN293" s="23"/>
      <c r="QO293" s="23"/>
      <c r="QP293" s="23"/>
      <c r="QQ293" s="23"/>
      <c r="QR293" s="23"/>
      <c r="QS293" s="23"/>
      <c r="QT293" s="23"/>
      <c r="QU293" s="23"/>
      <c r="QV293" s="23"/>
      <c r="QW293" s="23"/>
      <c r="QX293" s="23"/>
      <c r="QY293" s="23"/>
      <c r="QZ293" s="23"/>
      <c r="RA293" s="23"/>
      <c r="RB293" s="23"/>
      <c r="RC293" s="23"/>
      <c r="RD293" s="23"/>
      <c r="RE293" s="23"/>
      <c r="RF293" s="23"/>
      <c r="RG293" s="23"/>
      <c r="RH293" s="23"/>
      <c r="RI293" s="23"/>
      <c r="RJ293" s="23"/>
      <c r="RK293" s="23"/>
      <c r="RL293" s="23"/>
      <c r="RM293" s="23"/>
      <c r="RN293" s="23"/>
      <c r="RO293" s="23"/>
      <c r="RP293" s="23"/>
      <c r="RQ293" s="23"/>
      <c r="RR293" s="23"/>
      <c r="RS293" s="23"/>
      <c r="RT293" s="23"/>
      <c r="RU293" s="23"/>
      <c r="RV293" s="23"/>
      <c r="RW293" s="23"/>
      <c r="RX293" s="23"/>
      <c r="RY293" s="23"/>
      <c r="RZ293" s="23"/>
      <c r="SA293" s="23"/>
      <c r="SB293" s="23"/>
      <c r="SC293" s="23"/>
      <c r="SD293" s="23"/>
      <c r="SE293" s="23"/>
      <c r="SF293" s="23"/>
      <c r="SG293" s="23"/>
      <c r="SH293" s="23"/>
      <c r="SI293" s="23"/>
      <c r="SJ293" s="23"/>
      <c r="SK293" s="23"/>
      <c r="SL293" s="23"/>
      <c r="SM293" s="23"/>
      <c r="SN293" s="23"/>
      <c r="SO293" s="23"/>
      <c r="SP293" s="23"/>
      <c r="SQ293" s="23"/>
      <c r="SR293" s="23"/>
      <c r="SS293" s="23"/>
      <c r="ST293" s="23"/>
      <c r="SU293" s="23"/>
      <c r="SV293" s="23"/>
      <c r="SW293" s="23"/>
      <c r="SX293" s="23"/>
      <c r="SY293" s="23"/>
      <c r="SZ293" s="23"/>
      <c r="TA293" s="23"/>
      <c r="TB293" s="23"/>
      <c r="TC293" s="23"/>
      <c r="TD293" s="23"/>
      <c r="TE293" s="23"/>
      <c r="TF293" s="23"/>
      <c r="TG293" s="23"/>
    </row>
    <row r="294" spans="1:527" s="22" customFormat="1" ht="112.5" customHeight="1" x14ac:dyDescent="0.25">
      <c r="A294" s="103" t="s">
        <v>299</v>
      </c>
      <c r="B294" s="42" t="str">
        <f>'дод 8'!A222</f>
        <v>7691</v>
      </c>
      <c r="C294" s="42" t="str">
        <f>'дод 8'!B222</f>
        <v>0490</v>
      </c>
      <c r="D294" s="36" t="str">
        <f>'дод 8'!C222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94" s="99">
        <f>F294+I294</f>
        <v>0</v>
      </c>
      <c r="F294" s="99"/>
      <c r="G294" s="99"/>
      <c r="H294" s="99"/>
      <c r="I294" s="99"/>
      <c r="J294" s="99">
        <f t="shared" si="137"/>
        <v>2596250.2999999998</v>
      </c>
      <c r="K294" s="99"/>
      <c r="L294" s="99">
        <f>1060391+1535859.3</f>
        <v>2596250.2999999998</v>
      </c>
      <c r="M294" s="99"/>
      <c r="N294" s="99"/>
      <c r="O294" s="99"/>
      <c r="P294" s="99">
        <f>E294+J294</f>
        <v>2596250.2999999998</v>
      </c>
      <c r="Q294" s="23"/>
      <c r="R294" s="32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  <c r="GB294" s="23"/>
      <c r="GC294" s="23"/>
      <c r="GD294" s="23"/>
      <c r="GE294" s="23"/>
      <c r="GF294" s="23"/>
      <c r="GG294" s="23"/>
      <c r="GH294" s="23"/>
      <c r="GI294" s="23"/>
      <c r="GJ294" s="23"/>
      <c r="GK294" s="23"/>
      <c r="GL294" s="23"/>
      <c r="GM294" s="23"/>
      <c r="GN294" s="23"/>
      <c r="GO294" s="23"/>
      <c r="GP294" s="23"/>
      <c r="GQ294" s="23"/>
      <c r="GR294" s="23"/>
      <c r="GS294" s="23"/>
      <c r="GT294" s="23"/>
      <c r="GU294" s="23"/>
      <c r="GV294" s="23"/>
      <c r="GW294" s="23"/>
      <c r="GX294" s="23"/>
      <c r="GY294" s="23"/>
      <c r="GZ294" s="23"/>
      <c r="HA294" s="23"/>
      <c r="HB294" s="23"/>
      <c r="HC294" s="23"/>
      <c r="HD294" s="23"/>
      <c r="HE294" s="23"/>
      <c r="HF294" s="23"/>
      <c r="HG294" s="23"/>
      <c r="HH294" s="23"/>
      <c r="HI294" s="23"/>
      <c r="HJ294" s="23"/>
      <c r="HK294" s="23"/>
      <c r="HL294" s="23"/>
      <c r="HM294" s="23"/>
      <c r="HN294" s="23"/>
      <c r="HO294" s="23"/>
      <c r="HP294" s="23"/>
      <c r="HQ294" s="23"/>
      <c r="HR294" s="23"/>
      <c r="HS294" s="23"/>
      <c r="HT294" s="23"/>
      <c r="HU294" s="23"/>
      <c r="HV294" s="23"/>
      <c r="HW294" s="23"/>
      <c r="HX294" s="23"/>
      <c r="HY294" s="23"/>
      <c r="HZ294" s="23"/>
      <c r="IA294" s="23"/>
      <c r="IB294" s="23"/>
      <c r="IC294" s="23"/>
      <c r="ID294" s="23"/>
      <c r="IE294" s="23"/>
      <c r="IF294" s="23"/>
      <c r="IG294" s="23"/>
      <c r="IH294" s="23"/>
      <c r="II294" s="23"/>
      <c r="IJ294" s="23"/>
      <c r="IK294" s="23"/>
      <c r="IL294" s="23"/>
      <c r="IM294" s="23"/>
      <c r="IN294" s="23"/>
      <c r="IO294" s="23"/>
      <c r="IP294" s="23"/>
      <c r="IQ294" s="23"/>
      <c r="IR294" s="23"/>
      <c r="IS294" s="23"/>
      <c r="IT294" s="23"/>
      <c r="IU294" s="23"/>
      <c r="IV294" s="23"/>
      <c r="IW294" s="23"/>
      <c r="IX294" s="23"/>
      <c r="IY294" s="23"/>
      <c r="IZ294" s="23"/>
      <c r="JA294" s="23"/>
      <c r="JB294" s="23"/>
      <c r="JC294" s="23"/>
      <c r="JD294" s="23"/>
      <c r="JE294" s="23"/>
      <c r="JF294" s="23"/>
      <c r="JG294" s="23"/>
      <c r="JH294" s="23"/>
      <c r="JI294" s="23"/>
      <c r="JJ294" s="23"/>
      <c r="JK294" s="23"/>
      <c r="JL294" s="23"/>
      <c r="JM294" s="23"/>
      <c r="JN294" s="23"/>
      <c r="JO294" s="23"/>
      <c r="JP294" s="23"/>
      <c r="JQ294" s="23"/>
      <c r="JR294" s="23"/>
      <c r="JS294" s="23"/>
      <c r="JT294" s="23"/>
      <c r="JU294" s="23"/>
      <c r="JV294" s="23"/>
      <c r="JW294" s="23"/>
      <c r="JX294" s="23"/>
      <c r="JY294" s="23"/>
      <c r="JZ294" s="23"/>
      <c r="KA294" s="23"/>
      <c r="KB294" s="23"/>
      <c r="KC294" s="23"/>
      <c r="KD294" s="23"/>
      <c r="KE294" s="23"/>
      <c r="KF294" s="23"/>
      <c r="KG294" s="23"/>
      <c r="KH294" s="23"/>
      <c r="KI294" s="23"/>
      <c r="KJ294" s="23"/>
      <c r="KK294" s="23"/>
      <c r="KL294" s="23"/>
      <c r="KM294" s="23"/>
      <c r="KN294" s="23"/>
      <c r="KO294" s="23"/>
      <c r="KP294" s="23"/>
      <c r="KQ294" s="23"/>
      <c r="KR294" s="23"/>
      <c r="KS294" s="23"/>
      <c r="KT294" s="23"/>
      <c r="KU294" s="23"/>
      <c r="KV294" s="23"/>
      <c r="KW294" s="23"/>
      <c r="KX294" s="23"/>
      <c r="KY294" s="23"/>
      <c r="KZ294" s="23"/>
      <c r="LA294" s="23"/>
      <c r="LB294" s="23"/>
      <c r="LC294" s="23"/>
      <c r="LD294" s="23"/>
      <c r="LE294" s="23"/>
      <c r="LF294" s="23"/>
      <c r="LG294" s="23"/>
      <c r="LH294" s="23"/>
      <c r="LI294" s="23"/>
      <c r="LJ294" s="23"/>
      <c r="LK294" s="23"/>
      <c r="LL294" s="23"/>
      <c r="LM294" s="23"/>
      <c r="LN294" s="23"/>
      <c r="LO294" s="23"/>
      <c r="LP294" s="23"/>
      <c r="LQ294" s="23"/>
      <c r="LR294" s="23"/>
      <c r="LS294" s="23"/>
      <c r="LT294" s="23"/>
      <c r="LU294" s="23"/>
      <c r="LV294" s="23"/>
      <c r="LW294" s="23"/>
      <c r="LX294" s="23"/>
      <c r="LY294" s="23"/>
      <c r="LZ294" s="23"/>
      <c r="MA294" s="23"/>
      <c r="MB294" s="23"/>
      <c r="MC294" s="23"/>
      <c r="MD294" s="23"/>
      <c r="ME294" s="23"/>
      <c r="MF294" s="23"/>
      <c r="MG294" s="23"/>
      <c r="MH294" s="23"/>
      <c r="MI294" s="23"/>
      <c r="MJ294" s="23"/>
      <c r="MK294" s="23"/>
      <c r="ML294" s="23"/>
      <c r="MM294" s="23"/>
      <c r="MN294" s="23"/>
      <c r="MO294" s="23"/>
      <c r="MP294" s="23"/>
      <c r="MQ294" s="23"/>
      <c r="MR294" s="23"/>
      <c r="MS294" s="23"/>
      <c r="MT294" s="23"/>
      <c r="MU294" s="23"/>
      <c r="MV294" s="23"/>
      <c r="MW294" s="23"/>
      <c r="MX294" s="23"/>
      <c r="MY294" s="23"/>
      <c r="MZ294" s="23"/>
      <c r="NA294" s="23"/>
      <c r="NB294" s="23"/>
      <c r="NC294" s="23"/>
      <c r="ND294" s="23"/>
      <c r="NE294" s="23"/>
      <c r="NF294" s="23"/>
      <c r="NG294" s="23"/>
      <c r="NH294" s="23"/>
      <c r="NI294" s="23"/>
      <c r="NJ294" s="23"/>
      <c r="NK294" s="23"/>
      <c r="NL294" s="23"/>
      <c r="NM294" s="23"/>
      <c r="NN294" s="23"/>
      <c r="NO294" s="23"/>
      <c r="NP294" s="23"/>
      <c r="NQ294" s="23"/>
      <c r="NR294" s="23"/>
      <c r="NS294" s="23"/>
      <c r="NT294" s="23"/>
      <c r="NU294" s="23"/>
      <c r="NV294" s="23"/>
      <c r="NW294" s="23"/>
      <c r="NX294" s="23"/>
      <c r="NY294" s="23"/>
      <c r="NZ294" s="23"/>
      <c r="OA294" s="23"/>
      <c r="OB294" s="23"/>
      <c r="OC294" s="23"/>
      <c r="OD294" s="23"/>
      <c r="OE294" s="23"/>
      <c r="OF294" s="23"/>
      <c r="OG294" s="23"/>
      <c r="OH294" s="23"/>
      <c r="OI294" s="23"/>
      <c r="OJ294" s="23"/>
      <c r="OK294" s="23"/>
      <c r="OL294" s="23"/>
      <c r="OM294" s="23"/>
      <c r="ON294" s="23"/>
      <c r="OO294" s="23"/>
      <c r="OP294" s="23"/>
      <c r="OQ294" s="23"/>
      <c r="OR294" s="23"/>
      <c r="OS294" s="23"/>
      <c r="OT294" s="23"/>
      <c r="OU294" s="23"/>
      <c r="OV294" s="23"/>
      <c r="OW294" s="23"/>
      <c r="OX294" s="23"/>
      <c r="OY294" s="23"/>
      <c r="OZ294" s="23"/>
      <c r="PA294" s="23"/>
      <c r="PB294" s="23"/>
      <c r="PC294" s="23"/>
      <c r="PD294" s="23"/>
      <c r="PE294" s="23"/>
      <c r="PF294" s="23"/>
      <c r="PG294" s="23"/>
      <c r="PH294" s="23"/>
      <c r="PI294" s="23"/>
      <c r="PJ294" s="23"/>
      <c r="PK294" s="23"/>
      <c r="PL294" s="23"/>
      <c r="PM294" s="23"/>
      <c r="PN294" s="23"/>
      <c r="PO294" s="23"/>
      <c r="PP294" s="23"/>
      <c r="PQ294" s="23"/>
      <c r="PR294" s="23"/>
      <c r="PS294" s="23"/>
      <c r="PT294" s="23"/>
      <c r="PU294" s="23"/>
      <c r="PV294" s="23"/>
      <c r="PW294" s="23"/>
      <c r="PX294" s="23"/>
      <c r="PY294" s="23"/>
      <c r="PZ294" s="23"/>
      <c r="QA294" s="23"/>
      <c r="QB294" s="23"/>
      <c r="QC294" s="23"/>
      <c r="QD294" s="23"/>
      <c r="QE294" s="23"/>
      <c r="QF294" s="23"/>
      <c r="QG294" s="23"/>
      <c r="QH294" s="23"/>
      <c r="QI294" s="23"/>
      <c r="QJ294" s="23"/>
      <c r="QK294" s="23"/>
      <c r="QL294" s="23"/>
      <c r="QM294" s="23"/>
      <c r="QN294" s="23"/>
      <c r="QO294" s="23"/>
      <c r="QP294" s="23"/>
      <c r="QQ294" s="23"/>
      <c r="QR294" s="23"/>
      <c r="QS294" s="23"/>
      <c r="QT294" s="23"/>
      <c r="QU294" s="23"/>
      <c r="QV294" s="23"/>
      <c r="QW294" s="23"/>
      <c r="QX294" s="23"/>
      <c r="QY294" s="23"/>
      <c r="QZ294" s="23"/>
      <c r="RA294" s="23"/>
      <c r="RB294" s="23"/>
      <c r="RC294" s="23"/>
      <c r="RD294" s="23"/>
      <c r="RE294" s="23"/>
      <c r="RF294" s="23"/>
      <c r="RG294" s="23"/>
      <c r="RH294" s="23"/>
      <c r="RI294" s="23"/>
      <c r="RJ294" s="23"/>
      <c r="RK294" s="23"/>
      <c r="RL294" s="23"/>
      <c r="RM294" s="23"/>
      <c r="RN294" s="23"/>
      <c r="RO294" s="23"/>
      <c r="RP294" s="23"/>
      <c r="RQ294" s="23"/>
      <c r="RR294" s="23"/>
      <c r="RS294" s="23"/>
      <c r="RT294" s="23"/>
      <c r="RU294" s="23"/>
      <c r="RV294" s="23"/>
      <c r="RW294" s="23"/>
      <c r="RX294" s="23"/>
      <c r="RY294" s="23"/>
      <c r="RZ294" s="23"/>
      <c r="SA294" s="23"/>
      <c r="SB294" s="23"/>
      <c r="SC294" s="23"/>
      <c r="SD294" s="23"/>
      <c r="SE294" s="23"/>
      <c r="SF294" s="23"/>
      <c r="SG294" s="23"/>
      <c r="SH294" s="23"/>
      <c r="SI294" s="23"/>
      <c r="SJ294" s="23"/>
      <c r="SK294" s="23"/>
      <c r="SL294" s="23"/>
      <c r="SM294" s="23"/>
      <c r="SN294" s="23"/>
      <c r="SO294" s="23"/>
      <c r="SP294" s="23"/>
      <c r="SQ294" s="23"/>
      <c r="SR294" s="23"/>
      <c r="SS294" s="23"/>
      <c r="ST294" s="23"/>
      <c r="SU294" s="23"/>
      <c r="SV294" s="23"/>
      <c r="SW294" s="23"/>
      <c r="SX294" s="23"/>
      <c r="SY294" s="23"/>
      <c r="SZ294" s="23"/>
      <c r="TA294" s="23"/>
      <c r="TB294" s="23"/>
      <c r="TC294" s="23"/>
      <c r="TD294" s="23"/>
      <c r="TE294" s="23"/>
      <c r="TF294" s="23"/>
      <c r="TG294" s="23"/>
    </row>
    <row r="295" spans="1:527" s="27" customFormat="1" ht="34.5" customHeight="1" x14ac:dyDescent="0.25">
      <c r="A295" s="110" t="s">
        <v>212</v>
      </c>
      <c r="B295" s="112"/>
      <c r="C295" s="112"/>
      <c r="D295" s="107" t="s">
        <v>42</v>
      </c>
      <c r="E295" s="95">
        <f>E296</f>
        <v>4340725</v>
      </c>
      <c r="F295" s="95">
        <f t="shared" ref="F295:J296" si="151">F296</f>
        <v>4340725</v>
      </c>
      <c r="G295" s="95">
        <f t="shared" si="151"/>
        <v>3301600</v>
      </c>
      <c r="H295" s="95">
        <f t="shared" si="151"/>
        <v>65425</v>
      </c>
      <c r="I295" s="95">
        <f t="shared" si="151"/>
        <v>0</v>
      </c>
      <c r="J295" s="95">
        <f t="shared" si="151"/>
        <v>0</v>
      </c>
      <c r="K295" s="95">
        <f t="shared" ref="K295:K296" si="152">K296</f>
        <v>0</v>
      </c>
      <c r="L295" s="95">
        <f t="shared" ref="L295:L296" si="153">L296</f>
        <v>0</v>
      </c>
      <c r="M295" s="95">
        <f t="shared" ref="M295:M296" si="154">M296</f>
        <v>0</v>
      </c>
      <c r="N295" s="95">
        <f t="shared" ref="N295:N296" si="155">N296</f>
        <v>0</v>
      </c>
      <c r="O295" s="95">
        <f t="shared" ref="O295:P296" si="156">O296</f>
        <v>0</v>
      </c>
      <c r="P295" s="95">
        <f t="shared" si="156"/>
        <v>4340725</v>
      </c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  <c r="CU295" s="32"/>
      <c r="CV295" s="32"/>
      <c r="CW295" s="32"/>
      <c r="CX295" s="32"/>
      <c r="CY295" s="32"/>
      <c r="CZ295" s="32"/>
      <c r="DA295" s="32"/>
      <c r="DB295" s="32"/>
      <c r="DC295" s="32"/>
      <c r="DD295" s="32"/>
      <c r="DE295" s="32"/>
      <c r="DF295" s="32"/>
      <c r="DG295" s="32"/>
      <c r="DH295" s="32"/>
      <c r="DI295" s="32"/>
      <c r="DJ295" s="32"/>
      <c r="DK295" s="32"/>
      <c r="DL295" s="32"/>
      <c r="DM295" s="32"/>
      <c r="DN295" s="32"/>
      <c r="DO295" s="32"/>
      <c r="DP295" s="32"/>
      <c r="DQ295" s="32"/>
      <c r="DR295" s="32"/>
      <c r="DS295" s="32"/>
      <c r="DT295" s="32"/>
      <c r="DU295" s="32"/>
      <c r="DV295" s="32"/>
      <c r="DW295" s="32"/>
      <c r="DX295" s="32"/>
      <c r="DY295" s="32"/>
      <c r="DZ295" s="32"/>
      <c r="EA295" s="32"/>
      <c r="EB295" s="32"/>
      <c r="EC295" s="32"/>
      <c r="ED295" s="32"/>
      <c r="EE295" s="32"/>
      <c r="EF295" s="32"/>
      <c r="EG295" s="32"/>
      <c r="EH295" s="32"/>
      <c r="EI295" s="32"/>
      <c r="EJ295" s="32"/>
      <c r="EK295" s="32"/>
      <c r="EL295" s="32"/>
      <c r="EM295" s="32"/>
      <c r="EN295" s="32"/>
      <c r="EO295" s="32"/>
      <c r="EP295" s="32"/>
      <c r="EQ295" s="32"/>
      <c r="ER295" s="32"/>
      <c r="ES295" s="32"/>
      <c r="ET295" s="32"/>
      <c r="EU295" s="32"/>
      <c r="EV295" s="32"/>
      <c r="EW295" s="32"/>
      <c r="EX295" s="32"/>
      <c r="EY295" s="32"/>
      <c r="EZ295" s="32"/>
      <c r="FA295" s="32"/>
      <c r="FB295" s="32"/>
      <c r="FC295" s="32"/>
      <c r="FD295" s="32"/>
      <c r="FE295" s="32"/>
      <c r="FF295" s="32"/>
      <c r="FG295" s="32"/>
      <c r="FH295" s="32"/>
      <c r="FI295" s="32"/>
      <c r="FJ295" s="32"/>
      <c r="FK295" s="32"/>
      <c r="FL295" s="32"/>
      <c r="FM295" s="32"/>
      <c r="FN295" s="32"/>
      <c r="FO295" s="32"/>
      <c r="FP295" s="32"/>
      <c r="FQ295" s="32"/>
      <c r="FR295" s="32"/>
      <c r="FS295" s="32"/>
      <c r="FT295" s="32"/>
      <c r="FU295" s="32"/>
      <c r="FV295" s="32"/>
      <c r="FW295" s="32"/>
      <c r="FX295" s="32"/>
      <c r="FY295" s="32"/>
      <c r="FZ295" s="32"/>
      <c r="GA295" s="32"/>
      <c r="GB295" s="32"/>
      <c r="GC295" s="32"/>
      <c r="GD295" s="32"/>
      <c r="GE295" s="32"/>
      <c r="GF295" s="32"/>
      <c r="GG295" s="32"/>
      <c r="GH295" s="32"/>
      <c r="GI295" s="32"/>
      <c r="GJ295" s="32"/>
      <c r="GK295" s="32"/>
      <c r="GL295" s="32"/>
      <c r="GM295" s="32"/>
      <c r="GN295" s="32"/>
      <c r="GO295" s="32"/>
      <c r="GP295" s="32"/>
      <c r="GQ295" s="32"/>
      <c r="GR295" s="32"/>
      <c r="GS295" s="32"/>
      <c r="GT295" s="32"/>
      <c r="GU295" s="32"/>
      <c r="GV295" s="32"/>
      <c r="GW295" s="32"/>
      <c r="GX295" s="32"/>
      <c r="GY295" s="32"/>
      <c r="GZ295" s="32"/>
      <c r="HA295" s="32"/>
      <c r="HB295" s="32"/>
      <c r="HC295" s="32"/>
      <c r="HD295" s="32"/>
      <c r="HE295" s="32"/>
      <c r="HF295" s="32"/>
      <c r="HG295" s="32"/>
      <c r="HH295" s="32"/>
      <c r="HI295" s="32"/>
      <c r="HJ295" s="32"/>
      <c r="HK295" s="32"/>
      <c r="HL295" s="32"/>
      <c r="HM295" s="32"/>
      <c r="HN295" s="32"/>
      <c r="HO295" s="32"/>
      <c r="HP295" s="32"/>
      <c r="HQ295" s="32"/>
      <c r="HR295" s="32"/>
      <c r="HS295" s="32"/>
      <c r="HT295" s="32"/>
      <c r="HU295" s="32"/>
      <c r="HV295" s="32"/>
      <c r="HW295" s="32"/>
      <c r="HX295" s="32"/>
      <c r="HY295" s="32"/>
      <c r="HZ295" s="32"/>
      <c r="IA295" s="32"/>
      <c r="IB295" s="32"/>
      <c r="IC295" s="32"/>
      <c r="ID295" s="32"/>
      <c r="IE295" s="32"/>
      <c r="IF295" s="32"/>
      <c r="IG295" s="32"/>
      <c r="IH295" s="32"/>
      <c r="II295" s="32"/>
      <c r="IJ295" s="32"/>
      <c r="IK295" s="32"/>
      <c r="IL295" s="32"/>
      <c r="IM295" s="32"/>
      <c r="IN295" s="32"/>
      <c r="IO295" s="32"/>
      <c r="IP295" s="32"/>
      <c r="IQ295" s="32"/>
      <c r="IR295" s="32"/>
      <c r="IS295" s="32"/>
      <c r="IT295" s="32"/>
      <c r="IU295" s="32"/>
      <c r="IV295" s="32"/>
      <c r="IW295" s="32"/>
      <c r="IX295" s="32"/>
      <c r="IY295" s="32"/>
      <c r="IZ295" s="32"/>
      <c r="JA295" s="32"/>
      <c r="JB295" s="32"/>
      <c r="JC295" s="32"/>
      <c r="JD295" s="32"/>
      <c r="JE295" s="32"/>
      <c r="JF295" s="32"/>
      <c r="JG295" s="32"/>
      <c r="JH295" s="32"/>
      <c r="JI295" s="32"/>
      <c r="JJ295" s="32"/>
      <c r="JK295" s="32"/>
      <c r="JL295" s="32"/>
      <c r="JM295" s="32"/>
      <c r="JN295" s="32"/>
      <c r="JO295" s="32"/>
      <c r="JP295" s="32"/>
      <c r="JQ295" s="32"/>
      <c r="JR295" s="32"/>
      <c r="JS295" s="32"/>
      <c r="JT295" s="32"/>
      <c r="JU295" s="32"/>
      <c r="JV295" s="32"/>
      <c r="JW295" s="32"/>
      <c r="JX295" s="32"/>
      <c r="JY295" s="32"/>
      <c r="JZ295" s="32"/>
      <c r="KA295" s="32"/>
      <c r="KB295" s="32"/>
      <c r="KC295" s="32"/>
      <c r="KD295" s="32"/>
      <c r="KE295" s="32"/>
      <c r="KF295" s="32"/>
      <c r="KG295" s="32"/>
      <c r="KH295" s="32"/>
      <c r="KI295" s="32"/>
      <c r="KJ295" s="32"/>
      <c r="KK295" s="32"/>
      <c r="KL295" s="32"/>
      <c r="KM295" s="32"/>
      <c r="KN295" s="32"/>
      <c r="KO295" s="32"/>
      <c r="KP295" s="32"/>
      <c r="KQ295" s="32"/>
      <c r="KR295" s="32"/>
      <c r="KS295" s="32"/>
      <c r="KT295" s="32"/>
      <c r="KU295" s="32"/>
      <c r="KV295" s="32"/>
      <c r="KW295" s="32"/>
      <c r="KX295" s="32"/>
      <c r="KY295" s="32"/>
      <c r="KZ295" s="32"/>
      <c r="LA295" s="32"/>
      <c r="LB295" s="32"/>
      <c r="LC295" s="32"/>
      <c r="LD295" s="32"/>
      <c r="LE295" s="32"/>
      <c r="LF295" s="32"/>
      <c r="LG295" s="32"/>
      <c r="LH295" s="32"/>
      <c r="LI295" s="32"/>
      <c r="LJ295" s="32"/>
      <c r="LK295" s="32"/>
      <c r="LL295" s="32"/>
      <c r="LM295" s="32"/>
      <c r="LN295" s="32"/>
      <c r="LO295" s="32"/>
      <c r="LP295" s="32"/>
      <c r="LQ295" s="32"/>
      <c r="LR295" s="32"/>
      <c r="LS295" s="32"/>
      <c r="LT295" s="32"/>
      <c r="LU295" s="32"/>
      <c r="LV295" s="32"/>
      <c r="LW295" s="32"/>
      <c r="LX295" s="32"/>
      <c r="LY295" s="32"/>
      <c r="LZ295" s="32"/>
      <c r="MA295" s="32"/>
      <c r="MB295" s="32"/>
      <c r="MC295" s="32"/>
      <c r="MD295" s="32"/>
      <c r="ME295" s="32"/>
      <c r="MF295" s="32"/>
      <c r="MG295" s="32"/>
      <c r="MH295" s="32"/>
      <c r="MI295" s="32"/>
      <c r="MJ295" s="32"/>
      <c r="MK295" s="32"/>
      <c r="ML295" s="32"/>
      <c r="MM295" s="32"/>
      <c r="MN295" s="32"/>
      <c r="MO295" s="32"/>
      <c r="MP295" s="32"/>
      <c r="MQ295" s="32"/>
      <c r="MR295" s="32"/>
      <c r="MS295" s="32"/>
      <c r="MT295" s="32"/>
      <c r="MU295" s="32"/>
      <c r="MV295" s="32"/>
      <c r="MW295" s="32"/>
      <c r="MX295" s="32"/>
      <c r="MY295" s="32"/>
      <c r="MZ295" s="32"/>
      <c r="NA295" s="32"/>
      <c r="NB295" s="32"/>
      <c r="NC295" s="32"/>
      <c r="ND295" s="32"/>
      <c r="NE295" s="32"/>
      <c r="NF295" s="32"/>
      <c r="NG295" s="32"/>
      <c r="NH295" s="32"/>
      <c r="NI295" s="32"/>
      <c r="NJ295" s="32"/>
      <c r="NK295" s="32"/>
      <c r="NL295" s="32"/>
      <c r="NM295" s="32"/>
      <c r="NN295" s="32"/>
      <c r="NO295" s="32"/>
      <c r="NP295" s="32"/>
      <c r="NQ295" s="32"/>
      <c r="NR295" s="32"/>
      <c r="NS295" s="32"/>
      <c r="NT295" s="32"/>
      <c r="NU295" s="32"/>
      <c r="NV295" s="32"/>
      <c r="NW295" s="32"/>
      <c r="NX295" s="32"/>
      <c r="NY295" s="32"/>
      <c r="NZ295" s="32"/>
      <c r="OA295" s="32"/>
      <c r="OB295" s="32"/>
      <c r="OC295" s="32"/>
      <c r="OD295" s="32"/>
      <c r="OE295" s="32"/>
      <c r="OF295" s="32"/>
      <c r="OG295" s="32"/>
      <c r="OH295" s="32"/>
      <c r="OI295" s="32"/>
      <c r="OJ295" s="32"/>
      <c r="OK295" s="32"/>
      <c r="OL295" s="32"/>
      <c r="OM295" s="32"/>
      <c r="ON295" s="32"/>
      <c r="OO295" s="32"/>
      <c r="OP295" s="32"/>
      <c r="OQ295" s="32"/>
      <c r="OR295" s="32"/>
      <c r="OS295" s="32"/>
      <c r="OT295" s="32"/>
      <c r="OU295" s="32"/>
      <c r="OV295" s="32"/>
      <c r="OW295" s="32"/>
      <c r="OX295" s="32"/>
      <c r="OY295" s="32"/>
      <c r="OZ295" s="32"/>
      <c r="PA295" s="32"/>
      <c r="PB295" s="32"/>
      <c r="PC295" s="32"/>
      <c r="PD295" s="32"/>
      <c r="PE295" s="32"/>
      <c r="PF295" s="32"/>
      <c r="PG295" s="32"/>
      <c r="PH295" s="32"/>
      <c r="PI295" s="32"/>
      <c r="PJ295" s="32"/>
      <c r="PK295" s="32"/>
      <c r="PL295" s="32"/>
      <c r="PM295" s="32"/>
      <c r="PN295" s="32"/>
      <c r="PO295" s="32"/>
      <c r="PP295" s="32"/>
      <c r="PQ295" s="32"/>
      <c r="PR295" s="32"/>
      <c r="PS295" s="32"/>
      <c r="PT295" s="32"/>
      <c r="PU295" s="32"/>
      <c r="PV295" s="32"/>
      <c r="PW295" s="32"/>
      <c r="PX295" s="32"/>
      <c r="PY295" s="32"/>
      <c r="PZ295" s="32"/>
      <c r="QA295" s="32"/>
      <c r="QB295" s="32"/>
      <c r="QC295" s="32"/>
      <c r="QD295" s="32"/>
      <c r="QE295" s="32"/>
      <c r="QF295" s="32"/>
      <c r="QG295" s="32"/>
      <c r="QH295" s="32"/>
      <c r="QI295" s="32"/>
      <c r="QJ295" s="32"/>
      <c r="QK295" s="32"/>
      <c r="QL295" s="32"/>
      <c r="QM295" s="32"/>
      <c r="QN295" s="32"/>
      <c r="QO295" s="32"/>
      <c r="QP295" s="32"/>
      <c r="QQ295" s="32"/>
      <c r="QR295" s="32"/>
      <c r="QS295" s="32"/>
      <c r="QT295" s="32"/>
      <c r="QU295" s="32"/>
      <c r="QV295" s="32"/>
      <c r="QW295" s="32"/>
      <c r="QX295" s="32"/>
      <c r="QY295" s="32"/>
      <c r="QZ295" s="32"/>
      <c r="RA295" s="32"/>
      <c r="RB295" s="32"/>
      <c r="RC295" s="32"/>
      <c r="RD295" s="32"/>
      <c r="RE295" s="32"/>
      <c r="RF295" s="32"/>
      <c r="RG295" s="32"/>
      <c r="RH295" s="32"/>
      <c r="RI295" s="32"/>
      <c r="RJ295" s="32"/>
      <c r="RK295" s="32"/>
      <c r="RL295" s="32"/>
      <c r="RM295" s="32"/>
      <c r="RN295" s="32"/>
      <c r="RO295" s="32"/>
      <c r="RP295" s="32"/>
      <c r="RQ295" s="32"/>
      <c r="RR295" s="32"/>
      <c r="RS295" s="32"/>
      <c r="RT295" s="32"/>
      <c r="RU295" s="32"/>
      <c r="RV295" s="32"/>
      <c r="RW295" s="32"/>
      <c r="RX295" s="32"/>
      <c r="RY295" s="32"/>
      <c r="RZ295" s="32"/>
      <c r="SA295" s="32"/>
      <c r="SB295" s="32"/>
      <c r="SC295" s="32"/>
      <c r="SD295" s="32"/>
      <c r="SE295" s="32"/>
      <c r="SF295" s="32"/>
      <c r="SG295" s="32"/>
      <c r="SH295" s="32"/>
      <c r="SI295" s="32"/>
      <c r="SJ295" s="32"/>
      <c r="SK295" s="32"/>
      <c r="SL295" s="32"/>
      <c r="SM295" s="32"/>
      <c r="SN295" s="32"/>
      <c r="SO295" s="32"/>
      <c r="SP295" s="32"/>
      <c r="SQ295" s="32"/>
      <c r="SR295" s="32"/>
      <c r="SS295" s="32"/>
      <c r="ST295" s="32"/>
      <c r="SU295" s="32"/>
      <c r="SV295" s="32"/>
      <c r="SW295" s="32"/>
      <c r="SX295" s="32"/>
      <c r="SY295" s="32"/>
      <c r="SZ295" s="32"/>
      <c r="TA295" s="32"/>
      <c r="TB295" s="32"/>
      <c r="TC295" s="32"/>
      <c r="TD295" s="32"/>
      <c r="TE295" s="32"/>
      <c r="TF295" s="32"/>
      <c r="TG295" s="32"/>
    </row>
    <row r="296" spans="1:527" s="34" customFormat="1" ht="35.25" customHeight="1" x14ac:dyDescent="0.25">
      <c r="A296" s="96" t="s">
        <v>210</v>
      </c>
      <c r="B296" s="109"/>
      <c r="C296" s="109"/>
      <c r="D296" s="77" t="s">
        <v>42</v>
      </c>
      <c r="E296" s="98">
        <f>E297</f>
        <v>4340725</v>
      </c>
      <c r="F296" s="98">
        <f t="shared" si="151"/>
        <v>4340725</v>
      </c>
      <c r="G296" s="98">
        <f t="shared" si="151"/>
        <v>3301600</v>
      </c>
      <c r="H296" s="98">
        <f t="shared" si="151"/>
        <v>65425</v>
      </c>
      <c r="I296" s="98">
        <f t="shared" si="151"/>
        <v>0</v>
      </c>
      <c r="J296" s="98">
        <f t="shared" si="151"/>
        <v>0</v>
      </c>
      <c r="K296" s="98">
        <f t="shared" si="152"/>
        <v>0</v>
      </c>
      <c r="L296" s="98">
        <f t="shared" si="153"/>
        <v>0</v>
      </c>
      <c r="M296" s="98">
        <f t="shared" si="154"/>
        <v>0</v>
      </c>
      <c r="N296" s="98">
        <f t="shared" si="155"/>
        <v>0</v>
      </c>
      <c r="O296" s="98">
        <f t="shared" si="156"/>
        <v>0</v>
      </c>
      <c r="P296" s="98">
        <f t="shared" si="156"/>
        <v>4340725</v>
      </c>
      <c r="Q296" s="33"/>
      <c r="R296" s="32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  <c r="CA296" s="33"/>
      <c r="CB296" s="33"/>
      <c r="CC296" s="33"/>
      <c r="CD296" s="33"/>
      <c r="CE296" s="33"/>
      <c r="CF296" s="33"/>
      <c r="CG296" s="33"/>
      <c r="CH296" s="33"/>
      <c r="CI296" s="33"/>
      <c r="CJ296" s="33"/>
      <c r="CK296" s="33"/>
      <c r="CL296" s="33"/>
      <c r="CM296" s="33"/>
      <c r="CN296" s="33"/>
      <c r="CO296" s="33"/>
      <c r="CP296" s="33"/>
      <c r="CQ296" s="33"/>
      <c r="CR296" s="33"/>
      <c r="CS296" s="33"/>
      <c r="CT296" s="33"/>
      <c r="CU296" s="33"/>
      <c r="CV296" s="33"/>
      <c r="CW296" s="33"/>
      <c r="CX296" s="33"/>
      <c r="CY296" s="33"/>
      <c r="CZ296" s="33"/>
      <c r="DA296" s="33"/>
      <c r="DB296" s="33"/>
      <c r="DC296" s="33"/>
      <c r="DD296" s="33"/>
      <c r="DE296" s="33"/>
      <c r="DF296" s="33"/>
      <c r="DG296" s="33"/>
      <c r="DH296" s="33"/>
      <c r="DI296" s="33"/>
      <c r="DJ296" s="33"/>
      <c r="DK296" s="33"/>
      <c r="DL296" s="33"/>
      <c r="DM296" s="33"/>
      <c r="DN296" s="33"/>
      <c r="DO296" s="33"/>
      <c r="DP296" s="33"/>
      <c r="DQ296" s="33"/>
      <c r="DR296" s="33"/>
      <c r="DS296" s="33"/>
      <c r="DT296" s="33"/>
      <c r="DU296" s="33"/>
      <c r="DV296" s="33"/>
      <c r="DW296" s="33"/>
      <c r="DX296" s="33"/>
      <c r="DY296" s="33"/>
      <c r="DZ296" s="33"/>
      <c r="EA296" s="33"/>
      <c r="EB296" s="33"/>
      <c r="EC296" s="33"/>
      <c r="ED296" s="33"/>
      <c r="EE296" s="33"/>
      <c r="EF296" s="33"/>
      <c r="EG296" s="33"/>
      <c r="EH296" s="33"/>
      <c r="EI296" s="33"/>
      <c r="EJ296" s="33"/>
      <c r="EK296" s="33"/>
      <c r="EL296" s="33"/>
      <c r="EM296" s="33"/>
      <c r="EN296" s="33"/>
      <c r="EO296" s="33"/>
      <c r="EP296" s="33"/>
      <c r="EQ296" s="33"/>
      <c r="ER296" s="33"/>
      <c r="ES296" s="33"/>
      <c r="ET296" s="33"/>
      <c r="EU296" s="33"/>
      <c r="EV296" s="33"/>
      <c r="EW296" s="33"/>
      <c r="EX296" s="33"/>
      <c r="EY296" s="33"/>
      <c r="EZ296" s="33"/>
      <c r="FA296" s="33"/>
      <c r="FB296" s="33"/>
      <c r="FC296" s="33"/>
      <c r="FD296" s="33"/>
      <c r="FE296" s="33"/>
      <c r="FF296" s="33"/>
      <c r="FG296" s="33"/>
      <c r="FH296" s="33"/>
      <c r="FI296" s="33"/>
      <c r="FJ296" s="33"/>
      <c r="FK296" s="33"/>
      <c r="FL296" s="33"/>
      <c r="FM296" s="33"/>
      <c r="FN296" s="33"/>
      <c r="FO296" s="33"/>
      <c r="FP296" s="33"/>
      <c r="FQ296" s="33"/>
      <c r="FR296" s="33"/>
      <c r="FS296" s="33"/>
      <c r="FT296" s="33"/>
      <c r="FU296" s="33"/>
      <c r="FV296" s="33"/>
      <c r="FW296" s="33"/>
      <c r="FX296" s="33"/>
      <c r="FY296" s="33"/>
      <c r="FZ296" s="33"/>
      <c r="GA296" s="33"/>
      <c r="GB296" s="33"/>
      <c r="GC296" s="33"/>
      <c r="GD296" s="33"/>
      <c r="GE296" s="33"/>
      <c r="GF296" s="33"/>
      <c r="GG296" s="33"/>
      <c r="GH296" s="33"/>
      <c r="GI296" s="33"/>
      <c r="GJ296" s="33"/>
      <c r="GK296" s="33"/>
      <c r="GL296" s="33"/>
      <c r="GM296" s="33"/>
      <c r="GN296" s="33"/>
      <c r="GO296" s="33"/>
      <c r="GP296" s="33"/>
      <c r="GQ296" s="33"/>
      <c r="GR296" s="33"/>
      <c r="GS296" s="33"/>
      <c r="GT296" s="33"/>
      <c r="GU296" s="33"/>
      <c r="GV296" s="33"/>
      <c r="GW296" s="33"/>
      <c r="GX296" s="33"/>
      <c r="GY296" s="33"/>
      <c r="GZ296" s="33"/>
      <c r="HA296" s="33"/>
      <c r="HB296" s="33"/>
      <c r="HC296" s="33"/>
      <c r="HD296" s="33"/>
      <c r="HE296" s="33"/>
      <c r="HF296" s="33"/>
      <c r="HG296" s="33"/>
      <c r="HH296" s="33"/>
      <c r="HI296" s="33"/>
      <c r="HJ296" s="33"/>
      <c r="HK296" s="33"/>
      <c r="HL296" s="33"/>
      <c r="HM296" s="33"/>
      <c r="HN296" s="33"/>
      <c r="HO296" s="33"/>
      <c r="HP296" s="33"/>
      <c r="HQ296" s="33"/>
      <c r="HR296" s="33"/>
      <c r="HS296" s="33"/>
      <c r="HT296" s="33"/>
      <c r="HU296" s="33"/>
      <c r="HV296" s="33"/>
      <c r="HW296" s="33"/>
      <c r="HX296" s="33"/>
      <c r="HY296" s="33"/>
      <c r="HZ296" s="33"/>
      <c r="IA296" s="33"/>
      <c r="IB296" s="33"/>
      <c r="IC296" s="33"/>
      <c r="ID296" s="33"/>
      <c r="IE296" s="33"/>
      <c r="IF296" s="33"/>
      <c r="IG296" s="33"/>
      <c r="IH296" s="33"/>
      <c r="II296" s="33"/>
      <c r="IJ296" s="33"/>
      <c r="IK296" s="33"/>
      <c r="IL296" s="33"/>
      <c r="IM296" s="33"/>
      <c r="IN296" s="33"/>
      <c r="IO296" s="33"/>
      <c r="IP296" s="33"/>
      <c r="IQ296" s="33"/>
      <c r="IR296" s="33"/>
      <c r="IS296" s="33"/>
      <c r="IT296" s="33"/>
      <c r="IU296" s="33"/>
      <c r="IV296" s="33"/>
      <c r="IW296" s="33"/>
      <c r="IX296" s="33"/>
      <c r="IY296" s="33"/>
      <c r="IZ296" s="33"/>
      <c r="JA296" s="33"/>
      <c r="JB296" s="33"/>
      <c r="JC296" s="33"/>
      <c r="JD296" s="33"/>
      <c r="JE296" s="33"/>
      <c r="JF296" s="33"/>
      <c r="JG296" s="33"/>
      <c r="JH296" s="33"/>
      <c r="JI296" s="33"/>
      <c r="JJ296" s="33"/>
      <c r="JK296" s="33"/>
      <c r="JL296" s="33"/>
      <c r="JM296" s="33"/>
      <c r="JN296" s="33"/>
      <c r="JO296" s="33"/>
      <c r="JP296" s="33"/>
      <c r="JQ296" s="33"/>
      <c r="JR296" s="33"/>
      <c r="JS296" s="33"/>
      <c r="JT296" s="33"/>
      <c r="JU296" s="33"/>
      <c r="JV296" s="33"/>
      <c r="JW296" s="33"/>
      <c r="JX296" s="33"/>
      <c r="JY296" s="33"/>
      <c r="JZ296" s="33"/>
      <c r="KA296" s="33"/>
      <c r="KB296" s="33"/>
      <c r="KC296" s="33"/>
      <c r="KD296" s="33"/>
      <c r="KE296" s="33"/>
      <c r="KF296" s="33"/>
      <c r="KG296" s="33"/>
      <c r="KH296" s="33"/>
      <c r="KI296" s="33"/>
      <c r="KJ296" s="33"/>
      <c r="KK296" s="33"/>
      <c r="KL296" s="33"/>
      <c r="KM296" s="33"/>
      <c r="KN296" s="33"/>
      <c r="KO296" s="33"/>
      <c r="KP296" s="33"/>
      <c r="KQ296" s="33"/>
      <c r="KR296" s="33"/>
      <c r="KS296" s="33"/>
      <c r="KT296" s="33"/>
      <c r="KU296" s="33"/>
      <c r="KV296" s="33"/>
      <c r="KW296" s="33"/>
      <c r="KX296" s="33"/>
      <c r="KY296" s="33"/>
      <c r="KZ296" s="33"/>
      <c r="LA296" s="33"/>
      <c r="LB296" s="33"/>
      <c r="LC296" s="33"/>
      <c r="LD296" s="33"/>
      <c r="LE296" s="33"/>
      <c r="LF296" s="33"/>
      <c r="LG296" s="33"/>
      <c r="LH296" s="33"/>
      <c r="LI296" s="33"/>
      <c r="LJ296" s="33"/>
      <c r="LK296" s="33"/>
      <c r="LL296" s="33"/>
      <c r="LM296" s="33"/>
      <c r="LN296" s="33"/>
      <c r="LO296" s="33"/>
      <c r="LP296" s="33"/>
      <c r="LQ296" s="33"/>
      <c r="LR296" s="33"/>
      <c r="LS296" s="33"/>
      <c r="LT296" s="33"/>
      <c r="LU296" s="33"/>
      <c r="LV296" s="33"/>
      <c r="LW296" s="33"/>
      <c r="LX296" s="33"/>
      <c r="LY296" s="33"/>
      <c r="LZ296" s="33"/>
      <c r="MA296" s="33"/>
      <c r="MB296" s="33"/>
      <c r="MC296" s="33"/>
      <c r="MD296" s="33"/>
      <c r="ME296" s="33"/>
      <c r="MF296" s="33"/>
      <c r="MG296" s="33"/>
      <c r="MH296" s="33"/>
      <c r="MI296" s="33"/>
      <c r="MJ296" s="33"/>
      <c r="MK296" s="33"/>
      <c r="ML296" s="33"/>
      <c r="MM296" s="33"/>
      <c r="MN296" s="33"/>
      <c r="MO296" s="33"/>
      <c r="MP296" s="33"/>
      <c r="MQ296" s="33"/>
      <c r="MR296" s="33"/>
      <c r="MS296" s="33"/>
      <c r="MT296" s="33"/>
      <c r="MU296" s="33"/>
      <c r="MV296" s="33"/>
      <c r="MW296" s="33"/>
      <c r="MX296" s="33"/>
      <c r="MY296" s="33"/>
      <c r="MZ296" s="33"/>
      <c r="NA296" s="33"/>
      <c r="NB296" s="33"/>
      <c r="NC296" s="33"/>
      <c r="ND296" s="33"/>
      <c r="NE296" s="33"/>
      <c r="NF296" s="33"/>
      <c r="NG296" s="33"/>
      <c r="NH296" s="33"/>
      <c r="NI296" s="33"/>
      <c r="NJ296" s="33"/>
      <c r="NK296" s="33"/>
      <c r="NL296" s="33"/>
      <c r="NM296" s="33"/>
      <c r="NN296" s="33"/>
      <c r="NO296" s="33"/>
      <c r="NP296" s="33"/>
      <c r="NQ296" s="33"/>
      <c r="NR296" s="33"/>
      <c r="NS296" s="33"/>
      <c r="NT296" s="33"/>
      <c r="NU296" s="33"/>
      <c r="NV296" s="33"/>
      <c r="NW296" s="33"/>
      <c r="NX296" s="33"/>
      <c r="NY296" s="33"/>
      <c r="NZ296" s="33"/>
      <c r="OA296" s="33"/>
      <c r="OB296" s="33"/>
      <c r="OC296" s="33"/>
      <c r="OD296" s="33"/>
      <c r="OE296" s="33"/>
      <c r="OF296" s="33"/>
      <c r="OG296" s="33"/>
      <c r="OH296" s="33"/>
      <c r="OI296" s="33"/>
      <c r="OJ296" s="33"/>
      <c r="OK296" s="33"/>
      <c r="OL296" s="33"/>
      <c r="OM296" s="33"/>
      <c r="ON296" s="33"/>
      <c r="OO296" s="33"/>
      <c r="OP296" s="33"/>
      <c r="OQ296" s="33"/>
      <c r="OR296" s="33"/>
      <c r="OS296" s="33"/>
      <c r="OT296" s="33"/>
      <c r="OU296" s="33"/>
      <c r="OV296" s="33"/>
      <c r="OW296" s="33"/>
      <c r="OX296" s="33"/>
      <c r="OY296" s="33"/>
      <c r="OZ296" s="33"/>
      <c r="PA296" s="33"/>
      <c r="PB296" s="33"/>
      <c r="PC296" s="33"/>
      <c r="PD296" s="33"/>
      <c r="PE296" s="33"/>
      <c r="PF296" s="33"/>
      <c r="PG296" s="33"/>
      <c r="PH296" s="33"/>
      <c r="PI296" s="33"/>
      <c r="PJ296" s="33"/>
      <c r="PK296" s="33"/>
      <c r="PL296" s="33"/>
      <c r="PM296" s="33"/>
      <c r="PN296" s="33"/>
      <c r="PO296" s="33"/>
      <c r="PP296" s="33"/>
      <c r="PQ296" s="33"/>
      <c r="PR296" s="33"/>
      <c r="PS296" s="33"/>
      <c r="PT296" s="33"/>
      <c r="PU296" s="33"/>
      <c r="PV296" s="33"/>
      <c r="PW296" s="33"/>
      <c r="PX296" s="33"/>
      <c r="PY296" s="33"/>
      <c r="PZ296" s="33"/>
      <c r="QA296" s="33"/>
      <c r="QB296" s="33"/>
      <c r="QC296" s="33"/>
      <c r="QD296" s="33"/>
      <c r="QE296" s="33"/>
      <c r="QF296" s="33"/>
      <c r="QG296" s="33"/>
      <c r="QH296" s="33"/>
      <c r="QI296" s="33"/>
      <c r="QJ296" s="33"/>
      <c r="QK296" s="33"/>
      <c r="QL296" s="33"/>
      <c r="QM296" s="33"/>
      <c r="QN296" s="33"/>
      <c r="QO296" s="33"/>
      <c r="QP296" s="33"/>
      <c r="QQ296" s="33"/>
      <c r="QR296" s="33"/>
      <c r="QS296" s="33"/>
      <c r="QT296" s="33"/>
      <c r="QU296" s="33"/>
      <c r="QV296" s="33"/>
      <c r="QW296" s="33"/>
      <c r="QX296" s="33"/>
      <c r="QY296" s="33"/>
      <c r="QZ296" s="33"/>
      <c r="RA296" s="33"/>
      <c r="RB296" s="33"/>
      <c r="RC296" s="33"/>
      <c r="RD296" s="33"/>
      <c r="RE296" s="33"/>
      <c r="RF296" s="33"/>
      <c r="RG296" s="33"/>
      <c r="RH296" s="33"/>
      <c r="RI296" s="33"/>
      <c r="RJ296" s="33"/>
      <c r="RK296" s="33"/>
      <c r="RL296" s="33"/>
      <c r="RM296" s="33"/>
      <c r="RN296" s="33"/>
      <c r="RO296" s="33"/>
      <c r="RP296" s="33"/>
      <c r="RQ296" s="33"/>
      <c r="RR296" s="33"/>
      <c r="RS296" s="33"/>
      <c r="RT296" s="33"/>
      <c r="RU296" s="33"/>
      <c r="RV296" s="33"/>
      <c r="RW296" s="33"/>
      <c r="RX296" s="33"/>
      <c r="RY296" s="33"/>
      <c r="RZ296" s="33"/>
      <c r="SA296" s="33"/>
      <c r="SB296" s="33"/>
      <c r="SC296" s="33"/>
      <c r="SD296" s="33"/>
      <c r="SE296" s="33"/>
      <c r="SF296" s="33"/>
      <c r="SG296" s="33"/>
      <c r="SH296" s="33"/>
      <c r="SI296" s="33"/>
      <c r="SJ296" s="33"/>
      <c r="SK296" s="33"/>
      <c r="SL296" s="33"/>
      <c r="SM296" s="33"/>
      <c r="SN296" s="33"/>
      <c r="SO296" s="33"/>
      <c r="SP296" s="33"/>
      <c r="SQ296" s="33"/>
      <c r="SR296" s="33"/>
      <c r="SS296" s="33"/>
      <c r="ST296" s="33"/>
      <c r="SU296" s="33"/>
      <c r="SV296" s="33"/>
      <c r="SW296" s="33"/>
      <c r="SX296" s="33"/>
      <c r="SY296" s="33"/>
      <c r="SZ296" s="33"/>
      <c r="TA296" s="33"/>
      <c r="TB296" s="33"/>
      <c r="TC296" s="33"/>
      <c r="TD296" s="33"/>
      <c r="TE296" s="33"/>
      <c r="TF296" s="33"/>
      <c r="TG296" s="33"/>
    </row>
    <row r="297" spans="1:527" s="22" customFormat="1" ht="49.5" customHeight="1" x14ac:dyDescent="0.25">
      <c r="A297" s="59" t="s">
        <v>211</v>
      </c>
      <c r="B297" s="93" t="str">
        <f>'дод 8'!A19</f>
        <v>0160</v>
      </c>
      <c r="C297" s="93" t="str">
        <f>'дод 8'!B19</f>
        <v>0111</v>
      </c>
      <c r="D297" s="36" t="s">
        <v>494</v>
      </c>
      <c r="E297" s="99">
        <f>F297+I297</f>
        <v>4340725</v>
      </c>
      <c r="F297" s="99">
        <f>4301300+20000+19425</f>
        <v>4340725</v>
      </c>
      <c r="G297" s="99">
        <v>3301600</v>
      </c>
      <c r="H297" s="99">
        <f>46000+19425</f>
        <v>65425</v>
      </c>
      <c r="I297" s="99"/>
      <c r="J297" s="99">
        <f>L297+O297</f>
        <v>0</v>
      </c>
      <c r="K297" s="99"/>
      <c r="L297" s="99"/>
      <c r="M297" s="99"/>
      <c r="N297" s="99"/>
      <c r="O297" s="99"/>
      <c r="P297" s="99">
        <f>E297+J297</f>
        <v>4340725</v>
      </c>
      <c r="Q297" s="23"/>
      <c r="R297" s="32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  <c r="DF297" s="23"/>
      <c r="DG297" s="23"/>
      <c r="DH297" s="23"/>
      <c r="DI297" s="23"/>
      <c r="DJ297" s="23"/>
      <c r="DK297" s="23"/>
      <c r="DL297" s="23"/>
      <c r="DM297" s="23"/>
      <c r="DN297" s="23"/>
      <c r="DO297" s="23"/>
      <c r="DP297" s="23"/>
      <c r="DQ297" s="23"/>
      <c r="DR297" s="23"/>
      <c r="DS297" s="23"/>
      <c r="DT297" s="23"/>
      <c r="DU297" s="23"/>
      <c r="DV297" s="23"/>
      <c r="DW297" s="23"/>
      <c r="DX297" s="23"/>
      <c r="DY297" s="23"/>
      <c r="DZ297" s="23"/>
      <c r="EA297" s="23"/>
      <c r="EB297" s="23"/>
      <c r="EC297" s="23"/>
      <c r="ED297" s="23"/>
      <c r="EE297" s="23"/>
      <c r="EF297" s="23"/>
      <c r="EG297" s="23"/>
      <c r="EH297" s="23"/>
      <c r="EI297" s="23"/>
      <c r="EJ297" s="23"/>
      <c r="EK297" s="23"/>
      <c r="EL297" s="23"/>
      <c r="EM297" s="23"/>
      <c r="EN297" s="23"/>
      <c r="EO297" s="23"/>
      <c r="EP297" s="23"/>
      <c r="EQ297" s="23"/>
      <c r="ER297" s="23"/>
      <c r="ES297" s="23"/>
      <c r="ET297" s="23"/>
      <c r="EU297" s="23"/>
      <c r="EV297" s="23"/>
      <c r="EW297" s="23"/>
      <c r="EX297" s="23"/>
      <c r="EY297" s="23"/>
      <c r="EZ297" s="23"/>
      <c r="FA297" s="23"/>
      <c r="FB297" s="23"/>
      <c r="FC297" s="23"/>
      <c r="FD297" s="23"/>
      <c r="FE297" s="23"/>
      <c r="FF297" s="23"/>
      <c r="FG297" s="23"/>
      <c r="FH297" s="23"/>
      <c r="FI297" s="23"/>
      <c r="FJ297" s="23"/>
      <c r="FK297" s="23"/>
      <c r="FL297" s="23"/>
      <c r="FM297" s="23"/>
      <c r="FN297" s="23"/>
      <c r="FO297" s="23"/>
      <c r="FP297" s="23"/>
      <c r="FQ297" s="23"/>
      <c r="FR297" s="23"/>
      <c r="FS297" s="23"/>
      <c r="FT297" s="23"/>
      <c r="FU297" s="23"/>
      <c r="FV297" s="23"/>
      <c r="FW297" s="23"/>
      <c r="FX297" s="23"/>
      <c r="FY297" s="23"/>
      <c r="FZ297" s="23"/>
      <c r="GA297" s="23"/>
      <c r="GB297" s="23"/>
      <c r="GC297" s="23"/>
      <c r="GD297" s="23"/>
      <c r="GE297" s="23"/>
      <c r="GF297" s="23"/>
      <c r="GG297" s="23"/>
      <c r="GH297" s="23"/>
      <c r="GI297" s="23"/>
      <c r="GJ297" s="23"/>
      <c r="GK297" s="23"/>
      <c r="GL297" s="23"/>
      <c r="GM297" s="23"/>
      <c r="GN297" s="23"/>
      <c r="GO297" s="23"/>
      <c r="GP297" s="23"/>
      <c r="GQ297" s="23"/>
      <c r="GR297" s="23"/>
      <c r="GS297" s="23"/>
      <c r="GT297" s="23"/>
      <c r="GU297" s="23"/>
      <c r="GV297" s="23"/>
      <c r="GW297" s="23"/>
      <c r="GX297" s="23"/>
      <c r="GY297" s="23"/>
      <c r="GZ297" s="23"/>
      <c r="HA297" s="23"/>
      <c r="HB297" s="23"/>
      <c r="HC297" s="23"/>
      <c r="HD297" s="23"/>
      <c r="HE297" s="23"/>
      <c r="HF297" s="23"/>
      <c r="HG297" s="23"/>
      <c r="HH297" s="23"/>
      <c r="HI297" s="23"/>
      <c r="HJ297" s="23"/>
      <c r="HK297" s="23"/>
      <c r="HL297" s="23"/>
      <c r="HM297" s="23"/>
      <c r="HN297" s="23"/>
      <c r="HO297" s="23"/>
      <c r="HP297" s="23"/>
      <c r="HQ297" s="23"/>
      <c r="HR297" s="23"/>
      <c r="HS297" s="23"/>
      <c r="HT297" s="23"/>
      <c r="HU297" s="23"/>
      <c r="HV297" s="23"/>
      <c r="HW297" s="23"/>
      <c r="HX297" s="23"/>
      <c r="HY297" s="23"/>
      <c r="HZ297" s="23"/>
      <c r="IA297" s="23"/>
      <c r="IB297" s="23"/>
      <c r="IC297" s="23"/>
      <c r="ID297" s="23"/>
      <c r="IE297" s="23"/>
      <c r="IF297" s="23"/>
      <c r="IG297" s="23"/>
      <c r="IH297" s="23"/>
      <c r="II297" s="23"/>
      <c r="IJ297" s="23"/>
      <c r="IK297" s="23"/>
      <c r="IL297" s="23"/>
      <c r="IM297" s="23"/>
      <c r="IN297" s="23"/>
      <c r="IO297" s="23"/>
      <c r="IP297" s="23"/>
      <c r="IQ297" s="23"/>
      <c r="IR297" s="23"/>
      <c r="IS297" s="23"/>
      <c r="IT297" s="23"/>
      <c r="IU297" s="23"/>
      <c r="IV297" s="23"/>
      <c r="IW297" s="23"/>
      <c r="IX297" s="23"/>
      <c r="IY297" s="23"/>
      <c r="IZ297" s="23"/>
      <c r="JA297" s="23"/>
      <c r="JB297" s="23"/>
      <c r="JC297" s="23"/>
      <c r="JD297" s="23"/>
      <c r="JE297" s="23"/>
      <c r="JF297" s="23"/>
      <c r="JG297" s="23"/>
      <c r="JH297" s="23"/>
      <c r="JI297" s="23"/>
      <c r="JJ297" s="23"/>
      <c r="JK297" s="23"/>
      <c r="JL297" s="23"/>
      <c r="JM297" s="23"/>
      <c r="JN297" s="23"/>
      <c r="JO297" s="23"/>
      <c r="JP297" s="23"/>
      <c r="JQ297" s="23"/>
      <c r="JR297" s="23"/>
      <c r="JS297" s="23"/>
      <c r="JT297" s="23"/>
      <c r="JU297" s="23"/>
      <c r="JV297" s="23"/>
      <c r="JW297" s="23"/>
      <c r="JX297" s="23"/>
      <c r="JY297" s="23"/>
      <c r="JZ297" s="23"/>
      <c r="KA297" s="23"/>
      <c r="KB297" s="23"/>
      <c r="KC297" s="23"/>
      <c r="KD297" s="23"/>
      <c r="KE297" s="23"/>
      <c r="KF297" s="23"/>
      <c r="KG297" s="23"/>
      <c r="KH297" s="23"/>
      <c r="KI297" s="23"/>
      <c r="KJ297" s="23"/>
      <c r="KK297" s="23"/>
      <c r="KL297" s="23"/>
      <c r="KM297" s="23"/>
      <c r="KN297" s="23"/>
      <c r="KO297" s="23"/>
      <c r="KP297" s="23"/>
      <c r="KQ297" s="23"/>
      <c r="KR297" s="23"/>
      <c r="KS297" s="23"/>
      <c r="KT297" s="23"/>
      <c r="KU297" s="23"/>
      <c r="KV297" s="23"/>
      <c r="KW297" s="23"/>
      <c r="KX297" s="23"/>
      <c r="KY297" s="23"/>
      <c r="KZ297" s="23"/>
      <c r="LA297" s="23"/>
      <c r="LB297" s="23"/>
      <c r="LC297" s="23"/>
      <c r="LD297" s="23"/>
      <c r="LE297" s="23"/>
      <c r="LF297" s="23"/>
      <c r="LG297" s="23"/>
      <c r="LH297" s="23"/>
      <c r="LI297" s="23"/>
      <c r="LJ297" s="23"/>
      <c r="LK297" s="23"/>
      <c r="LL297" s="23"/>
      <c r="LM297" s="23"/>
      <c r="LN297" s="23"/>
      <c r="LO297" s="23"/>
      <c r="LP297" s="23"/>
      <c r="LQ297" s="23"/>
      <c r="LR297" s="23"/>
      <c r="LS297" s="23"/>
      <c r="LT297" s="23"/>
      <c r="LU297" s="23"/>
      <c r="LV297" s="23"/>
      <c r="LW297" s="23"/>
      <c r="LX297" s="23"/>
      <c r="LY297" s="23"/>
      <c r="LZ297" s="23"/>
      <c r="MA297" s="23"/>
      <c r="MB297" s="23"/>
      <c r="MC297" s="23"/>
      <c r="MD297" s="23"/>
      <c r="ME297" s="23"/>
      <c r="MF297" s="23"/>
      <c r="MG297" s="23"/>
      <c r="MH297" s="23"/>
      <c r="MI297" s="23"/>
      <c r="MJ297" s="23"/>
      <c r="MK297" s="23"/>
      <c r="ML297" s="23"/>
      <c r="MM297" s="23"/>
      <c r="MN297" s="23"/>
      <c r="MO297" s="23"/>
      <c r="MP297" s="23"/>
      <c r="MQ297" s="23"/>
      <c r="MR297" s="23"/>
      <c r="MS297" s="23"/>
      <c r="MT297" s="23"/>
      <c r="MU297" s="23"/>
      <c r="MV297" s="23"/>
      <c r="MW297" s="23"/>
      <c r="MX297" s="23"/>
      <c r="MY297" s="23"/>
      <c r="MZ297" s="23"/>
      <c r="NA297" s="23"/>
      <c r="NB297" s="23"/>
      <c r="NC297" s="23"/>
      <c r="ND297" s="23"/>
      <c r="NE297" s="23"/>
      <c r="NF297" s="23"/>
      <c r="NG297" s="23"/>
      <c r="NH297" s="23"/>
      <c r="NI297" s="23"/>
      <c r="NJ297" s="23"/>
      <c r="NK297" s="23"/>
      <c r="NL297" s="23"/>
      <c r="NM297" s="23"/>
      <c r="NN297" s="23"/>
      <c r="NO297" s="23"/>
      <c r="NP297" s="23"/>
      <c r="NQ297" s="23"/>
      <c r="NR297" s="23"/>
      <c r="NS297" s="23"/>
      <c r="NT297" s="23"/>
      <c r="NU297" s="23"/>
      <c r="NV297" s="23"/>
      <c r="NW297" s="23"/>
      <c r="NX297" s="23"/>
      <c r="NY297" s="23"/>
      <c r="NZ297" s="23"/>
      <c r="OA297" s="23"/>
      <c r="OB297" s="23"/>
      <c r="OC297" s="23"/>
      <c r="OD297" s="23"/>
      <c r="OE297" s="23"/>
      <c r="OF297" s="23"/>
      <c r="OG297" s="23"/>
      <c r="OH297" s="23"/>
      <c r="OI297" s="23"/>
      <c r="OJ297" s="23"/>
      <c r="OK297" s="23"/>
      <c r="OL297" s="23"/>
      <c r="OM297" s="23"/>
      <c r="ON297" s="23"/>
      <c r="OO297" s="23"/>
      <c r="OP297" s="23"/>
      <c r="OQ297" s="23"/>
      <c r="OR297" s="23"/>
      <c r="OS297" s="23"/>
      <c r="OT297" s="23"/>
      <c r="OU297" s="23"/>
      <c r="OV297" s="23"/>
      <c r="OW297" s="23"/>
      <c r="OX297" s="23"/>
      <c r="OY297" s="23"/>
      <c r="OZ297" s="23"/>
      <c r="PA297" s="23"/>
      <c r="PB297" s="23"/>
      <c r="PC297" s="23"/>
      <c r="PD297" s="23"/>
      <c r="PE297" s="23"/>
      <c r="PF297" s="23"/>
      <c r="PG297" s="23"/>
      <c r="PH297" s="23"/>
      <c r="PI297" s="23"/>
      <c r="PJ297" s="23"/>
      <c r="PK297" s="23"/>
      <c r="PL297" s="23"/>
      <c r="PM297" s="23"/>
      <c r="PN297" s="23"/>
      <c r="PO297" s="23"/>
      <c r="PP297" s="23"/>
      <c r="PQ297" s="23"/>
      <c r="PR297" s="23"/>
      <c r="PS297" s="23"/>
      <c r="PT297" s="23"/>
      <c r="PU297" s="23"/>
      <c r="PV297" s="23"/>
      <c r="PW297" s="23"/>
      <c r="PX297" s="23"/>
      <c r="PY297" s="23"/>
      <c r="PZ297" s="23"/>
      <c r="QA297" s="23"/>
      <c r="QB297" s="23"/>
      <c r="QC297" s="23"/>
      <c r="QD297" s="23"/>
      <c r="QE297" s="23"/>
      <c r="QF297" s="23"/>
      <c r="QG297" s="23"/>
      <c r="QH297" s="23"/>
      <c r="QI297" s="23"/>
      <c r="QJ297" s="23"/>
      <c r="QK297" s="23"/>
      <c r="QL297" s="23"/>
      <c r="QM297" s="23"/>
      <c r="QN297" s="23"/>
      <c r="QO297" s="23"/>
      <c r="QP297" s="23"/>
      <c r="QQ297" s="23"/>
      <c r="QR297" s="23"/>
      <c r="QS297" s="23"/>
      <c r="QT297" s="23"/>
      <c r="QU297" s="23"/>
      <c r="QV297" s="23"/>
      <c r="QW297" s="23"/>
      <c r="QX297" s="23"/>
      <c r="QY297" s="23"/>
      <c r="QZ297" s="23"/>
      <c r="RA297" s="23"/>
      <c r="RB297" s="23"/>
      <c r="RC297" s="23"/>
      <c r="RD297" s="23"/>
      <c r="RE297" s="23"/>
      <c r="RF297" s="23"/>
      <c r="RG297" s="23"/>
      <c r="RH297" s="23"/>
      <c r="RI297" s="23"/>
      <c r="RJ297" s="23"/>
      <c r="RK297" s="23"/>
      <c r="RL297" s="23"/>
      <c r="RM297" s="23"/>
      <c r="RN297" s="23"/>
      <c r="RO297" s="23"/>
      <c r="RP297" s="23"/>
      <c r="RQ297" s="23"/>
      <c r="RR297" s="23"/>
      <c r="RS297" s="23"/>
      <c r="RT297" s="23"/>
      <c r="RU297" s="23"/>
      <c r="RV297" s="23"/>
      <c r="RW297" s="23"/>
      <c r="RX297" s="23"/>
      <c r="RY297" s="23"/>
      <c r="RZ297" s="23"/>
      <c r="SA297" s="23"/>
      <c r="SB297" s="23"/>
      <c r="SC297" s="23"/>
      <c r="SD297" s="23"/>
      <c r="SE297" s="23"/>
      <c r="SF297" s="23"/>
      <c r="SG297" s="23"/>
      <c r="SH297" s="23"/>
      <c r="SI297" s="23"/>
      <c r="SJ297" s="23"/>
      <c r="SK297" s="23"/>
      <c r="SL297" s="23"/>
      <c r="SM297" s="23"/>
      <c r="SN297" s="23"/>
      <c r="SO297" s="23"/>
      <c r="SP297" s="23"/>
      <c r="SQ297" s="23"/>
      <c r="SR297" s="23"/>
      <c r="SS297" s="23"/>
      <c r="ST297" s="23"/>
      <c r="SU297" s="23"/>
      <c r="SV297" s="23"/>
      <c r="SW297" s="23"/>
      <c r="SX297" s="23"/>
      <c r="SY297" s="23"/>
      <c r="SZ297" s="23"/>
      <c r="TA297" s="23"/>
      <c r="TB297" s="23"/>
      <c r="TC297" s="23"/>
      <c r="TD297" s="23"/>
      <c r="TE297" s="23"/>
      <c r="TF297" s="23"/>
      <c r="TG297" s="23"/>
    </row>
    <row r="298" spans="1:527" s="27" customFormat="1" ht="37.5" customHeight="1" x14ac:dyDescent="0.25">
      <c r="A298" s="110" t="s">
        <v>213</v>
      </c>
      <c r="B298" s="112"/>
      <c r="C298" s="112"/>
      <c r="D298" s="107" t="s">
        <v>39</v>
      </c>
      <c r="E298" s="95">
        <f>E299</f>
        <v>21083978</v>
      </c>
      <c r="F298" s="95">
        <f t="shared" ref="F298:J298" si="157">F299</f>
        <v>21083978</v>
      </c>
      <c r="G298" s="95">
        <f t="shared" si="157"/>
        <v>14932200</v>
      </c>
      <c r="H298" s="95">
        <f t="shared" si="157"/>
        <v>409278</v>
      </c>
      <c r="I298" s="95">
        <f t="shared" si="157"/>
        <v>0</v>
      </c>
      <c r="J298" s="95">
        <f t="shared" si="157"/>
        <v>65000</v>
      </c>
      <c r="K298" s="95">
        <f t="shared" ref="K298" si="158">K299</f>
        <v>65000</v>
      </c>
      <c r="L298" s="95">
        <f t="shared" ref="L298" si="159">L299</f>
        <v>0</v>
      </c>
      <c r="M298" s="95">
        <f t="shared" ref="M298" si="160">M299</f>
        <v>0</v>
      </c>
      <c r="N298" s="95">
        <f t="shared" ref="N298" si="161">N299</f>
        <v>0</v>
      </c>
      <c r="O298" s="95">
        <f t="shared" ref="O298" si="162">O299</f>
        <v>65000</v>
      </c>
      <c r="P298" s="95">
        <f>P299</f>
        <v>21148978</v>
      </c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  <c r="DA298" s="32"/>
      <c r="DB298" s="32"/>
      <c r="DC298" s="32"/>
      <c r="DD298" s="32"/>
      <c r="DE298" s="32"/>
      <c r="DF298" s="32"/>
      <c r="DG298" s="32"/>
      <c r="DH298" s="32"/>
      <c r="DI298" s="32"/>
      <c r="DJ298" s="32"/>
      <c r="DK298" s="32"/>
      <c r="DL298" s="32"/>
      <c r="DM298" s="32"/>
      <c r="DN298" s="32"/>
      <c r="DO298" s="32"/>
      <c r="DP298" s="32"/>
      <c r="DQ298" s="32"/>
      <c r="DR298" s="32"/>
      <c r="DS298" s="32"/>
      <c r="DT298" s="32"/>
      <c r="DU298" s="32"/>
      <c r="DV298" s="32"/>
      <c r="DW298" s="32"/>
      <c r="DX298" s="32"/>
      <c r="DY298" s="32"/>
      <c r="DZ298" s="32"/>
      <c r="EA298" s="32"/>
      <c r="EB298" s="32"/>
      <c r="EC298" s="32"/>
      <c r="ED298" s="32"/>
      <c r="EE298" s="32"/>
      <c r="EF298" s="32"/>
      <c r="EG298" s="32"/>
      <c r="EH298" s="32"/>
      <c r="EI298" s="32"/>
      <c r="EJ298" s="32"/>
      <c r="EK298" s="32"/>
      <c r="EL298" s="32"/>
      <c r="EM298" s="32"/>
      <c r="EN298" s="32"/>
      <c r="EO298" s="32"/>
      <c r="EP298" s="32"/>
      <c r="EQ298" s="32"/>
      <c r="ER298" s="32"/>
      <c r="ES298" s="32"/>
      <c r="ET298" s="32"/>
      <c r="EU298" s="32"/>
      <c r="EV298" s="32"/>
      <c r="EW298" s="32"/>
      <c r="EX298" s="32"/>
      <c r="EY298" s="32"/>
      <c r="EZ298" s="32"/>
      <c r="FA298" s="32"/>
      <c r="FB298" s="32"/>
      <c r="FC298" s="32"/>
      <c r="FD298" s="32"/>
      <c r="FE298" s="32"/>
      <c r="FF298" s="32"/>
      <c r="FG298" s="32"/>
      <c r="FH298" s="32"/>
      <c r="FI298" s="32"/>
      <c r="FJ298" s="32"/>
      <c r="FK298" s="32"/>
      <c r="FL298" s="32"/>
      <c r="FM298" s="32"/>
      <c r="FN298" s="32"/>
      <c r="FO298" s="32"/>
      <c r="FP298" s="32"/>
      <c r="FQ298" s="32"/>
      <c r="FR298" s="32"/>
      <c r="FS298" s="32"/>
      <c r="FT298" s="32"/>
      <c r="FU298" s="32"/>
      <c r="FV298" s="32"/>
      <c r="FW298" s="32"/>
      <c r="FX298" s="32"/>
      <c r="FY298" s="32"/>
      <c r="FZ298" s="32"/>
      <c r="GA298" s="32"/>
      <c r="GB298" s="32"/>
      <c r="GC298" s="32"/>
      <c r="GD298" s="32"/>
      <c r="GE298" s="32"/>
      <c r="GF298" s="32"/>
      <c r="GG298" s="32"/>
      <c r="GH298" s="32"/>
      <c r="GI298" s="32"/>
      <c r="GJ298" s="32"/>
      <c r="GK298" s="32"/>
      <c r="GL298" s="32"/>
      <c r="GM298" s="32"/>
      <c r="GN298" s="32"/>
      <c r="GO298" s="32"/>
      <c r="GP298" s="32"/>
      <c r="GQ298" s="32"/>
      <c r="GR298" s="32"/>
      <c r="GS298" s="32"/>
      <c r="GT298" s="32"/>
      <c r="GU298" s="32"/>
      <c r="GV298" s="32"/>
      <c r="GW298" s="32"/>
      <c r="GX298" s="32"/>
      <c r="GY298" s="32"/>
      <c r="GZ298" s="32"/>
      <c r="HA298" s="32"/>
      <c r="HB298" s="32"/>
      <c r="HC298" s="32"/>
      <c r="HD298" s="32"/>
      <c r="HE298" s="32"/>
      <c r="HF298" s="32"/>
      <c r="HG298" s="32"/>
      <c r="HH298" s="32"/>
      <c r="HI298" s="32"/>
      <c r="HJ298" s="32"/>
      <c r="HK298" s="32"/>
      <c r="HL298" s="32"/>
      <c r="HM298" s="32"/>
      <c r="HN298" s="32"/>
      <c r="HO298" s="32"/>
      <c r="HP298" s="32"/>
      <c r="HQ298" s="32"/>
      <c r="HR298" s="32"/>
      <c r="HS298" s="32"/>
      <c r="HT298" s="32"/>
      <c r="HU298" s="32"/>
      <c r="HV298" s="32"/>
      <c r="HW298" s="32"/>
      <c r="HX298" s="32"/>
      <c r="HY298" s="32"/>
      <c r="HZ298" s="32"/>
      <c r="IA298" s="32"/>
      <c r="IB298" s="32"/>
      <c r="IC298" s="32"/>
      <c r="ID298" s="32"/>
      <c r="IE298" s="32"/>
      <c r="IF298" s="32"/>
      <c r="IG298" s="32"/>
      <c r="IH298" s="32"/>
      <c r="II298" s="32"/>
      <c r="IJ298" s="32"/>
      <c r="IK298" s="32"/>
      <c r="IL298" s="32"/>
      <c r="IM298" s="32"/>
      <c r="IN298" s="32"/>
      <c r="IO298" s="32"/>
      <c r="IP298" s="32"/>
      <c r="IQ298" s="32"/>
      <c r="IR298" s="32"/>
      <c r="IS298" s="32"/>
      <c r="IT298" s="32"/>
      <c r="IU298" s="32"/>
      <c r="IV298" s="32"/>
      <c r="IW298" s="32"/>
      <c r="IX298" s="32"/>
      <c r="IY298" s="32"/>
      <c r="IZ298" s="32"/>
      <c r="JA298" s="32"/>
      <c r="JB298" s="32"/>
      <c r="JC298" s="32"/>
      <c r="JD298" s="32"/>
      <c r="JE298" s="32"/>
      <c r="JF298" s="32"/>
      <c r="JG298" s="32"/>
      <c r="JH298" s="32"/>
      <c r="JI298" s="32"/>
      <c r="JJ298" s="32"/>
      <c r="JK298" s="32"/>
      <c r="JL298" s="32"/>
      <c r="JM298" s="32"/>
      <c r="JN298" s="32"/>
      <c r="JO298" s="32"/>
      <c r="JP298" s="32"/>
      <c r="JQ298" s="32"/>
      <c r="JR298" s="32"/>
      <c r="JS298" s="32"/>
      <c r="JT298" s="32"/>
      <c r="JU298" s="32"/>
      <c r="JV298" s="32"/>
      <c r="JW298" s="32"/>
      <c r="JX298" s="32"/>
      <c r="JY298" s="32"/>
      <c r="JZ298" s="32"/>
      <c r="KA298" s="32"/>
      <c r="KB298" s="32"/>
      <c r="KC298" s="32"/>
      <c r="KD298" s="32"/>
      <c r="KE298" s="32"/>
      <c r="KF298" s="32"/>
      <c r="KG298" s="32"/>
      <c r="KH298" s="32"/>
      <c r="KI298" s="32"/>
      <c r="KJ298" s="32"/>
      <c r="KK298" s="32"/>
      <c r="KL298" s="32"/>
      <c r="KM298" s="32"/>
      <c r="KN298" s="32"/>
      <c r="KO298" s="32"/>
      <c r="KP298" s="32"/>
      <c r="KQ298" s="32"/>
      <c r="KR298" s="32"/>
      <c r="KS298" s="32"/>
      <c r="KT298" s="32"/>
      <c r="KU298" s="32"/>
      <c r="KV298" s="32"/>
      <c r="KW298" s="32"/>
      <c r="KX298" s="32"/>
      <c r="KY298" s="32"/>
      <c r="KZ298" s="32"/>
      <c r="LA298" s="32"/>
      <c r="LB298" s="32"/>
      <c r="LC298" s="32"/>
      <c r="LD298" s="32"/>
      <c r="LE298" s="32"/>
      <c r="LF298" s="32"/>
      <c r="LG298" s="32"/>
      <c r="LH298" s="32"/>
      <c r="LI298" s="32"/>
      <c r="LJ298" s="32"/>
      <c r="LK298" s="32"/>
      <c r="LL298" s="32"/>
      <c r="LM298" s="32"/>
      <c r="LN298" s="32"/>
      <c r="LO298" s="32"/>
      <c r="LP298" s="32"/>
      <c r="LQ298" s="32"/>
      <c r="LR298" s="32"/>
      <c r="LS298" s="32"/>
      <c r="LT298" s="32"/>
      <c r="LU298" s="32"/>
      <c r="LV298" s="32"/>
      <c r="LW298" s="32"/>
      <c r="LX298" s="32"/>
      <c r="LY298" s="32"/>
      <c r="LZ298" s="32"/>
      <c r="MA298" s="32"/>
      <c r="MB298" s="32"/>
      <c r="MC298" s="32"/>
      <c r="MD298" s="32"/>
      <c r="ME298" s="32"/>
      <c r="MF298" s="32"/>
      <c r="MG298" s="32"/>
      <c r="MH298" s="32"/>
      <c r="MI298" s="32"/>
      <c r="MJ298" s="32"/>
      <c r="MK298" s="32"/>
      <c r="ML298" s="32"/>
      <c r="MM298" s="32"/>
      <c r="MN298" s="32"/>
      <c r="MO298" s="32"/>
      <c r="MP298" s="32"/>
      <c r="MQ298" s="32"/>
      <c r="MR298" s="32"/>
      <c r="MS298" s="32"/>
      <c r="MT298" s="32"/>
      <c r="MU298" s="32"/>
      <c r="MV298" s="32"/>
      <c r="MW298" s="32"/>
      <c r="MX298" s="32"/>
      <c r="MY298" s="32"/>
      <c r="MZ298" s="32"/>
      <c r="NA298" s="32"/>
      <c r="NB298" s="32"/>
      <c r="NC298" s="32"/>
      <c r="ND298" s="32"/>
      <c r="NE298" s="32"/>
      <c r="NF298" s="32"/>
      <c r="NG298" s="32"/>
      <c r="NH298" s="32"/>
      <c r="NI298" s="32"/>
      <c r="NJ298" s="32"/>
      <c r="NK298" s="32"/>
      <c r="NL298" s="32"/>
      <c r="NM298" s="32"/>
      <c r="NN298" s="32"/>
      <c r="NO298" s="32"/>
      <c r="NP298" s="32"/>
      <c r="NQ298" s="32"/>
      <c r="NR298" s="32"/>
      <c r="NS298" s="32"/>
      <c r="NT298" s="32"/>
      <c r="NU298" s="32"/>
      <c r="NV298" s="32"/>
      <c r="NW298" s="32"/>
      <c r="NX298" s="32"/>
      <c r="NY298" s="32"/>
      <c r="NZ298" s="32"/>
      <c r="OA298" s="32"/>
      <c r="OB298" s="32"/>
      <c r="OC298" s="32"/>
      <c r="OD298" s="32"/>
      <c r="OE298" s="32"/>
      <c r="OF298" s="32"/>
      <c r="OG298" s="32"/>
      <c r="OH298" s="32"/>
      <c r="OI298" s="32"/>
      <c r="OJ298" s="32"/>
      <c r="OK298" s="32"/>
      <c r="OL298" s="32"/>
      <c r="OM298" s="32"/>
      <c r="ON298" s="32"/>
      <c r="OO298" s="32"/>
      <c r="OP298" s="32"/>
      <c r="OQ298" s="32"/>
      <c r="OR298" s="32"/>
      <c r="OS298" s="32"/>
      <c r="OT298" s="32"/>
      <c r="OU298" s="32"/>
      <c r="OV298" s="32"/>
      <c r="OW298" s="32"/>
      <c r="OX298" s="32"/>
      <c r="OY298" s="32"/>
      <c r="OZ298" s="32"/>
      <c r="PA298" s="32"/>
      <c r="PB298" s="32"/>
      <c r="PC298" s="32"/>
      <c r="PD298" s="32"/>
      <c r="PE298" s="32"/>
      <c r="PF298" s="32"/>
      <c r="PG298" s="32"/>
      <c r="PH298" s="32"/>
      <c r="PI298" s="32"/>
      <c r="PJ298" s="32"/>
      <c r="PK298" s="32"/>
      <c r="PL298" s="32"/>
      <c r="PM298" s="32"/>
      <c r="PN298" s="32"/>
      <c r="PO298" s="32"/>
      <c r="PP298" s="32"/>
      <c r="PQ298" s="32"/>
      <c r="PR298" s="32"/>
      <c r="PS298" s="32"/>
      <c r="PT298" s="32"/>
      <c r="PU298" s="32"/>
      <c r="PV298" s="32"/>
      <c r="PW298" s="32"/>
      <c r="PX298" s="32"/>
      <c r="PY298" s="32"/>
      <c r="PZ298" s="32"/>
      <c r="QA298" s="32"/>
      <c r="QB298" s="32"/>
      <c r="QC298" s="32"/>
      <c r="QD298" s="32"/>
      <c r="QE298" s="32"/>
      <c r="QF298" s="32"/>
      <c r="QG298" s="32"/>
      <c r="QH298" s="32"/>
      <c r="QI298" s="32"/>
      <c r="QJ298" s="32"/>
      <c r="QK298" s="32"/>
      <c r="QL298" s="32"/>
      <c r="QM298" s="32"/>
      <c r="QN298" s="32"/>
      <c r="QO298" s="32"/>
      <c r="QP298" s="32"/>
      <c r="QQ298" s="32"/>
      <c r="QR298" s="32"/>
      <c r="QS298" s="32"/>
      <c r="QT298" s="32"/>
      <c r="QU298" s="32"/>
      <c r="QV298" s="32"/>
      <c r="QW298" s="32"/>
      <c r="QX298" s="32"/>
      <c r="QY298" s="32"/>
      <c r="QZ298" s="32"/>
      <c r="RA298" s="32"/>
      <c r="RB298" s="32"/>
      <c r="RC298" s="32"/>
      <c r="RD298" s="32"/>
      <c r="RE298" s="32"/>
      <c r="RF298" s="32"/>
      <c r="RG298" s="32"/>
      <c r="RH298" s="32"/>
      <c r="RI298" s="32"/>
      <c r="RJ298" s="32"/>
      <c r="RK298" s="32"/>
      <c r="RL298" s="32"/>
      <c r="RM298" s="32"/>
      <c r="RN298" s="32"/>
      <c r="RO298" s="32"/>
      <c r="RP298" s="32"/>
      <c r="RQ298" s="32"/>
      <c r="RR298" s="32"/>
      <c r="RS298" s="32"/>
      <c r="RT298" s="32"/>
      <c r="RU298" s="32"/>
      <c r="RV298" s="32"/>
      <c r="RW298" s="32"/>
      <c r="RX298" s="32"/>
      <c r="RY298" s="32"/>
      <c r="RZ298" s="32"/>
      <c r="SA298" s="32"/>
      <c r="SB298" s="32"/>
      <c r="SC298" s="32"/>
      <c r="SD298" s="32"/>
      <c r="SE298" s="32"/>
      <c r="SF298" s="32"/>
      <c r="SG298" s="32"/>
      <c r="SH298" s="32"/>
      <c r="SI298" s="32"/>
      <c r="SJ298" s="32"/>
      <c r="SK298" s="32"/>
      <c r="SL298" s="32"/>
      <c r="SM298" s="32"/>
      <c r="SN298" s="32"/>
      <c r="SO298" s="32"/>
      <c r="SP298" s="32"/>
      <c r="SQ298" s="32"/>
      <c r="SR298" s="32"/>
      <c r="SS298" s="32"/>
      <c r="ST298" s="32"/>
      <c r="SU298" s="32"/>
      <c r="SV298" s="32"/>
      <c r="SW298" s="32"/>
      <c r="SX298" s="32"/>
      <c r="SY298" s="32"/>
      <c r="SZ298" s="32"/>
      <c r="TA298" s="32"/>
      <c r="TB298" s="32"/>
      <c r="TC298" s="32"/>
      <c r="TD298" s="32"/>
      <c r="TE298" s="32"/>
      <c r="TF298" s="32"/>
      <c r="TG298" s="32"/>
    </row>
    <row r="299" spans="1:527" s="34" customFormat="1" ht="33.75" customHeight="1" x14ac:dyDescent="0.25">
      <c r="A299" s="96" t="s">
        <v>214</v>
      </c>
      <c r="B299" s="109"/>
      <c r="C299" s="109"/>
      <c r="D299" s="77" t="s">
        <v>39</v>
      </c>
      <c r="E299" s="98">
        <f>E300+E301++E302+E303+E304+E305</f>
        <v>21083978</v>
      </c>
      <c r="F299" s="98">
        <f t="shared" ref="F299:P299" si="163">F300+F301++F302+F303+F304+F305</f>
        <v>21083978</v>
      </c>
      <c r="G299" s="98">
        <f t="shared" si="163"/>
        <v>14932200</v>
      </c>
      <c r="H299" s="98">
        <f t="shared" si="163"/>
        <v>409278</v>
      </c>
      <c r="I299" s="98">
        <f t="shared" si="163"/>
        <v>0</v>
      </c>
      <c r="J299" s="98">
        <f t="shared" si="163"/>
        <v>65000</v>
      </c>
      <c r="K299" s="98">
        <f>K300+K301++K302+K303+K304+K305</f>
        <v>65000</v>
      </c>
      <c r="L299" s="98">
        <f t="shared" si="163"/>
        <v>0</v>
      </c>
      <c r="M299" s="98">
        <f t="shared" si="163"/>
        <v>0</v>
      </c>
      <c r="N299" s="98">
        <f t="shared" si="163"/>
        <v>0</v>
      </c>
      <c r="O299" s="98">
        <f t="shared" si="163"/>
        <v>65000</v>
      </c>
      <c r="P299" s="98">
        <f t="shared" si="163"/>
        <v>21148978</v>
      </c>
      <c r="Q299" s="33"/>
      <c r="R299" s="32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  <c r="CA299" s="33"/>
      <c r="CB299" s="33"/>
      <c r="CC299" s="33"/>
      <c r="CD299" s="33"/>
      <c r="CE299" s="33"/>
      <c r="CF299" s="33"/>
      <c r="CG299" s="33"/>
      <c r="CH299" s="33"/>
      <c r="CI299" s="33"/>
      <c r="CJ299" s="33"/>
      <c r="CK299" s="33"/>
      <c r="CL299" s="33"/>
      <c r="CM299" s="33"/>
      <c r="CN299" s="33"/>
      <c r="CO299" s="33"/>
      <c r="CP299" s="33"/>
      <c r="CQ299" s="33"/>
      <c r="CR299" s="33"/>
      <c r="CS299" s="33"/>
      <c r="CT299" s="33"/>
      <c r="CU299" s="33"/>
      <c r="CV299" s="33"/>
      <c r="CW299" s="33"/>
      <c r="CX299" s="33"/>
      <c r="CY299" s="33"/>
      <c r="CZ299" s="33"/>
      <c r="DA299" s="33"/>
      <c r="DB299" s="33"/>
      <c r="DC299" s="33"/>
      <c r="DD299" s="33"/>
      <c r="DE299" s="33"/>
      <c r="DF299" s="33"/>
      <c r="DG299" s="33"/>
      <c r="DH299" s="33"/>
      <c r="DI299" s="33"/>
      <c r="DJ299" s="33"/>
      <c r="DK299" s="33"/>
      <c r="DL299" s="33"/>
      <c r="DM299" s="33"/>
      <c r="DN299" s="33"/>
      <c r="DO299" s="33"/>
      <c r="DP299" s="33"/>
      <c r="DQ299" s="33"/>
      <c r="DR299" s="33"/>
      <c r="DS299" s="33"/>
      <c r="DT299" s="33"/>
      <c r="DU299" s="33"/>
      <c r="DV299" s="33"/>
      <c r="DW299" s="33"/>
      <c r="DX299" s="33"/>
      <c r="DY299" s="33"/>
      <c r="DZ299" s="33"/>
      <c r="EA299" s="33"/>
      <c r="EB299" s="33"/>
      <c r="EC299" s="33"/>
      <c r="ED299" s="33"/>
      <c r="EE299" s="33"/>
      <c r="EF299" s="33"/>
      <c r="EG299" s="33"/>
      <c r="EH299" s="33"/>
      <c r="EI299" s="33"/>
      <c r="EJ299" s="33"/>
      <c r="EK299" s="33"/>
      <c r="EL299" s="33"/>
      <c r="EM299" s="33"/>
      <c r="EN299" s="33"/>
      <c r="EO299" s="33"/>
      <c r="EP299" s="33"/>
      <c r="EQ299" s="33"/>
      <c r="ER299" s="33"/>
      <c r="ES299" s="33"/>
      <c r="ET299" s="33"/>
      <c r="EU299" s="33"/>
      <c r="EV299" s="33"/>
      <c r="EW299" s="33"/>
      <c r="EX299" s="33"/>
      <c r="EY299" s="33"/>
      <c r="EZ299" s="33"/>
      <c r="FA299" s="33"/>
      <c r="FB299" s="33"/>
      <c r="FC299" s="33"/>
      <c r="FD299" s="33"/>
      <c r="FE299" s="33"/>
      <c r="FF299" s="33"/>
      <c r="FG299" s="33"/>
      <c r="FH299" s="33"/>
      <c r="FI299" s="33"/>
      <c r="FJ299" s="33"/>
      <c r="FK299" s="33"/>
      <c r="FL299" s="33"/>
      <c r="FM299" s="33"/>
      <c r="FN299" s="33"/>
      <c r="FO299" s="33"/>
      <c r="FP299" s="33"/>
      <c r="FQ299" s="33"/>
      <c r="FR299" s="33"/>
      <c r="FS299" s="33"/>
      <c r="FT299" s="33"/>
      <c r="FU299" s="33"/>
      <c r="FV299" s="33"/>
      <c r="FW299" s="33"/>
      <c r="FX299" s="33"/>
      <c r="FY299" s="33"/>
      <c r="FZ299" s="33"/>
      <c r="GA299" s="33"/>
      <c r="GB299" s="33"/>
      <c r="GC299" s="33"/>
      <c r="GD299" s="33"/>
      <c r="GE299" s="33"/>
      <c r="GF299" s="33"/>
      <c r="GG299" s="33"/>
      <c r="GH299" s="33"/>
      <c r="GI299" s="33"/>
      <c r="GJ299" s="33"/>
      <c r="GK299" s="33"/>
      <c r="GL299" s="33"/>
      <c r="GM299" s="33"/>
      <c r="GN299" s="33"/>
      <c r="GO299" s="33"/>
      <c r="GP299" s="33"/>
      <c r="GQ299" s="33"/>
      <c r="GR299" s="33"/>
      <c r="GS299" s="33"/>
      <c r="GT299" s="33"/>
      <c r="GU299" s="33"/>
      <c r="GV299" s="33"/>
      <c r="GW299" s="33"/>
      <c r="GX299" s="33"/>
      <c r="GY299" s="33"/>
      <c r="GZ299" s="33"/>
      <c r="HA299" s="33"/>
      <c r="HB299" s="33"/>
      <c r="HC299" s="33"/>
      <c r="HD299" s="33"/>
      <c r="HE299" s="33"/>
      <c r="HF299" s="33"/>
      <c r="HG299" s="33"/>
      <c r="HH299" s="33"/>
      <c r="HI299" s="33"/>
      <c r="HJ299" s="33"/>
      <c r="HK299" s="33"/>
      <c r="HL299" s="33"/>
      <c r="HM299" s="33"/>
      <c r="HN299" s="33"/>
      <c r="HO299" s="33"/>
      <c r="HP299" s="33"/>
      <c r="HQ299" s="33"/>
      <c r="HR299" s="33"/>
      <c r="HS299" s="33"/>
      <c r="HT299" s="33"/>
      <c r="HU299" s="33"/>
      <c r="HV299" s="33"/>
      <c r="HW299" s="33"/>
      <c r="HX299" s="33"/>
      <c r="HY299" s="33"/>
      <c r="HZ299" s="33"/>
      <c r="IA299" s="33"/>
      <c r="IB299" s="33"/>
      <c r="IC299" s="33"/>
      <c r="ID299" s="33"/>
      <c r="IE299" s="33"/>
      <c r="IF299" s="33"/>
      <c r="IG299" s="33"/>
      <c r="IH299" s="33"/>
      <c r="II299" s="33"/>
      <c r="IJ299" s="33"/>
      <c r="IK299" s="33"/>
      <c r="IL299" s="33"/>
      <c r="IM299" s="33"/>
      <c r="IN299" s="33"/>
      <c r="IO299" s="33"/>
      <c r="IP299" s="33"/>
      <c r="IQ299" s="33"/>
      <c r="IR299" s="33"/>
      <c r="IS299" s="33"/>
      <c r="IT299" s="33"/>
      <c r="IU299" s="33"/>
      <c r="IV299" s="33"/>
      <c r="IW299" s="33"/>
      <c r="IX299" s="33"/>
      <c r="IY299" s="33"/>
      <c r="IZ299" s="33"/>
      <c r="JA299" s="33"/>
      <c r="JB299" s="33"/>
      <c r="JC299" s="33"/>
      <c r="JD299" s="33"/>
      <c r="JE299" s="33"/>
      <c r="JF299" s="33"/>
      <c r="JG299" s="33"/>
      <c r="JH299" s="33"/>
      <c r="JI299" s="33"/>
      <c r="JJ299" s="33"/>
      <c r="JK299" s="33"/>
      <c r="JL299" s="33"/>
      <c r="JM299" s="33"/>
      <c r="JN299" s="33"/>
      <c r="JO299" s="33"/>
      <c r="JP299" s="33"/>
      <c r="JQ299" s="33"/>
      <c r="JR299" s="33"/>
      <c r="JS299" s="33"/>
      <c r="JT299" s="33"/>
      <c r="JU299" s="33"/>
      <c r="JV299" s="33"/>
      <c r="JW299" s="33"/>
      <c r="JX299" s="33"/>
      <c r="JY299" s="33"/>
      <c r="JZ299" s="33"/>
      <c r="KA299" s="33"/>
      <c r="KB299" s="33"/>
      <c r="KC299" s="33"/>
      <c r="KD299" s="33"/>
      <c r="KE299" s="33"/>
      <c r="KF299" s="33"/>
      <c r="KG299" s="33"/>
      <c r="KH299" s="33"/>
      <c r="KI299" s="33"/>
      <c r="KJ299" s="33"/>
      <c r="KK299" s="33"/>
      <c r="KL299" s="33"/>
      <c r="KM299" s="33"/>
      <c r="KN299" s="33"/>
      <c r="KO299" s="33"/>
      <c r="KP299" s="33"/>
      <c r="KQ299" s="33"/>
      <c r="KR299" s="33"/>
      <c r="KS299" s="33"/>
      <c r="KT299" s="33"/>
      <c r="KU299" s="33"/>
      <c r="KV299" s="33"/>
      <c r="KW299" s="33"/>
      <c r="KX299" s="33"/>
      <c r="KY299" s="33"/>
      <c r="KZ299" s="33"/>
      <c r="LA299" s="33"/>
      <c r="LB299" s="33"/>
      <c r="LC299" s="33"/>
      <c r="LD299" s="33"/>
      <c r="LE299" s="33"/>
      <c r="LF299" s="33"/>
      <c r="LG299" s="33"/>
      <c r="LH299" s="33"/>
      <c r="LI299" s="33"/>
      <c r="LJ299" s="33"/>
      <c r="LK299" s="33"/>
      <c r="LL299" s="33"/>
      <c r="LM299" s="33"/>
      <c r="LN299" s="33"/>
      <c r="LO299" s="33"/>
      <c r="LP299" s="33"/>
      <c r="LQ299" s="33"/>
      <c r="LR299" s="33"/>
      <c r="LS299" s="33"/>
      <c r="LT299" s="33"/>
      <c r="LU299" s="33"/>
      <c r="LV299" s="33"/>
      <c r="LW299" s="33"/>
      <c r="LX299" s="33"/>
      <c r="LY299" s="33"/>
      <c r="LZ299" s="33"/>
      <c r="MA299" s="33"/>
      <c r="MB299" s="33"/>
      <c r="MC299" s="33"/>
      <c r="MD299" s="33"/>
      <c r="ME299" s="33"/>
      <c r="MF299" s="33"/>
      <c r="MG299" s="33"/>
      <c r="MH299" s="33"/>
      <c r="MI299" s="33"/>
      <c r="MJ299" s="33"/>
      <c r="MK299" s="33"/>
      <c r="ML299" s="33"/>
      <c r="MM299" s="33"/>
      <c r="MN299" s="33"/>
      <c r="MO299" s="33"/>
      <c r="MP299" s="33"/>
      <c r="MQ299" s="33"/>
      <c r="MR299" s="33"/>
      <c r="MS299" s="33"/>
      <c r="MT299" s="33"/>
      <c r="MU299" s="33"/>
      <c r="MV299" s="33"/>
      <c r="MW299" s="33"/>
      <c r="MX299" s="33"/>
      <c r="MY299" s="33"/>
      <c r="MZ299" s="33"/>
      <c r="NA299" s="33"/>
      <c r="NB299" s="33"/>
      <c r="NC299" s="33"/>
      <c r="ND299" s="33"/>
      <c r="NE299" s="33"/>
      <c r="NF299" s="33"/>
      <c r="NG299" s="33"/>
      <c r="NH299" s="33"/>
      <c r="NI299" s="33"/>
      <c r="NJ299" s="33"/>
      <c r="NK299" s="33"/>
      <c r="NL299" s="33"/>
      <c r="NM299" s="33"/>
      <c r="NN299" s="33"/>
      <c r="NO299" s="33"/>
      <c r="NP299" s="33"/>
      <c r="NQ299" s="33"/>
      <c r="NR299" s="33"/>
      <c r="NS299" s="33"/>
      <c r="NT299" s="33"/>
      <c r="NU299" s="33"/>
      <c r="NV299" s="33"/>
      <c r="NW299" s="33"/>
      <c r="NX299" s="33"/>
      <c r="NY299" s="33"/>
      <c r="NZ299" s="33"/>
      <c r="OA299" s="33"/>
      <c r="OB299" s="33"/>
      <c r="OC299" s="33"/>
      <c r="OD299" s="33"/>
      <c r="OE299" s="33"/>
      <c r="OF299" s="33"/>
      <c r="OG299" s="33"/>
      <c r="OH299" s="33"/>
      <c r="OI299" s="33"/>
      <c r="OJ299" s="33"/>
      <c r="OK299" s="33"/>
      <c r="OL299" s="33"/>
      <c r="OM299" s="33"/>
      <c r="ON299" s="33"/>
      <c r="OO299" s="33"/>
      <c r="OP299" s="33"/>
      <c r="OQ299" s="33"/>
      <c r="OR299" s="33"/>
      <c r="OS299" s="33"/>
      <c r="OT299" s="33"/>
      <c r="OU299" s="33"/>
      <c r="OV299" s="33"/>
      <c r="OW299" s="33"/>
      <c r="OX299" s="33"/>
      <c r="OY299" s="33"/>
      <c r="OZ299" s="33"/>
      <c r="PA299" s="33"/>
      <c r="PB299" s="33"/>
      <c r="PC299" s="33"/>
      <c r="PD299" s="33"/>
      <c r="PE299" s="33"/>
      <c r="PF299" s="33"/>
      <c r="PG299" s="33"/>
      <c r="PH299" s="33"/>
      <c r="PI299" s="33"/>
      <c r="PJ299" s="33"/>
      <c r="PK299" s="33"/>
      <c r="PL299" s="33"/>
      <c r="PM299" s="33"/>
      <c r="PN299" s="33"/>
      <c r="PO299" s="33"/>
      <c r="PP299" s="33"/>
      <c r="PQ299" s="33"/>
      <c r="PR299" s="33"/>
      <c r="PS299" s="33"/>
      <c r="PT299" s="33"/>
      <c r="PU299" s="33"/>
      <c r="PV299" s="33"/>
      <c r="PW299" s="33"/>
      <c r="PX299" s="33"/>
      <c r="PY299" s="33"/>
      <c r="PZ299" s="33"/>
      <c r="QA299" s="33"/>
      <c r="QB299" s="33"/>
      <c r="QC299" s="33"/>
      <c r="QD299" s="33"/>
      <c r="QE299" s="33"/>
      <c r="QF299" s="33"/>
      <c r="QG299" s="33"/>
      <c r="QH299" s="33"/>
      <c r="QI299" s="33"/>
      <c r="QJ299" s="33"/>
      <c r="QK299" s="33"/>
      <c r="QL299" s="33"/>
      <c r="QM299" s="33"/>
      <c r="QN299" s="33"/>
      <c r="QO299" s="33"/>
      <c r="QP299" s="33"/>
      <c r="QQ299" s="33"/>
      <c r="QR299" s="33"/>
      <c r="QS299" s="33"/>
      <c r="QT299" s="33"/>
      <c r="QU299" s="33"/>
      <c r="QV299" s="33"/>
      <c r="QW299" s="33"/>
      <c r="QX299" s="33"/>
      <c r="QY299" s="33"/>
      <c r="QZ299" s="33"/>
      <c r="RA299" s="33"/>
      <c r="RB299" s="33"/>
      <c r="RC299" s="33"/>
      <c r="RD299" s="33"/>
      <c r="RE299" s="33"/>
      <c r="RF299" s="33"/>
      <c r="RG299" s="33"/>
      <c r="RH299" s="33"/>
      <c r="RI299" s="33"/>
      <c r="RJ299" s="33"/>
      <c r="RK299" s="33"/>
      <c r="RL299" s="33"/>
      <c r="RM299" s="33"/>
      <c r="RN299" s="33"/>
      <c r="RO299" s="33"/>
      <c r="RP299" s="33"/>
      <c r="RQ299" s="33"/>
      <c r="RR299" s="33"/>
      <c r="RS299" s="33"/>
      <c r="RT299" s="33"/>
      <c r="RU299" s="33"/>
      <c r="RV299" s="33"/>
      <c r="RW299" s="33"/>
      <c r="RX299" s="33"/>
      <c r="RY299" s="33"/>
      <c r="RZ299" s="33"/>
      <c r="SA299" s="33"/>
      <c r="SB299" s="33"/>
      <c r="SC299" s="33"/>
      <c r="SD299" s="33"/>
      <c r="SE299" s="33"/>
      <c r="SF299" s="33"/>
      <c r="SG299" s="33"/>
      <c r="SH299" s="33"/>
      <c r="SI299" s="33"/>
      <c r="SJ299" s="33"/>
      <c r="SK299" s="33"/>
      <c r="SL299" s="33"/>
      <c r="SM299" s="33"/>
      <c r="SN299" s="33"/>
      <c r="SO299" s="33"/>
      <c r="SP299" s="33"/>
      <c r="SQ299" s="33"/>
      <c r="SR299" s="33"/>
      <c r="SS299" s="33"/>
      <c r="ST299" s="33"/>
      <c r="SU299" s="33"/>
      <c r="SV299" s="33"/>
      <c r="SW299" s="33"/>
      <c r="SX299" s="33"/>
      <c r="SY299" s="33"/>
      <c r="SZ299" s="33"/>
      <c r="TA299" s="33"/>
      <c r="TB299" s="33"/>
      <c r="TC299" s="33"/>
      <c r="TD299" s="33"/>
      <c r="TE299" s="33"/>
      <c r="TF299" s="33"/>
      <c r="TG299" s="33"/>
    </row>
    <row r="300" spans="1:527" s="22" customFormat="1" ht="47.25" x14ac:dyDescent="0.25">
      <c r="A300" s="59" t="s">
        <v>215</v>
      </c>
      <c r="B300" s="93" t="str">
        <f>'дод 8'!A19</f>
        <v>0160</v>
      </c>
      <c r="C300" s="93" t="str">
        <f>'дод 8'!B19</f>
        <v>0111</v>
      </c>
      <c r="D300" s="36" t="s">
        <v>494</v>
      </c>
      <c r="E300" s="99">
        <f t="shared" ref="E300:E305" si="164">F300+I300</f>
        <v>19430978</v>
      </c>
      <c r="F300" s="99">
        <f>19290300+18000+22178+100500</f>
        <v>19430978</v>
      </c>
      <c r="G300" s="99">
        <f>14962200-30000</f>
        <v>14932200</v>
      </c>
      <c r="H300" s="99">
        <f>286600+22178+100500</f>
        <v>409278</v>
      </c>
      <c r="I300" s="99"/>
      <c r="J300" s="99">
        <f>L300+O300</f>
        <v>0</v>
      </c>
      <c r="K300" s="99">
        <f>18000-18000</f>
        <v>0</v>
      </c>
      <c r="L300" s="99"/>
      <c r="M300" s="99"/>
      <c r="N300" s="99"/>
      <c r="O300" s="99">
        <f>18000-18000</f>
        <v>0</v>
      </c>
      <c r="P300" s="99">
        <f t="shared" ref="P300:P305" si="165">E300+J300</f>
        <v>19430978</v>
      </c>
      <c r="Q300" s="23"/>
      <c r="R300" s="32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  <c r="GD300" s="23"/>
      <c r="GE300" s="23"/>
      <c r="GF300" s="23"/>
      <c r="GG300" s="23"/>
      <c r="GH300" s="23"/>
      <c r="GI300" s="23"/>
      <c r="GJ300" s="23"/>
      <c r="GK300" s="23"/>
      <c r="GL300" s="23"/>
      <c r="GM300" s="23"/>
      <c r="GN300" s="23"/>
      <c r="GO300" s="23"/>
      <c r="GP300" s="23"/>
      <c r="GQ300" s="23"/>
      <c r="GR300" s="23"/>
      <c r="GS300" s="23"/>
      <c r="GT300" s="23"/>
      <c r="GU300" s="23"/>
      <c r="GV300" s="23"/>
      <c r="GW300" s="23"/>
      <c r="GX300" s="23"/>
      <c r="GY300" s="23"/>
      <c r="GZ300" s="23"/>
      <c r="HA300" s="23"/>
      <c r="HB300" s="23"/>
      <c r="HC300" s="23"/>
      <c r="HD300" s="23"/>
      <c r="HE300" s="23"/>
      <c r="HF300" s="23"/>
      <c r="HG300" s="23"/>
      <c r="HH300" s="23"/>
      <c r="HI300" s="23"/>
      <c r="HJ300" s="23"/>
      <c r="HK300" s="23"/>
      <c r="HL300" s="23"/>
      <c r="HM300" s="23"/>
      <c r="HN300" s="23"/>
      <c r="HO300" s="23"/>
      <c r="HP300" s="23"/>
      <c r="HQ300" s="23"/>
      <c r="HR300" s="23"/>
      <c r="HS300" s="23"/>
      <c r="HT300" s="23"/>
      <c r="HU300" s="23"/>
      <c r="HV300" s="23"/>
      <c r="HW300" s="23"/>
      <c r="HX300" s="23"/>
      <c r="HY300" s="23"/>
      <c r="HZ300" s="23"/>
      <c r="IA300" s="23"/>
      <c r="IB300" s="23"/>
      <c r="IC300" s="23"/>
      <c r="ID300" s="23"/>
      <c r="IE300" s="23"/>
      <c r="IF300" s="23"/>
      <c r="IG300" s="23"/>
      <c r="IH300" s="23"/>
      <c r="II300" s="23"/>
      <c r="IJ300" s="23"/>
      <c r="IK300" s="23"/>
      <c r="IL300" s="23"/>
      <c r="IM300" s="23"/>
      <c r="IN300" s="23"/>
      <c r="IO300" s="23"/>
      <c r="IP300" s="23"/>
      <c r="IQ300" s="23"/>
      <c r="IR300" s="23"/>
      <c r="IS300" s="23"/>
      <c r="IT300" s="23"/>
      <c r="IU300" s="23"/>
      <c r="IV300" s="23"/>
      <c r="IW300" s="23"/>
      <c r="IX300" s="23"/>
      <c r="IY300" s="23"/>
      <c r="IZ300" s="23"/>
      <c r="JA300" s="23"/>
      <c r="JB300" s="23"/>
      <c r="JC300" s="23"/>
      <c r="JD300" s="23"/>
      <c r="JE300" s="23"/>
      <c r="JF300" s="23"/>
      <c r="JG300" s="23"/>
      <c r="JH300" s="23"/>
      <c r="JI300" s="23"/>
      <c r="JJ300" s="23"/>
      <c r="JK300" s="23"/>
      <c r="JL300" s="23"/>
      <c r="JM300" s="23"/>
      <c r="JN300" s="23"/>
      <c r="JO300" s="23"/>
      <c r="JP300" s="23"/>
      <c r="JQ300" s="23"/>
      <c r="JR300" s="23"/>
      <c r="JS300" s="23"/>
      <c r="JT300" s="23"/>
      <c r="JU300" s="23"/>
      <c r="JV300" s="23"/>
      <c r="JW300" s="23"/>
      <c r="JX300" s="23"/>
      <c r="JY300" s="23"/>
      <c r="JZ300" s="23"/>
      <c r="KA300" s="23"/>
      <c r="KB300" s="23"/>
      <c r="KC300" s="23"/>
      <c r="KD300" s="23"/>
      <c r="KE300" s="23"/>
      <c r="KF300" s="23"/>
      <c r="KG300" s="23"/>
      <c r="KH300" s="23"/>
      <c r="KI300" s="23"/>
      <c r="KJ300" s="23"/>
      <c r="KK300" s="23"/>
      <c r="KL300" s="23"/>
      <c r="KM300" s="23"/>
      <c r="KN300" s="23"/>
      <c r="KO300" s="23"/>
      <c r="KP300" s="23"/>
      <c r="KQ300" s="23"/>
      <c r="KR300" s="23"/>
      <c r="KS300" s="23"/>
      <c r="KT300" s="23"/>
      <c r="KU300" s="23"/>
      <c r="KV300" s="23"/>
      <c r="KW300" s="23"/>
      <c r="KX300" s="23"/>
      <c r="KY300" s="23"/>
      <c r="KZ300" s="23"/>
      <c r="LA300" s="23"/>
      <c r="LB300" s="23"/>
      <c r="LC300" s="23"/>
      <c r="LD300" s="23"/>
      <c r="LE300" s="23"/>
      <c r="LF300" s="23"/>
      <c r="LG300" s="23"/>
      <c r="LH300" s="23"/>
      <c r="LI300" s="23"/>
      <c r="LJ300" s="23"/>
      <c r="LK300" s="23"/>
      <c r="LL300" s="23"/>
      <c r="LM300" s="23"/>
      <c r="LN300" s="23"/>
      <c r="LO300" s="23"/>
      <c r="LP300" s="23"/>
      <c r="LQ300" s="23"/>
      <c r="LR300" s="23"/>
      <c r="LS300" s="23"/>
      <c r="LT300" s="23"/>
      <c r="LU300" s="23"/>
      <c r="LV300" s="23"/>
      <c r="LW300" s="23"/>
      <c r="LX300" s="23"/>
      <c r="LY300" s="23"/>
      <c r="LZ300" s="23"/>
      <c r="MA300" s="23"/>
      <c r="MB300" s="23"/>
      <c r="MC300" s="23"/>
      <c r="MD300" s="23"/>
      <c r="ME300" s="23"/>
      <c r="MF300" s="23"/>
      <c r="MG300" s="23"/>
      <c r="MH300" s="23"/>
      <c r="MI300" s="23"/>
      <c r="MJ300" s="23"/>
      <c r="MK300" s="23"/>
      <c r="ML300" s="23"/>
      <c r="MM300" s="23"/>
      <c r="MN300" s="23"/>
      <c r="MO300" s="23"/>
      <c r="MP300" s="23"/>
      <c r="MQ300" s="23"/>
      <c r="MR300" s="23"/>
      <c r="MS300" s="23"/>
      <c r="MT300" s="23"/>
      <c r="MU300" s="23"/>
      <c r="MV300" s="23"/>
      <c r="MW300" s="23"/>
      <c r="MX300" s="23"/>
      <c r="MY300" s="23"/>
      <c r="MZ300" s="23"/>
      <c r="NA300" s="23"/>
      <c r="NB300" s="23"/>
      <c r="NC300" s="23"/>
      <c r="ND300" s="23"/>
      <c r="NE300" s="23"/>
      <c r="NF300" s="23"/>
      <c r="NG300" s="23"/>
      <c r="NH300" s="23"/>
      <c r="NI300" s="23"/>
      <c r="NJ300" s="23"/>
      <c r="NK300" s="23"/>
      <c r="NL300" s="23"/>
      <c r="NM300" s="23"/>
      <c r="NN300" s="23"/>
      <c r="NO300" s="23"/>
      <c r="NP300" s="23"/>
      <c r="NQ300" s="23"/>
      <c r="NR300" s="23"/>
      <c r="NS300" s="23"/>
      <c r="NT300" s="23"/>
      <c r="NU300" s="23"/>
      <c r="NV300" s="23"/>
      <c r="NW300" s="23"/>
      <c r="NX300" s="23"/>
      <c r="NY300" s="23"/>
      <c r="NZ300" s="23"/>
      <c r="OA300" s="23"/>
      <c r="OB300" s="23"/>
      <c r="OC300" s="23"/>
      <c r="OD300" s="23"/>
      <c r="OE300" s="23"/>
      <c r="OF300" s="23"/>
      <c r="OG300" s="23"/>
      <c r="OH300" s="23"/>
      <c r="OI300" s="23"/>
      <c r="OJ300" s="23"/>
      <c r="OK300" s="23"/>
      <c r="OL300" s="23"/>
      <c r="OM300" s="23"/>
      <c r="ON300" s="23"/>
      <c r="OO300" s="23"/>
      <c r="OP300" s="23"/>
      <c r="OQ300" s="23"/>
      <c r="OR300" s="23"/>
      <c r="OS300" s="23"/>
      <c r="OT300" s="23"/>
      <c r="OU300" s="23"/>
      <c r="OV300" s="23"/>
      <c r="OW300" s="23"/>
      <c r="OX300" s="23"/>
      <c r="OY300" s="23"/>
      <c r="OZ300" s="23"/>
      <c r="PA300" s="23"/>
      <c r="PB300" s="23"/>
      <c r="PC300" s="23"/>
      <c r="PD300" s="23"/>
      <c r="PE300" s="23"/>
      <c r="PF300" s="23"/>
      <c r="PG300" s="23"/>
      <c r="PH300" s="23"/>
      <c r="PI300" s="23"/>
      <c r="PJ300" s="23"/>
      <c r="PK300" s="23"/>
      <c r="PL300" s="23"/>
      <c r="PM300" s="23"/>
      <c r="PN300" s="23"/>
      <c r="PO300" s="23"/>
      <c r="PP300" s="23"/>
      <c r="PQ300" s="23"/>
      <c r="PR300" s="23"/>
      <c r="PS300" s="23"/>
      <c r="PT300" s="23"/>
      <c r="PU300" s="23"/>
      <c r="PV300" s="23"/>
      <c r="PW300" s="23"/>
      <c r="PX300" s="23"/>
      <c r="PY300" s="23"/>
      <c r="PZ300" s="23"/>
      <c r="QA300" s="23"/>
      <c r="QB300" s="23"/>
      <c r="QC300" s="23"/>
      <c r="QD300" s="23"/>
      <c r="QE300" s="23"/>
      <c r="QF300" s="23"/>
      <c r="QG300" s="23"/>
      <c r="QH300" s="23"/>
      <c r="QI300" s="23"/>
      <c r="QJ300" s="23"/>
      <c r="QK300" s="23"/>
      <c r="QL300" s="23"/>
      <c r="QM300" s="23"/>
      <c r="QN300" s="23"/>
      <c r="QO300" s="23"/>
      <c r="QP300" s="23"/>
      <c r="QQ300" s="23"/>
      <c r="QR300" s="23"/>
      <c r="QS300" s="23"/>
      <c r="QT300" s="23"/>
      <c r="QU300" s="23"/>
      <c r="QV300" s="23"/>
      <c r="QW300" s="23"/>
      <c r="QX300" s="23"/>
      <c r="QY300" s="23"/>
      <c r="QZ300" s="23"/>
      <c r="RA300" s="23"/>
      <c r="RB300" s="23"/>
      <c r="RC300" s="23"/>
      <c r="RD300" s="23"/>
      <c r="RE300" s="23"/>
      <c r="RF300" s="23"/>
      <c r="RG300" s="23"/>
      <c r="RH300" s="23"/>
      <c r="RI300" s="23"/>
      <c r="RJ300" s="23"/>
      <c r="RK300" s="23"/>
      <c r="RL300" s="23"/>
      <c r="RM300" s="23"/>
      <c r="RN300" s="23"/>
      <c r="RO300" s="23"/>
      <c r="RP300" s="23"/>
      <c r="RQ300" s="23"/>
      <c r="RR300" s="23"/>
      <c r="RS300" s="23"/>
      <c r="RT300" s="23"/>
      <c r="RU300" s="23"/>
      <c r="RV300" s="23"/>
      <c r="RW300" s="23"/>
      <c r="RX300" s="23"/>
      <c r="RY300" s="23"/>
      <c r="RZ300" s="23"/>
      <c r="SA300" s="23"/>
      <c r="SB300" s="23"/>
      <c r="SC300" s="23"/>
      <c r="SD300" s="23"/>
      <c r="SE300" s="23"/>
      <c r="SF300" s="23"/>
      <c r="SG300" s="23"/>
      <c r="SH300" s="23"/>
      <c r="SI300" s="23"/>
      <c r="SJ300" s="23"/>
      <c r="SK300" s="23"/>
      <c r="SL300" s="23"/>
      <c r="SM300" s="23"/>
      <c r="SN300" s="23"/>
      <c r="SO300" s="23"/>
      <c r="SP300" s="23"/>
      <c r="SQ300" s="23"/>
      <c r="SR300" s="23"/>
      <c r="SS300" s="23"/>
      <c r="ST300" s="23"/>
      <c r="SU300" s="23"/>
      <c r="SV300" s="23"/>
      <c r="SW300" s="23"/>
      <c r="SX300" s="23"/>
      <c r="SY300" s="23"/>
      <c r="SZ300" s="23"/>
      <c r="TA300" s="23"/>
      <c r="TB300" s="23"/>
      <c r="TC300" s="23"/>
      <c r="TD300" s="23"/>
      <c r="TE300" s="23"/>
      <c r="TF300" s="23"/>
      <c r="TG300" s="23"/>
    </row>
    <row r="301" spans="1:527" s="25" customFormat="1" ht="25.5" customHeight="1" x14ac:dyDescent="0.25">
      <c r="A301" s="59" t="s">
        <v>216</v>
      </c>
      <c r="B301" s="93" t="str">
        <f>'дод 8'!A173</f>
        <v>7130</v>
      </c>
      <c r="C301" s="93" t="str">
        <f>'дод 8'!B173</f>
        <v>0421</v>
      </c>
      <c r="D301" s="60" t="str">
        <f>'дод 8'!C173</f>
        <v>Здійснення заходів із землеустрою</v>
      </c>
      <c r="E301" s="99">
        <f t="shared" si="164"/>
        <v>450000</v>
      </c>
      <c r="F301" s="99">
        <f>150000+300000</f>
        <v>450000</v>
      </c>
      <c r="G301" s="99"/>
      <c r="H301" s="99"/>
      <c r="I301" s="99"/>
      <c r="J301" s="99">
        <f t="shared" ref="J301:J305" si="166">L301+O301</f>
        <v>0</v>
      </c>
      <c r="K301" s="99"/>
      <c r="L301" s="99"/>
      <c r="M301" s="99"/>
      <c r="N301" s="99"/>
      <c r="O301" s="99"/>
      <c r="P301" s="99">
        <f t="shared" si="165"/>
        <v>450000</v>
      </c>
      <c r="Q301" s="31"/>
      <c r="R301" s="32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  <c r="CS301" s="31"/>
      <c r="CT301" s="31"/>
      <c r="CU301" s="31"/>
      <c r="CV301" s="31"/>
      <c r="CW301" s="31"/>
      <c r="CX301" s="31"/>
      <c r="CY301" s="31"/>
      <c r="CZ301" s="31"/>
      <c r="DA301" s="31"/>
      <c r="DB301" s="31"/>
      <c r="DC301" s="31"/>
      <c r="DD301" s="31"/>
      <c r="DE301" s="31"/>
      <c r="DF301" s="31"/>
      <c r="DG301" s="31"/>
      <c r="DH301" s="31"/>
      <c r="DI301" s="31"/>
      <c r="DJ301" s="31"/>
      <c r="DK301" s="31"/>
      <c r="DL301" s="31"/>
      <c r="DM301" s="31"/>
      <c r="DN301" s="31"/>
      <c r="DO301" s="31"/>
      <c r="DP301" s="31"/>
      <c r="DQ301" s="31"/>
      <c r="DR301" s="31"/>
      <c r="DS301" s="31"/>
      <c r="DT301" s="31"/>
      <c r="DU301" s="31"/>
      <c r="DV301" s="31"/>
      <c r="DW301" s="31"/>
      <c r="DX301" s="31"/>
      <c r="DY301" s="31"/>
      <c r="DZ301" s="31"/>
      <c r="EA301" s="31"/>
      <c r="EB301" s="31"/>
      <c r="EC301" s="31"/>
      <c r="ED301" s="31"/>
      <c r="EE301" s="31"/>
      <c r="EF301" s="31"/>
      <c r="EG301" s="31"/>
      <c r="EH301" s="31"/>
      <c r="EI301" s="31"/>
      <c r="EJ301" s="31"/>
      <c r="EK301" s="31"/>
      <c r="EL301" s="31"/>
      <c r="EM301" s="31"/>
      <c r="EN301" s="31"/>
      <c r="EO301" s="31"/>
      <c r="EP301" s="31"/>
      <c r="EQ301" s="31"/>
      <c r="ER301" s="31"/>
      <c r="ES301" s="31"/>
      <c r="ET301" s="31"/>
      <c r="EU301" s="31"/>
      <c r="EV301" s="31"/>
      <c r="EW301" s="31"/>
      <c r="EX301" s="31"/>
      <c r="EY301" s="31"/>
      <c r="EZ301" s="31"/>
      <c r="FA301" s="31"/>
      <c r="FB301" s="31"/>
      <c r="FC301" s="31"/>
      <c r="FD301" s="31"/>
      <c r="FE301" s="31"/>
      <c r="FF301" s="31"/>
      <c r="FG301" s="31"/>
      <c r="FH301" s="31"/>
      <c r="FI301" s="31"/>
      <c r="FJ301" s="31"/>
      <c r="FK301" s="31"/>
      <c r="FL301" s="31"/>
      <c r="FM301" s="31"/>
      <c r="FN301" s="31"/>
      <c r="FO301" s="31"/>
      <c r="FP301" s="31"/>
      <c r="FQ301" s="31"/>
      <c r="FR301" s="31"/>
      <c r="FS301" s="31"/>
      <c r="FT301" s="31"/>
      <c r="FU301" s="31"/>
      <c r="FV301" s="31"/>
      <c r="FW301" s="31"/>
      <c r="FX301" s="31"/>
      <c r="FY301" s="31"/>
      <c r="FZ301" s="31"/>
      <c r="GA301" s="31"/>
      <c r="GB301" s="31"/>
      <c r="GC301" s="31"/>
      <c r="GD301" s="31"/>
      <c r="GE301" s="31"/>
      <c r="GF301" s="31"/>
      <c r="GG301" s="31"/>
      <c r="GH301" s="31"/>
      <c r="GI301" s="31"/>
      <c r="GJ301" s="31"/>
      <c r="GK301" s="31"/>
      <c r="GL301" s="31"/>
      <c r="GM301" s="31"/>
      <c r="GN301" s="31"/>
      <c r="GO301" s="31"/>
      <c r="GP301" s="31"/>
      <c r="GQ301" s="31"/>
      <c r="GR301" s="31"/>
      <c r="GS301" s="31"/>
      <c r="GT301" s="31"/>
      <c r="GU301" s="31"/>
      <c r="GV301" s="31"/>
      <c r="GW301" s="31"/>
      <c r="GX301" s="31"/>
      <c r="GY301" s="31"/>
      <c r="GZ301" s="31"/>
      <c r="HA301" s="31"/>
      <c r="HB301" s="31"/>
      <c r="HC301" s="31"/>
      <c r="HD301" s="31"/>
      <c r="HE301" s="31"/>
      <c r="HF301" s="31"/>
      <c r="HG301" s="31"/>
      <c r="HH301" s="31"/>
      <c r="HI301" s="31"/>
      <c r="HJ301" s="31"/>
      <c r="HK301" s="31"/>
      <c r="HL301" s="31"/>
      <c r="HM301" s="31"/>
      <c r="HN301" s="31"/>
      <c r="HO301" s="31"/>
      <c r="HP301" s="31"/>
      <c r="HQ301" s="31"/>
      <c r="HR301" s="31"/>
      <c r="HS301" s="31"/>
      <c r="HT301" s="31"/>
      <c r="HU301" s="31"/>
      <c r="HV301" s="31"/>
      <c r="HW301" s="31"/>
      <c r="HX301" s="31"/>
      <c r="HY301" s="31"/>
      <c r="HZ301" s="31"/>
      <c r="IA301" s="31"/>
      <c r="IB301" s="31"/>
      <c r="IC301" s="31"/>
      <c r="ID301" s="31"/>
      <c r="IE301" s="31"/>
      <c r="IF301" s="31"/>
      <c r="IG301" s="31"/>
      <c r="IH301" s="31"/>
      <c r="II301" s="31"/>
      <c r="IJ301" s="31"/>
      <c r="IK301" s="31"/>
      <c r="IL301" s="31"/>
      <c r="IM301" s="31"/>
      <c r="IN301" s="31"/>
      <c r="IO301" s="31"/>
      <c r="IP301" s="31"/>
      <c r="IQ301" s="31"/>
      <c r="IR301" s="31"/>
      <c r="IS301" s="31"/>
      <c r="IT301" s="31"/>
      <c r="IU301" s="31"/>
      <c r="IV301" s="31"/>
      <c r="IW301" s="31"/>
      <c r="IX301" s="31"/>
      <c r="IY301" s="31"/>
      <c r="IZ301" s="31"/>
      <c r="JA301" s="31"/>
      <c r="JB301" s="31"/>
      <c r="JC301" s="31"/>
      <c r="JD301" s="31"/>
      <c r="JE301" s="31"/>
      <c r="JF301" s="31"/>
      <c r="JG301" s="31"/>
      <c r="JH301" s="31"/>
      <c r="JI301" s="31"/>
      <c r="JJ301" s="31"/>
      <c r="JK301" s="31"/>
      <c r="JL301" s="31"/>
      <c r="JM301" s="31"/>
      <c r="JN301" s="31"/>
      <c r="JO301" s="31"/>
      <c r="JP301" s="31"/>
      <c r="JQ301" s="31"/>
      <c r="JR301" s="31"/>
      <c r="JS301" s="31"/>
      <c r="JT301" s="31"/>
      <c r="JU301" s="31"/>
      <c r="JV301" s="31"/>
      <c r="JW301" s="31"/>
      <c r="JX301" s="31"/>
      <c r="JY301" s="31"/>
      <c r="JZ301" s="31"/>
      <c r="KA301" s="31"/>
      <c r="KB301" s="31"/>
      <c r="KC301" s="31"/>
      <c r="KD301" s="31"/>
      <c r="KE301" s="31"/>
      <c r="KF301" s="31"/>
      <c r="KG301" s="31"/>
      <c r="KH301" s="31"/>
      <c r="KI301" s="31"/>
      <c r="KJ301" s="31"/>
      <c r="KK301" s="31"/>
      <c r="KL301" s="31"/>
      <c r="KM301" s="31"/>
      <c r="KN301" s="31"/>
      <c r="KO301" s="31"/>
      <c r="KP301" s="31"/>
      <c r="KQ301" s="31"/>
      <c r="KR301" s="31"/>
      <c r="KS301" s="31"/>
      <c r="KT301" s="31"/>
      <c r="KU301" s="31"/>
      <c r="KV301" s="31"/>
      <c r="KW301" s="31"/>
      <c r="KX301" s="31"/>
      <c r="KY301" s="31"/>
      <c r="KZ301" s="31"/>
      <c r="LA301" s="31"/>
      <c r="LB301" s="31"/>
      <c r="LC301" s="31"/>
      <c r="LD301" s="31"/>
      <c r="LE301" s="31"/>
      <c r="LF301" s="31"/>
      <c r="LG301" s="31"/>
      <c r="LH301" s="31"/>
      <c r="LI301" s="31"/>
      <c r="LJ301" s="31"/>
      <c r="LK301" s="31"/>
      <c r="LL301" s="31"/>
      <c r="LM301" s="31"/>
      <c r="LN301" s="31"/>
      <c r="LO301" s="31"/>
      <c r="LP301" s="31"/>
      <c r="LQ301" s="31"/>
      <c r="LR301" s="31"/>
      <c r="LS301" s="31"/>
      <c r="LT301" s="31"/>
      <c r="LU301" s="31"/>
      <c r="LV301" s="31"/>
      <c r="LW301" s="31"/>
      <c r="LX301" s="31"/>
      <c r="LY301" s="31"/>
      <c r="LZ301" s="31"/>
      <c r="MA301" s="31"/>
      <c r="MB301" s="31"/>
      <c r="MC301" s="31"/>
      <c r="MD301" s="31"/>
      <c r="ME301" s="31"/>
      <c r="MF301" s="31"/>
      <c r="MG301" s="31"/>
      <c r="MH301" s="31"/>
      <c r="MI301" s="31"/>
      <c r="MJ301" s="31"/>
      <c r="MK301" s="31"/>
      <c r="ML301" s="31"/>
      <c r="MM301" s="31"/>
      <c r="MN301" s="31"/>
      <c r="MO301" s="31"/>
      <c r="MP301" s="31"/>
      <c r="MQ301" s="31"/>
      <c r="MR301" s="31"/>
      <c r="MS301" s="31"/>
      <c r="MT301" s="31"/>
      <c r="MU301" s="31"/>
      <c r="MV301" s="31"/>
      <c r="MW301" s="31"/>
      <c r="MX301" s="31"/>
      <c r="MY301" s="31"/>
      <c r="MZ301" s="31"/>
      <c r="NA301" s="31"/>
      <c r="NB301" s="31"/>
      <c r="NC301" s="31"/>
      <c r="ND301" s="31"/>
      <c r="NE301" s="31"/>
      <c r="NF301" s="31"/>
      <c r="NG301" s="31"/>
      <c r="NH301" s="31"/>
      <c r="NI301" s="31"/>
      <c r="NJ301" s="31"/>
      <c r="NK301" s="31"/>
      <c r="NL301" s="31"/>
      <c r="NM301" s="31"/>
      <c r="NN301" s="31"/>
      <c r="NO301" s="31"/>
      <c r="NP301" s="31"/>
      <c r="NQ301" s="31"/>
      <c r="NR301" s="31"/>
      <c r="NS301" s="31"/>
      <c r="NT301" s="31"/>
      <c r="NU301" s="31"/>
      <c r="NV301" s="31"/>
      <c r="NW301" s="31"/>
      <c r="NX301" s="31"/>
      <c r="NY301" s="31"/>
      <c r="NZ301" s="31"/>
      <c r="OA301" s="31"/>
      <c r="OB301" s="31"/>
      <c r="OC301" s="31"/>
      <c r="OD301" s="31"/>
      <c r="OE301" s="31"/>
      <c r="OF301" s="31"/>
      <c r="OG301" s="31"/>
      <c r="OH301" s="31"/>
      <c r="OI301" s="31"/>
      <c r="OJ301" s="31"/>
      <c r="OK301" s="31"/>
      <c r="OL301" s="31"/>
      <c r="OM301" s="31"/>
      <c r="ON301" s="31"/>
      <c r="OO301" s="31"/>
      <c r="OP301" s="31"/>
      <c r="OQ301" s="31"/>
      <c r="OR301" s="31"/>
      <c r="OS301" s="31"/>
      <c r="OT301" s="31"/>
      <c r="OU301" s="31"/>
      <c r="OV301" s="31"/>
      <c r="OW301" s="31"/>
      <c r="OX301" s="31"/>
      <c r="OY301" s="31"/>
      <c r="OZ301" s="31"/>
      <c r="PA301" s="31"/>
      <c r="PB301" s="31"/>
      <c r="PC301" s="31"/>
      <c r="PD301" s="31"/>
      <c r="PE301" s="31"/>
      <c r="PF301" s="31"/>
      <c r="PG301" s="31"/>
      <c r="PH301" s="31"/>
      <c r="PI301" s="31"/>
      <c r="PJ301" s="31"/>
      <c r="PK301" s="31"/>
      <c r="PL301" s="31"/>
      <c r="PM301" s="31"/>
      <c r="PN301" s="31"/>
      <c r="PO301" s="31"/>
      <c r="PP301" s="31"/>
      <c r="PQ301" s="31"/>
      <c r="PR301" s="31"/>
      <c r="PS301" s="31"/>
      <c r="PT301" s="31"/>
      <c r="PU301" s="31"/>
      <c r="PV301" s="31"/>
      <c r="PW301" s="31"/>
      <c r="PX301" s="31"/>
      <c r="PY301" s="31"/>
      <c r="PZ301" s="31"/>
      <c r="QA301" s="31"/>
      <c r="QB301" s="31"/>
      <c r="QC301" s="31"/>
      <c r="QD301" s="31"/>
      <c r="QE301" s="31"/>
      <c r="QF301" s="31"/>
      <c r="QG301" s="31"/>
      <c r="QH301" s="31"/>
      <c r="QI301" s="31"/>
      <c r="QJ301" s="31"/>
      <c r="QK301" s="31"/>
      <c r="QL301" s="31"/>
      <c r="QM301" s="31"/>
      <c r="QN301" s="31"/>
      <c r="QO301" s="31"/>
      <c r="QP301" s="31"/>
      <c r="QQ301" s="31"/>
      <c r="QR301" s="31"/>
      <c r="QS301" s="31"/>
      <c r="QT301" s="31"/>
      <c r="QU301" s="31"/>
      <c r="QV301" s="31"/>
      <c r="QW301" s="31"/>
      <c r="QX301" s="31"/>
      <c r="QY301" s="31"/>
      <c r="QZ301" s="31"/>
      <c r="RA301" s="31"/>
      <c r="RB301" s="31"/>
      <c r="RC301" s="31"/>
      <c r="RD301" s="31"/>
      <c r="RE301" s="31"/>
      <c r="RF301" s="31"/>
      <c r="RG301" s="31"/>
      <c r="RH301" s="31"/>
      <c r="RI301" s="31"/>
      <c r="RJ301" s="31"/>
      <c r="RK301" s="31"/>
      <c r="RL301" s="31"/>
      <c r="RM301" s="31"/>
      <c r="RN301" s="31"/>
      <c r="RO301" s="31"/>
      <c r="RP301" s="31"/>
      <c r="RQ301" s="31"/>
      <c r="RR301" s="31"/>
      <c r="RS301" s="31"/>
      <c r="RT301" s="31"/>
      <c r="RU301" s="31"/>
      <c r="RV301" s="31"/>
      <c r="RW301" s="31"/>
      <c r="RX301" s="31"/>
      <c r="RY301" s="31"/>
      <c r="RZ301" s="31"/>
      <c r="SA301" s="31"/>
      <c r="SB301" s="31"/>
      <c r="SC301" s="31"/>
      <c r="SD301" s="31"/>
      <c r="SE301" s="31"/>
      <c r="SF301" s="31"/>
      <c r="SG301" s="31"/>
      <c r="SH301" s="31"/>
      <c r="SI301" s="31"/>
      <c r="SJ301" s="31"/>
      <c r="SK301" s="31"/>
      <c r="SL301" s="31"/>
      <c r="SM301" s="31"/>
      <c r="SN301" s="31"/>
      <c r="SO301" s="31"/>
      <c r="SP301" s="31"/>
      <c r="SQ301" s="31"/>
      <c r="SR301" s="31"/>
      <c r="SS301" s="31"/>
      <c r="ST301" s="31"/>
      <c r="SU301" s="31"/>
      <c r="SV301" s="31"/>
      <c r="SW301" s="31"/>
      <c r="SX301" s="31"/>
      <c r="SY301" s="31"/>
      <c r="SZ301" s="31"/>
      <c r="TA301" s="31"/>
      <c r="TB301" s="31"/>
      <c r="TC301" s="31"/>
      <c r="TD301" s="31"/>
      <c r="TE301" s="31"/>
      <c r="TF301" s="31"/>
      <c r="TG301" s="31"/>
    </row>
    <row r="302" spans="1:527" s="22" customFormat="1" ht="29.25" customHeight="1" x14ac:dyDescent="0.25">
      <c r="A302" s="103" t="s">
        <v>217</v>
      </c>
      <c r="B302" s="42" t="str">
        <f>'дод 8'!A214</f>
        <v>7610</v>
      </c>
      <c r="C302" s="42" t="str">
        <f>'дод 8'!B214</f>
        <v>0411</v>
      </c>
      <c r="D302" s="36" t="str">
        <f>'дод 8'!C214</f>
        <v>Сприяння розвитку малого та середнього підприємництва</v>
      </c>
      <c r="E302" s="99">
        <f t="shared" si="164"/>
        <v>312000</v>
      </c>
      <c r="F302" s="99">
        <f>415000-103000</f>
        <v>312000</v>
      </c>
      <c r="G302" s="99"/>
      <c r="H302" s="99"/>
      <c r="I302" s="99">
        <f>500000-500000</f>
        <v>0</v>
      </c>
      <c r="J302" s="99">
        <f t="shared" si="166"/>
        <v>0</v>
      </c>
      <c r="K302" s="99"/>
      <c r="L302" s="99"/>
      <c r="M302" s="99"/>
      <c r="N302" s="99"/>
      <c r="O302" s="99"/>
      <c r="P302" s="99">
        <f t="shared" si="165"/>
        <v>312000</v>
      </c>
      <c r="Q302" s="23"/>
      <c r="R302" s="32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  <c r="GD302" s="23"/>
      <c r="GE302" s="23"/>
      <c r="GF302" s="23"/>
      <c r="GG302" s="23"/>
      <c r="GH302" s="23"/>
      <c r="GI302" s="23"/>
      <c r="GJ302" s="23"/>
      <c r="GK302" s="23"/>
      <c r="GL302" s="23"/>
      <c r="GM302" s="23"/>
      <c r="GN302" s="23"/>
      <c r="GO302" s="23"/>
      <c r="GP302" s="23"/>
      <c r="GQ302" s="23"/>
      <c r="GR302" s="23"/>
      <c r="GS302" s="23"/>
      <c r="GT302" s="23"/>
      <c r="GU302" s="23"/>
      <c r="GV302" s="23"/>
      <c r="GW302" s="23"/>
      <c r="GX302" s="23"/>
      <c r="GY302" s="23"/>
      <c r="GZ302" s="23"/>
      <c r="HA302" s="23"/>
      <c r="HB302" s="23"/>
      <c r="HC302" s="23"/>
      <c r="HD302" s="23"/>
      <c r="HE302" s="23"/>
      <c r="HF302" s="23"/>
      <c r="HG302" s="23"/>
      <c r="HH302" s="23"/>
      <c r="HI302" s="23"/>
      <c r="HJ302" s="23"/>
      <c r="HK302" s="23"/>
      <c r="HL302" s="23"/>
      <c r="HM302" s="23"/>
      <c r="HN302" s="23"/>
      <c r="HO302" s="23"/>
      <c r="HP302" s="23"/>
      <c r="HQ302" s="23"/>
      <c r="HR302" s="23"/>
      <c r="HS302" s="23"/>
      <c r="HT302" s="23"/>
      <c r="HU302" s="23"/>
      <c r="HV302" s="23"/>
      <c r="HW302" s="23"/>
      <c r="HX302" s="23"/>
      <c r="HY302" s="23"/>
      <c r="HZ302" s="23"/>
      <c r="IA302" s="23"/>
      <c r="IB302" s="23"/>
      <c r="IC302" s="23"/>
      <c r="ID302" s="23"/>
      <c r="IE302" s="23"/>
      <c r="IF302" s="23"/>
      <c r="IG302" s="23"/>
      <c r="IH302" s="23"/>
      <c r="II302" s="23"/>
      <c r="IJ302" s="23"/>
      <c r="IK302" s="23"/>
      <c r="IL302" s="23"/>
      <c r="IM302" s="23"/>
      <c r="IN302" s="23"/>
      <c r="IO302" s="23"/>
      <c r="IP302" s="23"/>
      <c r="IQ302" s="23"/>
      <c r="IR302" s="23"/>
      <c r="IS302" s="23"/>
      <c r="IT302" s="23"/>
      <c r="IU302" s="23"/>
      <c r="IV302" s="23"/>
      <c r="IW302" s="23"/>
      <c r="IX302" s="23"/>
      <c r="IY302" s="23"/>
      <c r="IZ302" s="23"/>
      <c r="JA302" s="23"/>
      <c r="JB302" s="23"/>
      <c r="JC302" s="23"/>
      <c r="JD302" s="23"/>
      <c r="JE302" s="23"/>
      <c r="JF302" s="23"/>
      <c r="JG302" s="23"/>
      <c r="JH302" s="23"/>
      <c r="JI302" s="23"/>
      <c r="JJ302" s="23"/>
      <c r="JK302" s="23"/>
      <c r="JL302" s="23"/>
      <c r="JM302" s="23"/>
      <c r="JN302" s="23"/>
      <c r="JO302" s="23"/>
      <c r="JP302" s="23"/>
      <c r="JQ302" s="23"/>
      <c r="JR302" s="23"/>
      <c r="JS302" s="23"/>
      <c r="JT302" s="23"/>
      <c r="JU302" s="23"/>
      <c r="JV302" s="23"/>
      <c r="JW302" s="23"/>
      <c r="JX302" s="23"/>
      <c r="JY302" s="23"/>
      <c r="JZ302" s="23"/>
      <c r="KA302" s="23"/>
      <c r="KB302" s="23"/>
      <c r="KC302" s="23"/>
      <c r="KD302" s="23"/>
      <c r="KE302" s="23"/>
      <c r="KF302" s="23"/>
      <c r="KG302" s="23"/>
      <c r="KH302" s="23"/>
      <c r="KI302" s="23"/>
      <c r="KJ302" s="23"/>
      <c r="KK302" s="23"/>
      <c r="KL302" s="23"/>
      <c r="KM302" s="23"/>
      <c r="KN302" s="23"/>
      <c r="KO302" s="23"/>
      <c r="KP302" s="23"/>
      <c r="KQ302" s="23"/>
      <c r="KR302" s="23"/>
      <c r="KS302" s="23"/>
      <c r="KT302" s="23"/>
      <c r="KU302" s="23"/>
      <c r="KV302" s="23"/>
      <c r="KW302" s="23"/>
      <c r="KX302" s="23"/>
      <c r="KY302" s="23"/>
      <c r="KZ302" s="23"/>
      <c r="LA302" s="23"/>
      <c r="LB302" s="23"/>
      <c r="LC302" s="23"/>
      <c r="LD302" s="23"/>
      <c r="LE302" s="23"/>
      <c r="LF302" s="23"/>
      <c r="LG302" s="23"/>
      <c r="LH302" s="23"/>
      <c r="LI302" s="23"/>
      <c r="LJ302" s="23"/>
      <c r="LK302" s="23"/>
      <c r="LL302" s="23"/>
      <c r="LM302" s="23"/>
      <c r="LN302" s="23"/>
      <c r="LO302" s="23"/>
      <c r="LP302" s="23"/>
      <c r="LQ302" s="23"/>
      <c r="LR302" s="23"/>
      <c r="LS302" s="23"/>
      <c r="LT302" s="23"/>
      <c r="LU302" s="23"/>
      <c r="LV302" s="23"/>
      <c r="LW302" s="23"/>
      <c r="LX302" s="23"/>
      <c r="LY302" s="23"/>
      <c r="LZ302" s="23"/>
      <c r="MA302" s="23"/>
      <c r="MB302" s="23"/>
      <c r="MC302" s="23"/>
      <c r="MD302" s="23"/>
      <c r="ME302" s="23"/>
      <c r="MF302" s="23"/>
      <c r="MG302" s="23"/>
      <c r="MH302" s="23"/>
      <c r="MI302" s="23"/>
      <c r="MJ302" s="23"/>
      <c r="MK302" s="23"/>
      <c r="ML302" s="23"/>
      <c r="MM302" s="23"/>
      <c r="MN302" s="23"/>
      <c r="MO302" s="23"/>
      <c r="MP302" s="23"/>
      <c r="MQ302" s="23"/>
      <c r="MR302" s="23"/>
      <c r="MS302" s="23"/>
      <c r="MT302" s="23"/>
      <c r="MU302" s="23"/>
      <c r="MV302" s="23"/>
      <c r="MW302" s="23"/>
      <c r="MX302" s="23"/>
      <c r="MY302" s="23"/>
      <c r="MZ302" s="23"/>
      <c r="NA302" s="23"/>
      <c r="NB302" s="23"/>
      <c r="NC302" s="23"/>
      <c r="ND302" s="23"/>
      <c r="NE302" s="23"/>
      <c r="NF302" s="23"/>
      <c r="NG302" s="23"/>
      <c r="NH302" s="23"/>
      <c r="NI302" s="23"/>
      <c r="NJ302" s="23"/>
      <c r="NK302" s="23"/>
      <c r="NL302" s="23"/>
      <c r="NM302" s="23"/>
      <c r="NN302" s="23"/>
      <c r="NO302" s="23"/>
      <c r="NP302" s="23"/>
      <c r="NQ302" s="23"/>
      <c r="NR302" s="23"/>
      <c r="NS302" s="23"/>
      <c r="NT302" s="23"/>
      <c r="NU302" s="23"/>
      <c r="NV302" s="23"/>
      <c r="NW302" s="23"/>
      <c r="NX302" s="23"/>
      <c r="NY302" s="23"/>
      <c r="NZ302" s="23"/>
      <c r="OA302" s="23"/>
      <c r="OB302" s="23"/>
      <c r="OC302" s="23"/>
      <c r="OD302" s="23"/>
      <c r="OE302" s="23"/>
      <c r="OF302" s="23"/>
      <c r="OG302" s="23"/>
      <c r="OH302" s="23"/>
      <c r="OI302" s="23"/>
      <c r="OJ302" s="23"/>
      <c r="OK302" s="23"/>
      <c r="OL302" s="23"/>
      <c r="OM302" s="23"/>
      <c r="ON302" s="23"/>
      <c r="OO302" s="23"/>
      <c r="OP302" s="23"/>
      <c r="OQ302" s="23"/>
      <c r="OR302" s="23"/>
      <c r="OS302" s="23"/>
      <c r="OT302" s="23"/>
      <c r="OU302" s="23"/>
      <c r="OV302" s="23"/>
      <c r="OW302" s="23"/>
      <c r="OX302" s="23"/>
      <c r="OY302" s="23"/>
      <c r="OZ302" s="23"/>
      <c r="PA302" s="23"/>
      <c r="PB302" s="23"/>
      <c r="PC302" s="23"/>
      <c r="PD302" s="23"/>
      <c r="PE302" s="23"/>
      <c r="PF302" s="23"/>
      <c r="PG302" s="23"/>
      <c r="PH302" s="23"/>
      <c r="PI302" s="23"/>
      <c r="PJ302" s="23"/>
      <c r="PK302" s="23"/>
      <c r="PL302" s="23"/>
      <c r="PM302" s="23"/>
      <c r="PN302" s="23"/>
      <c r="PO302" s="23"/>
      <c r="PP302" s="23"/>
      <c r="PQ302" s="23"/>
      <c r="PR302" s="23"/>
      <c r="PS302" s="23"/>
      <c r="PT302" s="23"/>
      <c r="PU302" s="23"/>
      <c r="PV302" s="23"/>
      <c r="PW302" s="23"/>
      <c r="PX302" s="23"/>
      <c r="PY302" s="23"/>
      <c r="PZ302" s="23"/>
      <c r="QA302" s="23"/>
      <c r="QB302" s="23"/>
      <c r="QC302" s="23"/>
      <c r="QD302" s="23"/>
      <c r="QE302" s="23"/>
      <c r="QF302" s="23"/>
      <c r="QG302" s="23"/>
      <c r="QH302" s="23"/>
      <c r="QI302" s="23"/>
      <c r="QJ302" s="23"/>
      <c r="QK302" s="23"/>
      <c r="QL302" s="23"/>
      <c r="QM302" s="23"/>
      <c r="QN302" s="23"/>
      <c r="QO302" s="23"/>
      <c r="QP302" s="23"/>
      <c r="QQ302" s="23"/>
      <c r="QR302" s="23"/>
      <c r="QS302" s="23"/>
      <c r="QT302" s="23"/>
      <c r="QU302" s="23"/>
      <c r="QV302" s="23"/>
      <c r="QW302" s="23"/>
      <c r="QX302" s="23"/>
      <c r="QY302" s="23"/>
      <c r="QZ302" s="23"/>
      <c r="RA302" s="23"/>
      <c r="RB302" s="23"/>
      <c r="RC302" s="23"/>
      <c r="RD302" s="23"/>
      <c r="RE302" s="23"/>
      <c r="RF302" s="23"/>
      <c r="RG302" s="23"/>
      <c r="RH302" s="23"/>
      <c r="RI302" s="23"/>
      <c r="RJ302" s="23"/>
      <c r="RK302" s="23"/>
      <c r="RL302" s="23"/>
      <c r="RM302" s="23"/>
      <c r="RN302" s="23"/>
      <c r="RO302" s="23"/>
      <c r="RP302" s="23"/>
      <c r="RQ302" s="23"/>
      <c r="RR302" s="23"/>
      <c r="RS302" s="23"/>
      <c r="RT302" s="23"/>
      <c r="RU302" s="23"/>
      <c r="RV302" s="23"/>
      <c r="RW302" s="23"/>
      <c r="RX302" s="23"/>
      <c r="RY302" s="23"/>
      <c r="RZ302" s="23"/>
      <c r="SA302" s="23"/>
      <c r="SB302" s="23"/>
      <c r="SC302" s="23"/>
      <c r="SD302" s="23"/>
      <c r="SE302" s="23"/>
      <c r="SF302" s="23"/>
      <c r="SG302" s="23"/>
      <c r="SH302" s="23"/>
      <c r="SI302" s="23"/>
      <c r="SJ302" s="23"/>
      <c r="SK302" s="23"/>
      <c r="SL302" s="23"/>
      <c r="SM302" s="23"/>
      <c r="SN302" s="23"/>
      <c r="SO302" s="23"/>
      <c r="SP302" s="23"/>
      <c r="SQ302" s="23"/>
      <c r="SR302" s="23"/>
      <c r="SS302" s="23"/>
      <c r="ST302" s="23"/>
      <c r="SU302" s="23"/>
      <c r="SV302" s="23"/>
      <c r="SW302" s="23"/>
      <c r="SX302" s="23"/>
      <c r="SY302" s="23"/>
      <c r="SZ302" s="23"/>
      <c r="TA302" s="23"/>
      <c r="TB302" s="23"/>
      <c r="TC302" s="23"/>
      <c r="TD302" s="23"/>
      <c r="TE302" s="23"/>
      <c r="TF302" s="23"/>
      <c r="TG302" s="23"/>
    </row>
    <row r="303" spans="1:527" s="22" customFormat="1" ht="32.25" customHeight="1" x14ac:dyDescent="0.25">
      <c r="A303" s="103" t="s">
        <v>266</v>
      </c>
      <c r="B303" s="42" t="str">
        <f>'дод 8'!A217</f>
        <v>7650</v>
      </c>
      <c r="C303" s="42" t="str">
        <f>'дод 8'!B217</f>
        <v>0490</v>
      </c>
      <c r="D303" s="36" t="str">
        <f>'дод 8'!C217</f>
        <v>Проведення експертної грошової оцінки земельної ділянки чи права на неї</v>
      </c>
      <c r="E303" s="99">
        <f t="shared" si="164"/>
        <v>0</v>
      </c>
      <c r="F303" s="99"/>
      <c r="G303" s="99"/>
      <c r="H303" s="99"/>
      <c r="I303" s="99"/>
      <c r="J303" s="99">
        <f t="shared" si="166"/>
        <v>20000</v>
      </c>
      <c r="K303" s="99">
        <v>20000</v>
      </c>
      <c r="L303" s="99"/>
      <c r="M303" s="99"/>
      <c r="N303" s="99"/>
      <c r="O303" s="99">
        <v>20000</v>
      </c>
      <c r="P303" s="99">
        <f t="shared" si="165"/>
        <v>20000</v>
      </c>
      <c r="Q303" s="23"/>
      <c r="R303" s="32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3"/>
      <c r="EM303" s="23"/>
      <c r="EN303" s="23"/>
      <c r="EO303" s="23"/>
      <c r="EP303" s="23"/>
      <c r="EQ303" s="23"/>
      <c r="ER303" s="23"/>
      <c r="ES303" s="23"/>
      <c r="ET303" s="23"/>
      <c r="EU303" s="23"/>
      <c r="EV303" s="23"/>
      <c r="EW303" s="23"/>
      <c r="EX303" s="23"/>
      <c r="EY303" s="23"/>
      <c r="EZ303" s="23"/>
      <c r="FA303" s="23"/>
      <c r="FB303" s="23"/>
      <c r="FC303" s="23"/>
      <c r="FD303" s="23"/>
      <c r="FE303" s="23"/>
      <c r="FF303" s="23"/>
      <c r="FG303" s="23"/>
      <c r="FH303" s="23"/>
      <c r="FI303" s="23"/>
      <c r="FJ303" s="23"/>
      <c r="FK303" s="23"/>
      <c r="FL303" s="23"/>
      <c r="FM303" s="23"/>
      <c r="FN303" s="23"/>
      <c r="FO303" s="23"/>
      <c r="FP303" s="23"/>
      <c r="FQ303" s="23"/>
      <c r="FR303" s="23"/>
      <c r="FS303" s="23"/>
      <c r="FT303" s="23"/>
      <c r="FU303" s="23"/>
      <c r="FV303" s="23"/>
      <c r="FW303" s="23"/>
      <c r="FX303" s="23"/>
      <c r="FY303" s="23"/>
      <c r="FZ303" s="23"/>
      <c r="GA303" s="23"/>
      <c r="GB303" s="23"/>
      <c r="GC303" s="23"/>
      <c r="GD303" s="23"/>
      <c r="GE303" s="23"/>
      <c r="GF303" s="23"/>
      <c r="GG303" s="23"/>
      <c r="GH303" s="23"/>
      <c r="GI303" s="23"/>
      <c r="GJ303" s="23"/>
      <c r="GK303" s="23"/>
      <c r="GL303" s="23"/>
      <c r="GM303" s="23"/>
      <c r="GN303" s="23"/>
      <c r="GO303" s="23"/>
      <c r="GP303" s="23"/>
      <c r="GQ303" s="23"/>
      <c r="GR303" s="23"/>
      <c r="GS303" s="23"/>
      <c r="GT303" s="23"/>
      <c r="GU303" s="23"/>
      <c r="GV303" s="23"/>
      <c r="GW303" s="23"/>
      <c r="GX303" s="23"/>
      <c r="GY303" s="23"/>
      <c r="GZ303" s="23"/>
      <c r="HA303" s="23"/>
      <c r="HB303" s="23"/>
      <c r="HC303" s="23"/>
      <c r="HD303" s="23"/>
      <c r="HE303" s="23"/>
      <c r="HF303" s="23"/>
      <c r="HG303" s="23"/>
      <c r="HH303" s="23"/>
      <c r="HI303" s="23"/>
      <c r="HJ303" s="23"/>
      <c r="HK303" s="23"/>
      <c r="HL303" s="23"/>
      <c r="HM303" s="23"/>
      <c r="HN303" s="23"/>
      <c r="HO303" s="23"/>
      <c r="HP303" s="23"/>
      <c r="HQ303" s="23"/>
      <c r="HR303" s="23"/>
      <c r="HS303" s="23"/>
      <c r="HT303" s="23"/>
      <c r="HU303" s="23"/>
      <c r="HV303" s="23"/>
      <c r="HW303" s="23"/>
      <c r="HX303" s="23"/>
      <c r="HY303" s="23"/>
      <c r="HZ303" s="23"/>
      <c r="IA303" s="23"/>
      <c r="IB303" s="23"/>
      <c r="IC303" s="23"/>
      <c r="ID303" s="23"/>
      <c r="IE303" s="23"/>
      <c r="IF303" s="23"/>
      <c r="IG303" s="23"/>
      <c r="IH303" s="23"/>
      <c r="II303" s="23"/>
      <c r="IJ303" s="23"/>
      <c r="IK303" s="23"/>
      <c r="IL303" s="23"/>
      <c r="IM303" s="23"/>
      <c r="IN303" s="23"/>
      <c r="IO303" s="23"/>
      <c r="IP303" s="23"/>
      <c r="IQ303" s="23"/>
      <c r="IR303" s="23"/>
      <c r="IS303" s="23"/>
      <c r="IT303" s="23"/>
      <c r="IU303" s="23"/>
      <c r="IV303" s="23"/>
      <c r="IW303" s="23"/>
      <c r="IX303" s="23"/>
      <c r="IY303" s="23"/>
      <c r="IZ303" s="23"/>
      <c r="JA303" s="23"/>
      <c r="JB303" s="23"/>
      <c r="JC303" s="23"/>
      <c r="JD303" s="23"/>
      <c r="JE303" s="23"/>
      <c r="JF303" s="23"/>
      <c r="JG303" s="23"/>
      <c r="JH303" s="23"/>
      <c r="JI303" s="23"/>
      <c r="JJ303" s="23"/>
      <c r="JK303" s="23"/>
      <c r="JL303" s="23"/>
      <c r="JM303" s="23"/>
      <c r="JN303" s="23"/>
      <c r="JO303" s="23"/>
      <c r="JP303" s="23"/>
      <c r="JQ303" s="23"/>
      <c r="JR303" s="23"/>
      <c r="JS303" s="23"/>
      <c r="JT303" s="23"/>
      <c r="JU303" s="23"/>
      <c r="JV303" s="23"/>
      <c r="JW303" s="23"/>
      <c r="JX303" s="23"/>
      <c r="JY303" s="23"/>
      <c r="JZ303" s="23"/>
      <c r="KA303" s="23"/>
      <c r="KB303" s="23"/>
      <c r="KC303" s="23"/>
      <c r="KD303" s="23"/>
      <c r="KE303" s="23"/>
      <c r="KF303" s="23"/>
      <c r="KG303" s="23"/>
      <c r="KH303" s="23"/>
      <c r="KI303" s="23"/>
      <c r="KJ303" s="23"/>
      <c r="KK303" s="23"/>
      <c r="KL303" s="23"/>
      <c r="KM303" s="23"/>
      <c r="KN303" s="23"/>
      <c r="KO303" s="23"/>
      <c r="KP303" s="23"/>
      <c r="KQ303" s="23"/>
      <c r="KR303" s="23"/>
      <c r="KS303" s="23"/>
      <c r="KT303" s="23"/>
      <c r="KU303" s="23"/>
      <c r="KV303" s="23"/>
      <c r="KW303" s="23"/>
      <c r="KX303" s="23"/>
      <c r="KY303" s="23"/>
      <c r="KZ303" s="23"/>
      <c r="LA303" s="23"/>
      <c r="LB303" s="23"/>
      <c r="LC303" s="23"/>
      <c r="LD303" s="23"/>
      <c r="LE303" s="23"/>
      <c r="LF303" s="23"/>
      <c r="LG303" s="23"/>
      <c r="LH303" s="23"/>
      <c r="LI303" s="23"/>
      <c r="LJ303" s="23"/>
      <c r="LK303" s="23"/>
      <c r="LL303" s="23"/>
      <c r="LM303" s="23"/>
      <c r="LN303" s="23"/>
      <c r="LO303" s="23"/>
      <c r="LP303" s="23"/>
      <c r="LQ303" s="23"/>
      <c r="LR303" s="23"/>
      <c r="LS303" s="23"/>
      <c r="LT303" s="23"/>
      <c r="LU303" s="23"/>
      <c r="LV303" s="23"/>
      <c r="LW303" s="23"/>
      <c r="LX303" s="23"/>
      <c r="LY303" s="23"/>
      <c r="LZ303" s="23"/>
      <c r="MA303" s="23"/>
      <c r="MB303" s="23"/>
      <c r="MC303" s="23"/>
      <c r="MD303" s="23"/>
      <c r="ME303" s="23"/>
      <c r="MF303" s="23"/>
      <c r="MG303" s="23"/>
      <c r="MH303" s="23"/>
      <c r="MI303" s="23"/>
      <c r="MJ303" s="23"/>
      <c r="MK303" s="23"/>
      <c r="ML303" s="23"/>
      <c r="MM303" s="23"/>
      <c r="MN303" s="23"/>
      <c r="MO303" s="23"/>
      <c r="MP303" s="23"/>
      <c r="MQ303" s="23"/>
      <c r="MR303" s="23"/>
      <c r="MS303" s="23"/>
      <c r="MT303" s="23"/>
      <c r="MU303" s="23"/>
      <c r="MV303" s="23"/>
      <c r="MW303" s="23"/>
      <c r="MX303" s="23"/>
      <c r="MY303" s="23"/>
      <c r="MZ303" s="23"/>
      <c r="NA303" s="23"/>
      <c r="NB303" s="23"/>
      <c r="NC303" s="23"/>
      <c r="ND303" s="23"/>
      <c r="NE303" s="23"/>
      <c r="NF303" s="23"/>
      <c r="NG303" s="23"/>
      <c r="NH303" s="23"/>
      <c r="NI303" s="23"/>
      <c r="NJ303" s="23"/>
      <c r="NK303" s="23"/>
      <c r="NL303" s="23"/>
      <c r="NM303" s="23"/>
      <c r="NN303" s="23"/>
      <c r="NO303" s="23"/>
      <c r="NP303" s="23"/>
      <c r="NQ303" s="23"/>
      <c r="NR303" s="23"/>
      <c r="NS303" s="23"/>
      <c r="NT303" s="23"/>
      <c r="NU303" s="23"/>
      <c r="NV303" s="23"/>
      <c r="NW303" s="23"/>
      <c r="NX303" s="23"/>
      <c r="NY303" s="23"/>
      <c r="NZ303" s="23"/>
      <c r="OA303" s="23"/>
      <c r="OB303" s="23"/>
      <c r="OC303" s="23"/>
      <c r="OD303" s="23"/>
      <c r="OE303" s="23"/>
      <c r="OF303" s="23"/>
      <c r="OG303" s="23"/>
      <c r="OH303" s="23"/>
      <c r="OI303" s="23"/>
      <c r="OJ303" s="23"/>
      <c r="OK303" s="23"/>
      <c r="OL303" s="23"/>
      <c r="OM303" s="23"/>
      <c r="ON303" s="23"/>
      <c r="OO303" s="23"/>
      <c r="OP303" s="23"/>
      <c r="OQ303" s="23"/>
      <c r="OR303" s="23"/>
      <c r="OS303" s="23"/>
      <c r="OT303" s="23"/>
      <c r="OU303" s="23"/>
      <c r="OV303" s="23"/>
      <c r="OW303" s="23"/>
      <c r="OX303" s="23"/>
      <c r="OY303" s="23"/>
      <c r="OZ303" s="23"/>
      <c r="PA303" s="23"/>
      <c r="PB303" s="23"/>
      <c r="PC303" s="23"/>
      <c r="PD303" s="23"/>
      <c r="PE303" s="23"/>
      <c r="PF303" s="23"/>
      <c r="PG303" s="23"/>
      <c r="PH303" s="23"/>
      <c r="PI303" s="23"/>
      <c r="PJ303" s="23"/>
      <c r="PK303" s="23"/>
      <c r="PL303" s="23"/>
      <c r="PM303" s="23"/>
      <c r="PN303" s="23"/>
      <c r="PO303" s="23"/>
      <c r="PP303" s="23"/>
      <c r="PQ303" s="23"/>
      <c r="PR303" s="23"/>
      <c r="PS303" s="23"/>
      <c r="PT303" s="23"/>
      <c r="PU303" s="23"/>
      <c r="PV303" s="23"/>
      <c r="PW303" s="23"/>
      <c r="PX303" s="23"/>
      <c r="PY303" s="23"/>
      <c r="PZ303" s="23"/>
      <c r="QA303" s="23"/>
      <c r="QB303" s="23"/>
      <c r="QC303" s="23"/>
      <c r="QD303" s="23"/>
      <c r="QE303" s="23"/>
      <c r="QF303" s="23"/>
      <c r="QG303" s="23"/>
      <c r="QH303" s="23"/>
      <c r="QI303" s="23"/>
      <c r="QJ303" s="23"/>
      <c r="QK303" s="23"/>
      <c r="QL303" s="23"/>
      <c r="QM303" s="23"/>
      <c r="QN303" s="23"/>
      <c r="QO303" s="23"/>
      <c r="QP303" s="23"/>
      <c r="QQ303" s="23"/>
      <c r="QR303" s="23"/>
      <c r="QS303" s="23"/>
      <c r="QT303" s="23"/>
      <c r="QU303" s="23"/>
      <c r="QV303" s="23"/>
      <c r="QW303" s="23"/>
      <c r="QX303" s="23"/>
      <c r="QY303" s="23"/>
      <c r="QZ303" s="23"/>
      <c r="RA303" s="23"/>
      <c r="RB303" s="23"/>
      <c r="RC303" s="23"/>
      <c r="RD303" s="23"/>
      <c r="RE303" s="23"/>
      <c r="RF303" s="23"/>
      <c r="RG303" s="23"/>
      <c r="RH303" s="23"/>
      <c r="RI303" s="23"/>
      <c r="RJ303" s="23"/>
      <c r="RK303" s="23"/>
      <c r="RL303" s="23"/>
      <c r="RM303" s="23"/>
      <c r="RN303" s="23"/>
      <c r="RO303" s="23"/>
      <c r="RP303" s="23"/>
      <c r="RQ303" s="23"/>
      <c r="RR303" s="23"/>
      <c r="RS303" s="23"/>
      <c r="RT303" s="23"/>
      <c r="RU303" s="23"/>
      <c r="RV303" s="23"/>
      <c r="RW303" s="23"/>
      <c r="RX303" s="23"/>
      <c r="RY303" s="23"/>
      <c r="RZ303" s="23"/>
      <c r="SA303" s="23"/>
      <c r="SB303" s="23"/>
      <c r="SC303" s="23"/>
      <c r="SD303" s="23"/>
      <c r="SE303" s="23"/>
      <c r="SF303" s="23"/>
      <c r="SG303" s="23"/>
      <c r="SH303" s="23"/>
      <c r="SI303" s="23"/>
      <c r="SJ303" s="23"/>
      <c r="SK303" s="23"/>
      <c r="SL303" s="23"/>
      <c r="SM303" s="23"/>
      <c r="SN303" s="23"/>
      <c r="SO303" s="23"/>
      <c r="SP303" s="23"/>
      <c r="SQ303" s="23"/>
      <c r="SR303" s="23"/>
      <c r="SS303" s="23"/>
      <c r="ST303" s="23"/>
      <c r="SU303" s="23"/>
      <c r="SV303" s="23"/>
      <c r="SW303" s="23"/>
      <c r="SX303" s="23"/>
      <c r="SY303" s="23"/>
      <c r="SZ303" s="23"/>
      <c r="TA303" s="23"/>
      <c r="TB303" s="23"/>
      <c r="TC303" s="23"/>
      <c r="TD303" s="23"/>
      <c r="TE303" s="23"/>
      <c r="TF303" s="23"/>
      <c r="TG303" s="23"/>
    </row>
    <row r="304" spans="1:527" s="22" customFormat="1" ht="67.5" customHeight="1" x14ac:dyDescent="0.25">
      <c r="A304" s="103" t="s">
        <v>268</v>
      </c>
      <c r="B304" s="42" t="str">
        <f>'дод 8'!A218</f>
        <v>7660</v>
      </c>
      <c r="C304" s="42" t="str">
        <f>'дод 8'!B218</f>
        <v>0490</v>
      </c>
      <c r="D304" s="36" t="str">
        <f>'дод 8'!C218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04" s="99">
        <f t="shared" si="164"/>
        <v>0</v>
      </c>
      <c r="F304" s="99"/>
      <c r="G304" s="99"/>
      <c r="H304" s="99"/>
      <c r="I304" s="99"/>
      <c r="J304" s="99">
        <f t="shared" si="166"/>
        <v>45000</v>
      </c>
      <c r="K304" s="99">
        <v>45000</v>
      </c>
      <c r="L304" s="99"/>
      <c r="M304" s="99"/>
      <c r="N304" s="99"/>
      <c r="O304" s="99">
        <v>45000</v>
      </c>
      <c r="P304" s="99">
        <f t="shared" si="165"/>
        <v>45000</v>
      </c>
      <c r="Q304" s="23"/>
      <c r="R304" s="32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  <c r="EC304" s="23"/>
      <c r="ED304" s="23"/>
      <c r="EE304" s="23"/>
      <c r="EF304" s="23"/>
      <c r="EG304" s="23"/>
      <c r="EH304" s="23"/>
      <c r="EI304" s="23"/>
      <c r="EJ304" s="23"/>
      <c r="EK304" s="23"/>
      <c r="EL304" s="23"/>
      <c r="EM304" s="23"/>
      <c r="EN304" s="23"/>
      <c r="EO304" s="23"/>
      <c r="EP304" s="23"/>
      <c r="EQ304" s="23"/>
      <c r="ER304" s="23"/>
      <c r="ES304" s="23"/>
      <c r="ET304" s="23"/>
      <c r="EU304" s="23"/>
      <c r="EV304" s="23"/>
      <c r="EW304" s="23"/>
      <c r="EX304" s="23"/>
      <c r="EY304" s="23"/>
      <c r="EZ304" s="23"/>
      <c r="FA304" s="23"/>
      <c r="FB304" s="23"/>
      <c r="FC304" s="23"/>
      <c r="FD304" s="23"/>
      <c r="FE304" s="23"/>
      <c r="FF304" s="23"/>
      <c r="FG304" s="23"/>
      <c r="FH304" s="23"/>
      <c r="FI304" s="23"/>
      <c r="FJ304" s="23"/>
      <c r="FK304" s="23"/>
      <c r="FL304" s="23"/>
      <c r="FM304" s="23"/>
      <c r="FN304" s="23"/>
      <c r="FO304" s="23"/>
      <c r="FP304" s="23"/>
      <c r="FQ304" s="23"/>
      <c r="FR304" s="23"/>
      <c r="FS304" s="23"/>
      <c r="FT304" s="23"/>
      <c r="FU304" s="23"/>
      <c r="FV304" s="23"/>
      <c r="FW304" s="23"/>
      <c r="FX304" s="23"/>
      <c r="FY304" s="23"/>
      <c r="FZ304" s="23"/>
      <c r="GA304" s="23"/>
      <c r="GB304" s="23"/>
      <c r="GC304" s="23"/>
      <c r="GD304" s="23"/>
      <c r="GE304" s="23"/>
      <c r="GF304" s="23"/>
      <c r="GG304" s="23"/>
      <c r="GH304" s="23"/>
      <c r="GI304" s="23"/>
      <c r="GJ304" s="23"/>
      <c r="GK304" s="23"/>
      <c r="GL304" s="23"/>
      <c r="GM304" s="23"/>
      <c r="GN304" s="23"/>
      <c r="GO304" s="23"/>
      <c r="GP304" s="23"/>
      <c r="GQ304" s="23"/>
      <c r="GR304" s="23"/>
      <c r="GS304" s="23"/>
      <c r="GT304" s="23"/>
      <c r="GU304" s="23"/>
      <c r="GV304" s="23"/>
      <c r="GW304" s="23"/>
      <c r="GX304" s="23"/>
      <c r="GY304" s="23"/>
      <c r="GZ304" s="23"/>
      <c r="HA304" s="23"/>
      <c r="HB304" s="23"/>
      <c r="HC304" s="23"/>
      <c r="HD304" s="23"/>
      <c r="HE304" s="23"/>
      <c r="HF304" s="23"/>
      <c r="HG304" s="23"/>
      <c r="HH304" s="23"/>
      <c r="HI304" s="23"/>
      <c r="HJ304" s="23"/>
      <c r="HK304" s="23"/>
      <c r="HL304" s="23"/>
      <c r="HM304" s="23"/>
      <c r="HN304" s="23"/>
      <c r="HO304" s="23"/>
      <c r="HP304" s="23"/>
      <c r="HQ304" s="23"/>
      <c r="HR304" s="23"/>
      <c r="HS304" s="23"/>
      <c r="HT304" s="23"/>
      <c r="HU304" s="23"/>
      <c r="HV304" s="23"/>
      <c r="HW304" s="23"/>
      <c r="HX304" s="23"/>
      <c r="HY304" s="23"/>
      <c r="HZ304" s="23"/>
      <c r="IA304" s="23"/>
      <c r="IB304" s="23"/>
      <c r="IC304" s="23"/>
      <c r="ID304" s="23"/>
      <c r="IE304" s="23"/>
      <c r="IF304" s="23"/>
      <c r="IG304" s="23"/>
      <c r="IH304" s="23"/>
      <c r="II304" s="23"/>
      <c r="IJ304" s="23"/>
      <c r="IK304" s="23"/>
      <c r="IL304" s="23"/>
      <c r="IM304" s="23"/>
      <c r="IN304" s="23"/>
      <c r="IO304" s="23"/>
      <c r="IP304" s="23"/>
      <c r="IQ304" s="23"/>
      <c r="IR304" s="23"/>
      <c r="IS304" s="23"/>
      <c r="IT304" s="23"/>
      <c r="IU304" s="23"/>
      <c r="IV304" s="23"/>
      <c r="IW304" s="23"/>
      <c r="IX304" s="23"/>
      <c r="IY304" s="23"/>
      <c r="IZ304" s="23"/>
      <c r="JA304" s="23"/>
      <c r="JB304" s="23"/>
      <c r="JC304" s="23"/>
      <c r="JD304" s="23"/>
      <c r="JE304" s="23"/>
      <c r="JF304" s="23"/>
      <c r="JG304" s="23"/>
      <c r="JH304" s="23"/>
      <c r="JI304" s="23"/>
      <c r="JJ304" s="23"/>
      <c r="JK304" s="23"/>
      <c r="JL304" s="23"/>
      <c r="JM304" s="23"/>
      <c r="JN304" s="23"/>
      <c r="JO304" s="23"/>
      <c r="JP304" s="23"/>
      <c r="JQ304" s="23"/>
      <c r="JR304" s="23"/>
      <c r="JS304" s="23"/>
      <c r="JT304" s="23"/>
      <c r="JU304" s="23"/>
      <c r="JV304" s="23"/>
      <c r="JW304" s="23"/>
      <c r="JX304" s="23"/>
      <c r="JY304" s="23"/>
      <c r="JZ304" s="23"/>
      <c r="KA304" s="23"/>
      <c r="KB304" s="23"/>
      <c r="KC304" s="23"/>
      <c r="KD304" s="23"/>
      <c r="KE304" s="23"/>
      <c r="KF304" s="23"/>
      <c r="KG304" s="23"/>
      <c r="KH304" s="23"/>
      <c r="KI304" s="23"/>
      <c r="KJ304" s="23"/>
      <c r="KK304" s="23"/>
      <c r="KL304" s="23"/>
      <c r="KM304" s="23"/>
      <c r="KN304" s="23"/>
      <c r="KO304" s="23"/>
      <c r="KP304" s="23"/>
      <c r="KQ304" s="23"/>
      <c r="KR304" s="23"/>
      <c r="KS304" s="23"/>
      <c r="KT304" s="23"/>
      <c r="KU304" s="23"/>
      <c r="KV304" s="23"/>
      <c r="KW304" s="23"/>
      <c r="KX304" s="23"/>
      <c r="KY304" s="23"/>
      <c r="KZ304" s="23"/>
      <c r="LA304" s="23"/>
      <c r="LB304" s="23"/>
      <c r="LC304" s="23"/>
      <c r="LD304" s="23"/>
      <c r="LE304" s="23"/>
      <c r="LF304" s="23"/>
      <c r="LG304" s="23"/>
      <c r="LH304" s="23"/>
      <c r="LI304" s="23"/>
      <c r="LJ304" s="23"/>
      <c r="LK304" s="23"/>
      <c r="LL304" s="23"/>
      <c r="LM304" s="23"/>
      <c r="LN304" s="23"/>
      <c r="LO304" s="23"/>
      <c r="LP304" s="23"/>
      <c r="LQ304" s="23"/>
      <c r="LR304" s="23"/>
      <c r="LS304" s="23"/>
      <c r="LT304" s="23"/>
      <c r="LU304" s="23"/>
      <c r="LV304" s="23"/>
      <c r="LW304" s="23"/>
      <c r="LX304" s="23"/>
      <c r="LY304" s="23"/>
      <c r="LZ304" s="23"/>
      <c r="MA304" s="23"/>
      <c r="MB304" s="23"/>
      <c r="MC304" s="23"/>
      <c r="MD304" s="23"/>
      <c r="ME304" s="23"/>
      <c r="MF304" s="23"/>
      <c r="MG304" s="23"/>
      <c r="MH304" s="23"/>
      <c r="MI304" s="23"/>
      <c r="MJ304" s="23"/>
      <c r="MK304" s="23"/>
      <c r="ML304" s="23"/>
      <c r="MM304" s="23"/>
      <c r="MN304" s="23"/>
      <c r="MO304" s="23"/>
      <c r="MP304" s="23"/>
      <c r="MQ304" s="23"/>
      <c r="MR304" s="23"/>
      <c r="MS304" s="23"/>
      <c r="MT304" s="23"/>
      <c r="MU304" s="23"/>
      <c r="MV304" s="23"/>
      <c r="MW304" s="23"/>
      <c r="MX304" s="23"/>
      <c r="MY304" s="23"/>
      <c r="MZ304" s="23"/>
      <c r="NA304" s="23"/>
      <c r="NB304" s="23"/>
      <c r="NC304" s="23"/>
      <c r="ND304" s="23"/>
      <c r="NE304" s="23"/>
      <c r="NF304" s="23"/>
      <c r="NG304" s="23"/>
      <c r="NH304" s="23"/>
      <c r="NI304" s="23"/>
      <c r="NJ304" s="23"/>
      <c r="NK304" s="23"/>
      <c r="NL304" s="23"/>
      <c r="NM304" s="23"/>
      <c r="NN304" s="23"/>
      <c r="NO304" s="23"/>
      <c r="NP304" s="23"/>
      <c r="NQ304" s="23"/>
      <c r="NR304" s="23"/>
      <c r="NS304" s="23"/>
      <c r="NT304" s="23"/>
      <c r="NU304" s="23"/>
      <c r="NV304" s="23"/>
      <c r="NW304" s="23"/>
      <c r="NX304" s="23"/>
      <c r="NY304" s="23"/>
      <c r="NZ304" s="23"/>
      <c r="OA304" s="23"/>
      <c r="OB304" s="23"/>
      <c r="OC304" s="23"/>
      <c r="OD304" s="23"/>
      <c r="OE304" s="23"/>
      <c r="OF304" s="23"/>
      <c r="OG304" s="23"/>
      <c r="OH304" s="23"/>
      <c r="OI304" s="23"/>
      <c r="OJ304" s="23"/>
      <c r="OK304" s="23"/>
      <c r="OL304" s="23"/>
      <c r="OM304" s="23"/>
      <c r="ON304" s="23"/>
      <c r="OO304" s="23"/>
      <c r="OP304" s="23"/>
      <c r="OQ304" s="23"/>
      <c r="OR304" s="23"/>
      <c r="OS304" s="23"/>
      <c r="OT304" s="23"/>
      <c r="OU304" s="23"/>
      <c r="OV304" s="23"/>
      <c r="OW304" s="23"/>
      <c r="OX304" s="23"/>
      <c r="OY304" s="23"/>
      <c r="OZ304" s="23"/>
      <c r="PA304" s="23"/>
      <c r="PB304" s="23"/>
      <c r="PC304" s="23"/>
      <c r="PD304" s="23"/>
      <c r="PE304" s="23"/>
      <c r="PF304" s="23"/>
      <c r="PG304" s="23"/>
      <c r="PH304" s="23"/>
      <c r="PI304" s="23"/>
      <c r="PJ304" s="23"/>
      <c r="PK304" s="23"/>
      <c r="PL304" s="23"/>
      <c r="PM304" s="23"/>
      <c r="PN304" s="23"/>
      <c r="PO304" s="23"/>
      <c r="PP304" s="23"/>
      <c r="PQ304" s="23"/>
      <c r="PR304" s="23"/>
      <c r="PS304" s="23"/>
      <c r="PT304" s="23"/>
      <c r="PU304" s="23"/>
      <c r="PV304" s="23"/>
      <c r="PW304" s="23"/>
      <c r="PX304" s="23"/>
      <c r="PY304" s="23"/>
      <c r="PZ304" s="23"/>
      <c r="QA304" s="23"/>
      <c r="QB304" s="23"/>
      <c r="QC304" s="23"/>
      <c r="QD304" s="23"/>
      <c r="QE304" s="23"/>
      <c r="QF304" s="23"/>
      <c r="QG304" s="23"/>
      <c r="QH304" s="23"/>
      <c r="QI304" s="23"/>
      <c r="QJ304" s="23"/>
      <c r="QK304" s="23"/>
      <c r="QL304" s="23"/>
      <c r="QM304" s="23"/>
      <c r="QN304" s="23"/>
      <c r="QO304" s="23"/>
      <c r="QP304" s="23"/>
      <c r="QQ304" s="23"/>
      <c r="QR304" s="23"/>
      <c r="QS304" s="23"/>
      <c r="QT304" s="23"/>
      <c r="QU304" s="23"/>
      <c r="QV304" s="23"/>
      <c r="QW304" s="23"/>
      <c r="QX304" s="23"/>
      <c r="QY304" s="23"/>
      <c r="QZ304" s="23"/>
      <c r="RA304" s="23"/>
      <c r="RB304" s="23"/>
      <c r="RC304" s="23"/>
      <c r="RD304" s="23"/>
      <c r="RE304" s="23"/>
      <c r="RF304" s="23"/>
      <c r="RG304" s="23"/>
      <c r="RH304" s="23"/>
      <c r="RI304" s="23"/>
      <c r="RJ304" s="23"/>
      <c r="RK304" s="23"/>
      <c r="RL304" s="23"/>
      <c r="RM304" s="23"/>
      <c r="RN304" s="23"/>
      <c r="RO304" s="23"/>
      <c r="RP304" s="23"/>
      <c r="RQ304" s="23"/>
      <c r="RR304" s="23"/>
      <c r="RS304" s="23"/>
      <c r="RT304" s="23"/>
      <c r="RU304" s="23"/>
      <c r="RV304" s="23"/>
      <c r="RW304" s="23"/>
      <c r="RX304" s="23"/>
      <c r="RY304" s="23"/>
      <c r="RZ304" s="23"/>
      <c r="SA304" s="23"/>
      <c r="SB304" s="23"/>
      <c r="SC304" s="23"/>
      <c r="SD304" s="23"/>
      <c r="SE304" s="23"/>
      <c r="SF304" s="23"/>
      <c r="SG304" s="23"/>
      <c r="SH304" s="23"/>
      <c r="SI304" s="23"/>
      <c r="SJ304" s="23"/>
      <c r="SK304" s="23"/>
      <c r="SL304" s="23"/>
      <c r="SM304" s="23"/>
      <c r="SN304" s="23"/>
      <c r="SO304" s="23"/>
      <c r="SP304" s="23"/>
      <c r="SQ304" s="23"/>
      <c r="SR304" s="23"/>
      <c r="SS304" s="23"/>
      <c r="ST304" s="23"/>
      <c r="SU304" s="23"/>
      <c r="SV304" s="23"/>
      <c r="SW304" s="23"/>
      <c r="SX304" s="23"/>
      <c r="SY304" s="23"/>
      <c r="SZ304" s="23"/>
      <c r="TA304" s="23"/>
      <c r="TB304" s="23"/>
      <c r="TC304" s="23"/>
      <c r="TD304" s="23"/>
      <c r="TE304" s="23"/>
      <c r="TF304" s="23"/>
      <c r="TG304" s="23"/>
    </row>
    <row r="305" spans="1:527" s="22" customFormat="1" ht="23.25" customHeight="1" x14ac:dyDescent="0.25">
      <c r="A305" s="103" t="s">
        <v>264</v>
      </c>
      <c r="B305" s="42" t="str">
        <f>'дод 8'!A223</f>
        <v>7693</v>
      </c>
      <c r="C305" s="42" t="str">
        <f>'дод 8'!B223</f>
        <v>0490</v>
      </c>
      <c r="D305" s="36" t="str">
        <f>'дод 8'!C223</f>
        <v>Інші заходи, пов'язані з економічною діяльністю</v>
      </c>
      <c r="E305" s="99">
        <f t="shared" si="164"/>
        <v>891000</v>
      </c>
      <c r="F305" s="99">
        <f>788000+103000</f>
        <v>891000</v>
      </c>
      <c r="G305" s="99"/>
      <c r="H305" s="99"/>
      <c r="I305" s="99"/>
      <c r="J305" s="99">
        <f t="shared" si="166"/>
        <v>0</v>
      </c>
      <c r="K305" s="99"/>
      <c r="L305" s="99"/>
      <c r="M305" s="99"/>
      <c r="N305" s="99"/>
      <c r="O305" s="99"/>
      <c r="P305" s="99">
        <f t="shared" si="165"/>
        <v>891000</v>
      </c>
      <c r="Q305" s="23"/>
      <c r="R305" s="32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  <c r="GD305" s="23"/>
      <c r="GE305" s="23"/>
      <c r="GF305" s="23"/>
      <c r="GG305" s="23"/>
      <c r="GH305" s="23"/>
      <c r="GI305" s="23"/>
      <c r="GJ305" s="23"/>
      <c r="GK305" s="23"/>
      <c r="GL305" s="23"/>
      <c r="GM305" s="23"/>
      <c r="GN305" s="23"/>
      <c r="GO305" s="23"/>
      <c r="GP305" s="23"/>
      <c r="GQ305" s="23"/>
      <c r="GR305" s="23"/>
      <c r="GS305" s="23"/>
      <c r="GT305" s="23"/>
      <c r="GU305" s="23"/>
      <c r="GV305" s="23"/>
      <c r="GW305" s="23"/>
      <c r="GX305" s="23"/>
      <c r="GY305" s="23"/>
      <c r="GZ305" s="23"/>
      <c r="HA305" s="23"/>
      <c r="HB305" s="23"/>
      <c r="HC305" s="23"/>
      <c r="HD305" s="23"/>
      <c r="HE305" s="23"/>
      <c r="HF305" s="23"/>
      <c r="HG305" s="23"/>
      <c r="HH305" s="23"/>
      <c r="HI305" s="23"/>
      <c r="HJ305" s="23"/>
      <c r="HK305" s="23"/>
      <c r="HL305" s="23"/>
      <c r="HM305" s="23"/>
      <c r="HN305" s="23"/>
      <c r="HO305" s="23"/>
      <c r="HP305" s="23"/>
      <c r="HQ305" s="23"/>
      <c r="HR305" s="23"/>
      <c r="HS305" s="23"/>
      <c r="HT305" s="23"/>
      <c r="HU305" s="23"/>
      <c r="HV305" s="23"/>
      <c r="HW305" s="23"/>
      <c r="HX305" s="23"/>
      <c r="HY305" s="23"/>
      <c r="HZ305" s="23"/>
      <c r="IA305" s="23"/>
      <c r="IB305" s="23"/>
      <c r="IC305" s="23"/>
      <c r="ID305" s="23"/>
      <c r="IE305" s="23"/>
      <c r="IF305" s="23"/>
      <c r="IG305" s="23"/>
      <c r="IH305" s="23"/>
      <c r="II305" s="23"/>
      <c r="IJ305" s="23"/>
      <c r="IK305" s="23"/>
      <c r="IL305" s="23"/>
      <c r="IM305" s="23"/>
      <c r="IN305" s="23"/>
      <c r="IO305" s="23"/>
      <c r="IP305" s="23"/>
      <c r="IQ305" s="23"/>
      <c r="IR305" s="23"/>
      <c r="IS305" s="23"/>
      <c r="IT305" s="23"/>
      <c r="IU305" s="23"/>
      <c r="IV305" s="23"/>
      <c r="IW305" s="23"/>
      <c r="IX305" s="23"/>
      <c r="IY305" s="23"/>
      <c r="IZ305" s="23"/>
      <c r="JA305" s="23"/>
      <c r="JB305" s="23"/>
      <c r="JC305" s="23"/>
      <c r="JD305" s="23"/>
      <c r="JE305" s="23"/>
      <c r="JF305" s="23"/>
      <c r="JG305" s="23"/>
      <c r="JH305" s="23"/>
      <c r="JI305" s="23"/>
      <c r="JJ305" s="23"/>
      <c r="JK305" s="23"/>
      <c r="JL305" s="23"/>
      <c r="JM305" s="23"/>
      <c r="JN305" s="23"/>
      <c r="JO305" s="23"/>
      <c r="JP305" s="23"/>
      <c r="JQ305" s="23"/>
      <c r="JR305" s="23"/>
      <c r="JS305" s="23"/>
      <c r="JT305" s="23"/>
      <c r="JU305" s="23"/>
      <c r="JV305" s="23"/>
      <c r="JW305" s="23"/>
      <c r="JX305" s="23"/>
      <c r="JY305" s="23"/>
      <c r="JZ305" s="23"/>
      <c r="KA305" s="23"/>
      <c r="KB305" s="23"/>
      <c r="KC305" s="23"/>
      <c r="KD305" s="23"/>
      <c r="KE305" s="23"/>
      <c r="KF305" s="23"/>
      <c r="KG305" s="23"/>
      <c r="KH305" s="23"/>
      <c r="KI305" s="23"/>
      <c r="KJ305" s="23"/>
      <c r="KK305" s="23"/>
      <c r="KL305" s="23"/>
      <c r="KM305" s="23"/>
      <c r="KN305" s="23"/>
      <c r="KO305" s="23"/>
      <c r="KP305" s="23"/>
      <c r="KQ305" s="23"/>
      <c r="KR305" s="23"/>
      <c r="KS305" s="23"/>
      <c r="KT305" s="23"/>
      <c r="KU305" s="23"/>
      <c r="KV305" s="23"/>
      <c r="KW305" s="23"/>
      <c r="KX305" s="23"/>
      <c r="KY305" s="23"/>
      <c r="KZ305" s="23"/>
      <c r="LA305" s="23"/>
      <c r="LB305" s="23"/>
      <c r="LC305" s="23"/>
      <c r="LD305" s="23"/>
      <c r="LE305" s="23"/>
      <c r="LF305" s="23"/>
      <c r="LG305" s="23"/>
      <c r="LH305" s="23"/>
      <c r="LI305" s="23"/>
      <c r="LJ305" s="23"/>
      <c r="LK305" s="23"/>
      <c r="LL305" s="23"/>
      <c r="LM305" s="23"/>
      <c r="LN305" s="23"/>
      <c r="LO305" s="23"/>
      <c r="LP305" s="23"/>
      <c r="LQ305" s="23"/>
      <c r="LR305" s="23"/>
      <c r="LS305" s="23"/>
      <c r="LT305" s="23"/>
      <c r="LU305" s="23"/>
      <c r="LV305" s="23"/>
      <c r="LW305" s="23"/>
      <c r="LX305" s="23"/>
      <c r="LY305" s="23"/>
      <c r="LZ305" s="23"/>
      <c r="MA305" s="23"/>
      <c r="MB305" s="23"/>
      <c r="MC305" s="23"/>
      <c r="MD305" s="23"/>
      <c r="ME305" s="23"/>
      <c r="MF305" s="23"/>
      <c r="MG305" s="23"/>
      <c r="MH305" s="23"/>
      <c r="MI305" s="23"/>
      <c r="MJ305" s="23"/>
      <c r="MK305" s="23"/>
      <c r="ML305" s="23"/>
      <c r="MM305" s="23"/>
      <c r="MN305" s="23"/>
      <c r="MO305" s="23"/>
      <c r="MP305" s="23"/>
      <c r="MQ305" s="23"/>
      <c r="MR305" s="23"/>
      <c r="MS305" s="23"/>
      <c r="MT305" s="23"/>
      <c r="MU305" s="23"/>
      <c r="MV305" s="23"/>
      <c r="MW305" s="23"/>
      <c r="MX305" s="23"/>
      <c r="MY305" s="23"/>
      <c r="MZ305" s="23"/>
      <c r="NA305" s="23"/>
      <c r="NB305" s="23"/>
      <c r="NC305" s="23"/>
      <c r="ND305" s="23"/>
      <c r="NE305" s="23"/>
      <c r="NF305" s="23"/>
      <c r="NG305" s="23"/>
      <c r="NH305" s="23"/>
      <c r="NI305" s="23"/>
      <c r="NJ305" s="23"/>
      <c r="NK305" s="23"/>
      <c r="NL305" s="23"/>
      <c r="NM305" s="23"/>
      <c r="NN305" s="23"/>
      <c r="NO305" s="23"/>
      <c r="NP305" s="23"/>
      <c r="NQ305" s="23"/>
      <c r="NR305" s="23"/>
      <c r="NS305" s="23"/>
      <c r="NT305" s="23"/>
      <c r="NU305" s="23"/>
      <c r="NV305" s="23"/>
      <c r="NW305" s="23"/>
      <c r="NX305" s="23"/>
      <c r="NY305" s="23"/>
      <c r="NZ305" s="23"/>
      <c r="OA305" s="23"/>
      <c r="OB305" s="23"/>
      <c r="OC305" s="23"/>
      <c r="OD305" s="23"/>
      <c r="OE305" s="23"/>
      <c r="OF305" s="23"/>
      <c r="OG305" s="23"/>
      <c r="OH305" s="23"/>
      <c r="OI305" s="23"/>
      <c r="OJ305" s="23"/>
      <c r="OK305" s="23"/>
      <c r="OL305" s="23"/>
      <c r="OM305" s="23"/>
      <c r="ON305" s="23"/>
      <c r="OO305" s="23"/>
      <c r="OP305" s="23"/>
      <c r="OQ305" s="23"/>
      <c r="OR305" s="23"/>
      <c r="OS305" s="23"/>
      <c r="OT305" s="23"/>
      <c r="OU305" s="23"/>
      <c r="OV305" s="23"/>
      <c r="OW305" s="23"/>
      <c r="OX305" s="23"/>
      <c r="OY305" s="23"/>
      <c r="OZ305" s="23"/>
      <c r="PA305" s="23"/>
      <c r="PB305" s="23"/>
      <c r="PC305" s="23"/>
      <c r="PD305" s="23"/>
      <c r="PE305" s="23"/>
      <c r="PF305" s="23"/>
      <c r="PG305" s="23"/>
      <c r="PH305" s="23"/>
      <c r="PI305" s="23"/>
      <c r="PJ305" s="23"/>
      <c r="PK305" s="23"/>
      <c r="PL305" s="23"/>
      <c r="PM305" s="23"/>
      <c r="PN305" s="23"/>
      <c r="PO305" s="23"/>
      <c r="PP305" s="23"/>
      <c r="PQ305" s="23"/>
      <c r="PR305" s="23"/>
      <c r="PS305" s="23"/>
      <c r="PT305" s="23"/>
      <c r="PU305" s="23"/>
      <c r="PV305" s="23"/>
      <c r="PW305" s="23"/>
      <c r="PX305" s="23"/>
      <c r="PY305" s="23"/>
      <c r="PZ305" s="23"/>
      <c r="QA305" s="23"/>
      <c r="QB305" s="23"/>
      <c r="QC305" s="23"/>
      <c r="QD305" s="23"/>
      <c r="QE305" s="23"/>
      <c r="QF305" s="23"/>
      <c r="QG305" s="23"/>
      <c r="QH305" s="23"/>
      <c r="QI305" s="23"/>
      <c r="QJ305" s="23"/>
      <c r="QK305" s="23"/>
      <c r="QL305" s="23"/>
      <c r="QM305" s="23"/>
      <c r="QN305" s="23"/>
      <c r="QO305" s="23"/>
      <c r="QP305" s="23"/>
      <c r="QQ305" s="23"/>
      <c r="QR305" s="23"/>
      <c r="QS305" s="23"/>
      <c r="QT305" s="23"/>
      <c r="QU305" s="23"/>
      <c r="QV305" s="23"/>
      <c r="QW305" s="23"/>
      <c r="QX305" s="23"/>
      <c r="QY305" s="23"/>
      <c r="QZ305" s="23"/>
      <c r="RA305" s="23"/>
      <c r="RB305" s="23"/>
      <c r="RC305" s="23"/>
      <c r="RD305" s="23"/>
      <c r="RE305" s="23"/>
      <c r="RF305" s="23"/>
      <c r="RG305" s="23"/>
      <c r="RH305" s="23"/>
      <c r="RI305" s="23"/>
      <c r="RJ305" s="23"/>
      <c r="RK305" s="23"/>
      <c r="RL305" s="23"/>
      <c r="RM305" s="23"/>
      <c r="RN305" s="23"/>
      <c r="RO305" s="23"/>
      <c r="RP305" s="23"/>
      <c r="RQ305" s="23"/>
      <c r="RR305" s="23"/>
      <c r="RS305" s="23"/>
      <c r="RT305" s="23"/>
      <c r="RU305" s="23"/>
      <c r="RV305" s="23"/>
      <c r="RW305" s="23"/>
      <c r="RX305" s="23"/>
      <c r="RY305" s="23"/>
      <c r="RZ305" s="23"/>
      <c r="SA305" s="23"/>
      <c r="SB305" s="23"/>
      <c r="SC305" s="23"/>
      <c r="SD305" s="23"/>
      <c r="SE305" s="23"/>
      <c r="SF305" s="23"/>
      <c r="SG305" s="23"/>
      <c r="SH305" s="23"/>
      <c r="SI305" s="23"/>
      <c r="SJ305" s="23"/>
      <c r="SK305" s="23"/>
      <c r="SL305" s="23"/>
      <c r="SM305" s="23"/>
      <c r="SN305" s="23"/>
      <c r="SO305" s="23"/>
      <c r="SP305" s="23"/>
      <c r="SQ305" s="23"/>
      <c r="SR305" s="23"/>
      <c r="SS305" s="23"/>
      <c r="ST305" s="23"/>
      <c r="SU305" s="23"/>
      <c r="SV305" s="23"/>
      <c r="SW305" s="23"/>
      <c r="SX305" s="23"/>
      <c r="SY305" s="23"/>
      <c r="SZ305" s="23"/>
      <c r="TA305" s="23"/>
      <c r="TB305" s="23"/>
      <c r="TC305" s="23"/>
      <c r="TD305" s="23"/>
      <c r="TE305" s="23"/>
      <c r="TF305" s="23"/>
      <c r="TG305" s="23"/>
    </row>
    <row r="306" spans="1:527" s="22" customFormat="1" ht="35.25" customHeight="1" x14ac:dyDescent="0.25">
      <c r="A306" s="106" t="s">
        <v>426</v>
      </c>
      <c r="B306" s="39"/>
      <c r="C306" s="39"/>
      <c r="D306" s="107" t="s">
        <v>427</v>
      </c>
      <c r="E306" s="95">
        <f>E307</f>
        <v>20000</v>
      </c>
      <c r="F306" s="95">
        <f t="shared" ref="F306:P306" si="167">F307</f>
        <v>20000</v>
      </c>
      <c r="G306" s="95">
        <f t="shared" si="167"/>
        <v>0</v>
      </c>
      <c r="H306" s="95">
        <f t="shared" si="167"/>
        <v>0</v>
      </c>
      <c r="I306" s="95">
        <f t="shared" si="167"/>
        <v>0</v>
      </c>
      <c r="J306" s="95">
        <f t="shared" si="167"/>
        <v>0</v>
      </c>
      <c r="K306" s="95">
        <f t="shared" si="167"/>
        <v>0</v>
      </c>
      <c r="L306" s="95">
        <f t="shared" si="167"/>
        <v>0</v>
      </c>
      <c r="M306" s="95">
        <f t="shared" si="167"/>
        <v>0</v>
      </c>
      <c r="N306" s="95">
        <f t="shared" si="167"/>
        <v>0</v>
      </c>
      <c r="O306" s="95">
        <f t="shared" si="167"/>
        <v>0</v>
      </c>
      <c r="P306" s="95">
        <f t="shared" si="167"/>
        <v>20000</v>
      </c>
      <c r="Q306" s="23"/>
      <c r="R306" s="32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  <c r="GB306" s="23"/>
      <c r="GC306" s="23"/>
      <c r="GD306" s="23"/>
      <c r="GE306" s="23"/>
      <c r="GF306" s="23"/>
      <c r="GG306" s="23"/>
      <c r="GH306" s="23"/>
      <c r="GI306" s="23"/>
      <c r="GJ306" s="23"/>
      <c r="GK306" s="23"/>
      <c r="GL306" s="23"/>
      <c r="GM306" s="23"/>
      <c r="GN306" s="23"/>
      <c r="GO306" s="23"/>
      <c r="GP306" s="23"/>
      <c r="GQ306" s="23"/>
      <c r="GR306" s="23"/>
      <c r="GS306" s="23"/>
      <c r="GT306" s="23"/>
      <c r="GU306" s="23"/>
      <c r="GV306" s="23"/>
      <c r="GW306" s="23"/>
      <c r="GX306" s="23"/>
      <c r="GY306" s="23"/>
      <c r="GZ306" s="23"/>
      <c r="HA306" s="23"/>
      <c r="HB306" s="23"/>
      <c r="HC306" s="23"/>
      <c r="HD306" s="23"/>
      <c r="HE306" s="23"/>
      <c r="HF306" s="23"/>
      <c r="HG306" s="23"/>
      <c r="HH306" s="23"/>
      <c r="HI306" s="23"/>
      <c r="HJ306" s="23"/>
      <c r="HK306" s="23"/>
      <c r="HL306" s="23"/>
      <c r="HM306" s="23"/>
      <c r="HN306" s="23"/>
      <c r="HO306" s="23"/>
      <c r="HP306" s="23"/>
      <c r="HQ306" s="23"/>
      <c r="HR306" s="23"/>
      <c r="HS306" s="23"/>
      <c r="HT306" s="23"/>
      <c r="HU306" s="23"/>
      <c r="HV306" s="23"/>
      <c r="HW306" s="23"/>
      <c r="HX306" s="23"/>
      <c r="HY306" s="23"/>
      <c r="HZ306" s="23"/>
      <c r="IA306" s="23"/>
      <c r="IB306" s="23"/>
      <c r="IC306" s="23"/>
      <c r="ID306" s="23"/>
      <c r="IE306" s="23"/>
      <c r="IF306" s="23"/>
      <c r="IG306" s="23"/>
      <c r="IH306" s="23"/>
      <c r="II306" s="23"/>
      <c r="IJ306" s="23"/>
      <c r="IK306" s="23"/>
      <c r="IL306" s="23"/>
      <c r="IM306" s="23"/>
      <c r="IN306" s="23"/>
      <c r="IO306" s="23"/>
      <c r="IP306" s="23"/>
      <c r="IQ306" s="23"/>
      <c r="IR306" s="23"/>
      <c r="IS306" s="23"/>
      <c r="IT306" s="23"/>
      <c r="IU306" s="23"/>
      <c r="IV306" s="23"/>
      <c r="IW306" s="23"/>
      <c r="IX306" s="23"/>
      <c r="IY306" s="23"/>
      <c r="IZ306" s="23"/>
      <c r="JA306" s="23"/>
      <c r="JB306" s="23"/>
      <c r="JC306" s="23"/>
      <c r="JD306" s="23"/>
      <c r="JE306" s="23"/>
      <c r="JF306" s="23"/>
      <c r="JG306" s="23"/>
      <c r="JH306" s="23"/>
      <c r="JI306" s="23"/>
      <c r="JJ306" s="23"/>
      <c r="JK306" s="23"/>
      <c r="JL306" s="23"/>
      <c r="JM306" s="23"/>
      <c r="JN306" s="23"/>
      <c r="JO306" s="23"/>
      <c r="JP306" s="23"/>
      <c r="JQ306" s="23"/>
      <c r="JR306" s="23"/>
      <c r="JS306" s="23"/>
      <c r="JT306" s="23"/>
      <c r="JU306" s="23"/>
      <c r="JV306" s="23"/>
      <c r="JW306" s="23"/>
      <c r="JX306" s="23"/>
      <c r="JY306" s="23"/>
      <c r="JZ306" s="23"/>
      <c r="KA306" s="23"/>
      <c r="KB306" s="23"/>
      <c r="KC306" s="23"/>
      <c r="KD306" s="23"/>
      <c r="KE306" s="23"/>
      <c r="KF306" s="23"/>
      <c r="KG306" s="23"/>
      <c r="KH306" s="23"/>
      <c r="KI306" s="23"/>
      <c r="KJ306" s="23"/>
      <c r="KK306" s="23"/>
      <c r="KL306" s="23"/>
      <c r="KM306" s="23"/>
      <c r="KN306" s="23"/>
      <c r="KO306" s="23"/>
      <c r="KP306" s="23"/>
      <c r="KQ306" s="23"/>
      <c r="KR306" s="23"/>
      <c r="KS306" s="23"/>
      <c r="KT306" s="23"/>
      <c r="KU306" s="23"/>
      <c r="KV306" s="23"/>
      <c r="KW306" s="23"/>
      <c r="KX306" s="23"/>
      <c r="KY306" s="23"/>
      <c r="KZ306" s="23"/>
      <c r="LA306" s="23"/>
      <c r="LB306" s="23"/>
      <c r="LC306" s="23"/>
      <c r="LD306" s="23"/>
      <c r="LE306" s="23"/>
      <c r="LF306" s="23"/>
      <c r="LG306" s="23"/>
      <c r="LH306" s="23"/>
      <c r="LI306" s="23"/>
      <c r="LJ306" s="23"/>
      <c r="LK306" s="23"/>
      <c r="LL306" s="23"/>
      <c r="LM306" s="23"/>
      <c r="LN306" s="23"/>
      <c r="LO306" s="23"/>
      <c r="LP306" s="23"/>
      <c r="LQ306" s="23"/>
      <c r="LR306" s="23"/>
      <c r="LS306" s="23"/>
      <c r="LT306" s="23"/>
      <c r="LU306" s="23"/>
      <c r="LV306" s="23"/>
      <c r="LW306" s="23"/>
      <c r="LX306" s="23"/>
      <c r="LY306" s="23"/>
      <c r="LZ306" s="23"/>
      <c r="MA306" s="23"/>
      <c r="MB306" s="23"/>
      <c r="MC306" s="23"/>
      <c r="MD306" s="23"/>
      <c r="ME306" s="23"/>
      <c r="MF306" s="23"/>
      <c r="MG306" s="23"/>
      <c r="MH306" s="23"/>
      <c r="MI306" s="23"/>
      <c r="MJ306" s="23"/>
      <c r="MK306" s="23"/>
      <c r="ML306" s="23"/>
      <c r="MM306" s="23"/>
      <c r="MN306" s="23"/>
      <c r="MO306" s="23"/>
      <c r="MP306" s="23"/>
      <c r="MQ306" s="23"/>
      <c r="MR306" s="23"/>
      <c r="MS306" s="23"/>
      <c r="MT306" s="23"/>
      <c r="MU306" s="23"/>
      <c r="MV306" s="23"/>
      <c r="MW306" s="23"/>
      <c r="MX306" s="23"/>
      <c r="MY306" s="23"/>
      <c r="MZ306" s="23"/>
      <c r="NA306" s="23"/>
      <c r="NB306" s="23"/>
      <c r="NC306" s="23"/>
      <c r="ND306" s="23"/>
      <c r="NE306" s="23"/>
      <c r="NF306" s="23"/>
      <c r="NG306" s="23"/>
      <c r="NH306" s="23"/>
      <c r="NI306" s="23"/>
      <c r="NJ306" s="23"/>
      <c r="NK306" s="23"/>
      <c r="NL306" s="23"/>
      <c r="NM306" s="23"/>
      <c r="NN306" s="23"/>
      <c r="NO306" s="23"/>
      <c r="NP306" s="23"/>
      <c r="NQ306" s="23"/>
      <c r="NR306" s="23"/>
      <c r="NS306" s="23"/>
      <c r="NT306" s="23"/>
      <c r="NU306" s="23"/>
      <c r="NV306" s="23"/>
      <c r="NW306" s="23"/>
      <c r="NX306" s="23"/>
      <c r="NY306" s="23"/>
      <c r="NZ306" s="23"/>
      <c r="OA306" s="23"/>
      <c r="OB306" s="23"/>
      <c r="OC306" s="23"/>
      <c r="OD306" s="23"/>
      <c r="OE306" s="23"/>
      <c r="OF306" s="23"/>
      <c r="OG306" s="23"/>
      <c r="OH306" s="23"/>
      <c r="OI306" s="23"/>
      <c r="OJ306" s="23"/>
      <c r="OK306" s="23"/>
      <c r="OL306" s="23"/>
      <c r="OM306" s="23"/>
      <c r="ON306" s="23"/>
      <c r="OO306" s="23"/>
      <c r="OP306" s="23"/>
      <c r="OQ306" s="23"/>
      <c r="OR306" s="23"/>
      <c r="OS306" s="23"/>
      <c r="OT306" s="23"/>
      <c r="OU306" s="23"/>
      <c r="OV306" s="23"/>
      <c r="OW306" s="23"/>
      <c r="OX306" s="23"/>
      <c r="OY306" s="23"/>
      <c r="OZ306" s="23"/>
      <c r="PA306" s="23"/>
      <c r="PB306" s="23"/>
      <c r="PC306" s="23"/>
      <c r="PD306" s="23"/>
      <c r="PE306" s="23"/>
      <c r="PF306" s="23"/>
      <c r="PG306" s="23"/>
      <c r="PH306" s="23"/>
      <c r="PI306" s="23"/>
      <c r="PJ306" s="23"/>
      <c r="PK306" s="23"/>
      <c r="PL306" s="23"/>
      <c r="PM306" s="23"/>
      <c r="PN306" s="23"/>
      <c r="PO306" s="23"/>
      <c r="PP306" s="23"/>
      <c r="PQ306" s="23"/>
      <c r="PR306" s="23"/>
      <c r="PS306" s="23"/>
      <c r="PT306" s="23"/>
      <c r="PU306" s="23"/>
      <c r="PV306" s="23"/>
      <c r="PW306" s="23"/>
      <c r="PX306" s="23"/>
      <c r="PY306" s="23"/>
      <c r="PZ306" s="23"/>
      <c r="QA306" s="23"/>
      <c r="QB306" s="23"/>
      <c r="QC306" s="23"/>
      <c r="QD306" s="23"/>
      <c r="QE306" s="23"/>
      <c r="QF306" s="23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  <c r="SQ306" s="23"/>
      <c r="SR306" s="23"/>
      <c r="SS306" s="23"/>
      <c r="ST306" s="23"/>
      <c r="SU306" s="23"/>
      <c r="SV306" s="23"/>
      <c r="SW306" s="23"/>
      <c r="SX306" s="23"/>
      <c r="SY306" s="23"/>
      <c r="SZ306" s="23"/>
      <c r="TA306" s="23"/>
      <c r="TB306" s="23"/>
      <c r="TC306" s="23"/>
      <c r="TD306" s="23"/>
      <c r="TE306" s="23"/>
      <c r="TF306" s="23"/>
      <c r="TG306" s="23"/>
    </row>
    <row r="307" spans="1:527" s="34" customFormat="1" ht="34.5" customHeight="1" x14ac:dyDescent="0.25">
      <c r="A307" s="108" t="s">
        <v>425</v>
      </c>
      <c r="B307" s="74"/>
      <c r="C307" s="74"/>
      <c r="D307" s="77" t="s">
        <v>427</v>
      </c>
      <c r="E307" s="98">
        <f>E308</f>
        <v>20000</v>
      </c>
      <c r="F307" s="98">
        <f t="shared" ref="F307:P307" si="168">F308</f>
        <v>20000</v>
      </c>
      <c r="G307" s="98">
        <f t="shared" si="168"/>
        <v>0</v>
      </c>
      <c r="H307" s="98">
        <f t="shared" si="168"/>
        <v>0</v>
      </c>
      <c r="I307" s="98">
        <f t="shared" si="168"/>
        <v>0</v>
      </c>
      <c r="J307" s="98">
        <f t="shared" si="168"/>
        <v>0</v>
      </c>
      <c r="K307" s="98">
        <f t="shared" si="168"/>
        <v>0</v>
      </c>
      <c r="L307" s="98">
        <f t="shared" si="168"/>
        <v>0</v>
      </c>
      <c r="M307" s="98">
        <f t="shared" si="168"/>
        <v>0</v>
      </c>
      <c r="N307" s="98">
        <f t="shared" si="168"/>
        <v>0</v>
      </c>
      <c r="O307" s="98">
        <f t="shared" si="168"/>
        <v>0</v>
      </c>
      <c r="P307" s="98">
        <f t="shared" si="168"/>
        <v>20000</v>
      </c>
      <c r="Q307" s="33"/>
      <c r="R307" s="32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  <c r="CH307" s="33"/>
      <c r="CI307" s="33"/>
      <c r="CJ307" s="33"/>
      <c r="CK307" s="33"/>
      <c r="CL307" s="33"/>
      <c r="CM307" s="33"/>
      <c r="CN307" s="33"/>
      <c r="CO307" s="33"/>
      <c r="CP307" s="33"/>
      <c r="CQ307" s="33"/>
      <c r="CR307" s="33"/>
      <c r="CS307" s="33"/>
      <c r="CT307" s="33"/>
      <c r="CU307" s="33"/>
      <c r="CV307" s="33"/>
      <c r="CW307" s="33"/>
      <c r="CX307" s="33"/>
      <c r="CY307" s="33"/>
      <c r="CZ307" s="33"/>
      <c r="DA307" s="33"/>
      <c r="DB307" s="33"/>
      <c r="DC307" s="33"/>
      <c r="DD307" s="33"/>
      <c r="DE307" s="33"/>
      <c r="DF307" s="33"/>
      <c r="DG307" s="33"/>
      <c r="DH307" s="33"/>
      <c r="DI307" s="33"/>
      <c r="DJ307" s="33"/>
      <c r="DK307" s="33"/>
      <c r="DL307" s="33"/>
      <c r="DM307" s="33"/>
      <c r="DN307" s="33"/>
      <c r="DO307" s="33"/>
      <c r="DP307" s="33"/>
      <c r="DQ307" s="33"/>
      <c r="DR307" s="33"/>
      <c r="DS307" s="33"/>
      <c r="DT307" s="33"/>
      <c r="DU307" s="33"/>
      <c r="DV307" s="33"/>
      <c r="DW307" s="33"/>
      <c r="DX307" s="33"/>
      <c r="DY307" s="33"/>
      <c r="DZ307" s="33"/>
      <c r="EA307" s="33"/>
      <c r="EB307" s="33"/>
      <c r="EC307" s="33"/>
      <c r="ED307" s="33"/>
      <c r="EE307" s="33"/>
      <c r="EF307" s="33"/>
      <c r="EG307" s="33"/>
      <c r="EH307" s="33"/>
      <c r="EI307" s="33"/>
      <c r="EJ307" s="33"/>
      <c r="EK307" s="33"/>
      <c r="EL307" s="33"/>
      <c r="EM307" s="33"/>
      <c r="EN307" s="33"/>
      <c r="EO307" s="33"/>
      <c r="EP307" s="33"/>
      <c r="EQ307" s="33"/>
      <c r="ER307" s="33"/>
      <c r="ES307" s="33"/>
      <c r="ET307" s="33"/>
      <c r="EU307" s="33"/>
      <c r="EV307" s="33"/>
      <c r="EW307" s="33"/>
      <c r="EX307" s="33"/>
      <c r="EY307" s="33"/>
      <c r="EZ307" s="33"/>
      <c r="FA307" s="33"/>
      <c r="FB307" s="33"/>
      <c r="FC307" s="33"/>
      <c r="FD307" s="33"/>
      <c r="FE307" s="33"/>
      <c r="FF307" s="33"/>
      <c r="FG307" s="33"/>
      <c r="FH307" s="33"/>
      <c r="FI307" s="33"/>
      <c r="FJ307" s="33"/>
      <c r="FK307" s="33"/>
      <c r="FL307" s="33"/>
      <c r="FM307" s="33"/>
      <c r="FN307" s="33"/>
      <c r="FO307" s="33"/>
      <c r="FP307" s="33"/>
      <c r="FQ307" s="33"/>
      <c r="FR307" s="33"/>
      <c r="FS307" s="33"/>
      <c r="FT307" s="33"/>
      <c r="FU307" s="33"/>
      <c r="FV307" s="33"/>
      <c r="FW307" s="33"/>
      <c r="FX307" s="33"/>
      <c r="FY307" s="33"/>
      <c r="FZ307" s="33"/>
      <c r="GA307" s="33"/>
      <c r="GB307" s="33"/>
      <c r="GC307" s="33"/>
      <c r="GD307" s="33"/>
      <c r="GE307" s="33"/>
      <c r="GF307" s="33"/>
      <c r="GG307" s="33"/>
      <c r="GH307" s="33"/>
      <c r="GI307" s="33"/>
      <c r="GJ307" s="33"/>
      <c r="GK307" s="33"/>
      <c r="GL307" s="33"/>
      <c r="GM307" s="33"/>
      <c r="GN307" s="33"/>
      <c r="GO307" s="33"/>
      <c r="GP307" s="33"/>
      <c r="GQ307" s="33"/>
      <c r="GR307" s="33"/>
      <c r="GS307" s="33"/>
      <c r="GT307" s="33"/>
      <c r="GU307" s="33"/>
      <c r="GV307" s="33"/>
      <c r="GW307" s="33"/>
      <c r="GX307" s="33"/>
      <c r="GY307" s="33"/>
      <c r="GZ307" s="33"/>
      <c r="HA307" s="33"/>
      <c r="HB307" s="33"/>
      <c r="HC307" s="33"/>
      <c r="HD307" s="33"/>
      <c r="HE307" s="33"/>
      <c r="HF307" s="33"/>
      <c r="HG307" s="33"/>
      <c r="HH307" s="33"/>
      <c r="HI307" s="33"/>
      <c r="HJ307" s="33"/>
      <c r="HK307" s="33"/>
      <c r="HL307" s="33"/>
      <c r="HM307" s="33"/>
      <c r="HN307" s="33"/>
      <c r="HO307" s="33"/>
      <c r="HP307" s="33"/>
      <c r="HQ307" s="33"/>
      <c r="HR307" s="33"/>
      <c r="HS307" s="33"/>
      <c r="HT307" s="33"/>
      <c r="HU307" s="33"/>
      <c r="HV307" s="33"/>
      <c r="HW307" s="33"/>
      <c r="HX307" s="33"/>
      <c r="HY307" s="33"/>
      <c r="HZ307" s="33"/>
      <c r="IA307" s="33"/>
      <c r="IB307" s="33"/>
      <c r="IC307" s="33"/>
      <c r="ID307" s="33"/>
      <c r="IE307" s="33"/>
      <c r="IF307" s="33"/>
      <c r="IG307" s="33"/>
      <c r="IH307" s="33"/>
      <c r="II307" s="33"/>
      <c r="IJ307" s="33"/>
      <c r="IK307" s="33"/>
      <c r="IL307" s="33"/>
      <c r="IM307" s="33"/>
      <c r="IN307" s="33"/>
      <c r="IO307" s="33"/>
      <c r="IP307" s="33"/>
      <c r="IQ307" s="33"/>
      <c r="IR307" s="33"/>
      <c r="IS307" s="33"/>
      <c r="IT307" s="33"/>
      <c r="IU307" s="33"/>
      <c r="IV307" s="33"/>
      <c r="IW307" s="33"/>
      <c r="IX307" s="33"/>
      <c r="IY307" s="33"/>
      <c r="IZ307" s="33"/>
      <c r="JA307" s="33"/>
      <c r="JB307" s="33"/>
      <c r="JC307" s="33"/>
      <c r="JD307" s="33"/>
      <c r="JE307" s="33"/>
      <c r="JF307" s="33"/>
      <c r="JG307" s="33"/>
      <c r="JH307" s="33"/>
      <c r="JI307" s="33"/>
      <c r="JJ307" s="33"/>
      <c r="JK307" s="33"/>
      <c r="JL307" s="33"/>
      <c r="JM307" s="33"/>
      <c r="JN307" s="33"/>
      <c r="JO307" s="33"/>
      <c r="JP307" s="33"/>
      <c r="JQ307" s="33"/>
      <c r="JR307" s="33"/>
      <c r="JS307" s="33"/>
      <c r="JT307" s="33"/>
      <c r="JU307" s="33"/>
      <c r="JV307" s="33"/>
      <c r="JW307" s="33"/>
      <c r="JX307" s="33"/>
      <c r="JY307" s="33"/>
      <c r="JZ307" s="33"/>
      <c r="KA307" s="33"/>
      <c r="KB307" s="33"/>
      <c r="KC307" s="33"/>
      <c r="KD307" s="33"/>
      <c r="KE307" s="33"/>
      <c r="KF307" s="33"/>
      <c r="KG307" s="33"/>
      <c r="KH307" s="33"/>
      <c r="KI307" s="33"/>
      <c r="KJ307" s="33"/>
      <c r="KK307" s="33"/>
      <c r="KL307" s="33"/>
      <c r="KM307" s="33"/>
      <c r="KN307" s="33"/>
      <c r="KO307" s="33"/>
      <c r="KP307" s="33"/>
      <c r="KQ307" s="33"/>
      <c r="KR307" s="33"/>
      <c r="KS307" s="33"/>
      <c r="KT307" s="33"/>
      <c r="KU307" s="33"/>
      <c r="KV307" s="33"/>
      <c r="KW307" s="33"/>
      <c r="KX307" s="33"/>
      <c r="KY307" s="33"/>
      <c r="KZ307" s="33"/>
      <c r="LA307" s="33"/>
      <c r="LB307" s="33"/>
      <c r="LC307" s="33"/>
      <c r="LD307" s="33"/>
      <c r="LE307" s="33"/>
      <c r="LF307" s="33"/>
      <c r="LG307" s="33"/>
      <c r="LH307" s="33"/>
      <c r="LI307" s="33"/>
      <c r="LJ307" s="33"/>
      <c r="LK307" s="33"/>
      <c r="LL307" s="33"/>
      <c r="LM307" s="33"/>
      <c r="LN307" s="33"/>
      <c r="LO307" s="33"/>
      <c r="LP307" s="33"/>
      <c r="LQ307" s="33"/>
      <c r="LR307" s="33"/>
      <c r="LS307" s="33"/>
      <c r="LT307" s="33"/>
      <c r="LU307" s="33"/>
      <c r="LV307" s="33"/>
      <c r="LW307" s="33"/>
      <c r="LX307" s="33"/>
      <c r="LY307" s="33"/>
      <c r="LZ307" s="33"/>
      <c r="MA307" s="33"/>
      <c r="MB307" s="33"/>
      <c r="MC307" s="33"/>
      <c r="MD307" s="33"/>
      <c r="ME307" s="33"/>
      <c r="MF307" s="33"/>
      <c r="MG307" s="33"/>
      <c r="MH307" s="33"/>
      <c r="MI307" s="33"/>
      <c r="MJ307" s="33"/>
      <c r="MK307" s="33"/>
      <c r="ML307" s="33"/>
      <c r="MM307" s="33"/>
      <c r="MN307" s="33"/>
      <c r="MO307" s="33"/>
      <c r="MP307" s="33"/>
      <c r="MQ307" s="33"/>
      <c r="MR307" s="33"/>
      <c r="MS307" s="33"/>
      <c r="MT307" s="33"/>
      <c r="MU307" s="33"/>
      <c r="MV307" s="33"/>
      <c r="MW307" s="33"/>
      <c r="MX307" s="33"/>
      <c r="MY307" s="33"/>
      <c r="MZ307" s="33"/>
      <c r="NA307" s="33"/>
      <c r="NB307" s="33"/>
      <c r="NC307" s="33"/>
      <c r="ND307" s="33"/>
      <c r="NE307" s="33"/>
      <c r="NF307" s="33"/>
      <c r="NG307" s="33"/>
      <c r="NH307" s="33"/>
      <c r="NI307" s="33"/>
      <c r="NJ307" s="33"/>
      <c r="NK307" s="33"/>
      <c r="NL307" s="33"/>
      <c r="NM307" s="33"/>
      <c r="NN307" s="33"/>
      <c r="NO307" s="33"/>
      <c r="NP307" s="33"/>
      <c r="NQ307" s="33"/>
      <c r="NR307" s="33"/>
      <c r="NS307" s="33"/>
      <c r="NT307" s="33"/>
      <c r="NU307" s="33"/>
      <c r="NV307" s="33"/>
      <c r="NW307" s="33"/>
      <c r="NX307" s="33"/>
      <c r="NY307" s="33"/>
      <c r="NZ307" s="33"/>
      <c r="OA307" s="33"/>
      <c r="OB307" s="33"/>
      <c r="OC307" s="33"/>
      <c r="OD307" s="33"/>
      <c r="OE307" s="33"/>
      <c r="OF307" s="33"/>
      <c r="OG307" s="33"/>
      <c r="OH307" s="33"/>
      <c r="OI307" s="33"/>
      <c r="OJ307" s="33"/>
      <c r="OK307" s="33"/>
      <c r="OL307" s="33"/>
      <c r="OM307" s="33"/>
      <c r="ON307" s="33"/>
      <c r="OO307" s="33"/>
      <c r="OP307" s="33"/>
      <c r="OQ307" s="33"/>
      <c r="OR307" s="33"/>
      <c r="OS307" s="33"/>
      <c r="OT307" s="33"/>
      <c r="OU307" s="33"/>
      <c r="OV307" s="33"/>
      <c r="OW307" s="33"/>
      <c r="OX307" s="33"/>
      <c r="OY307" s="33"/>
      <c r="OZ307" s="33"/>
      <c r="PA307" s="33"/>
      <c r="PB307" s="33"/>
      <c r="PC307" s="33"/>
      <c r="PD307" s="33"/>
      <c r="PE307" s="33"/>
      <c r="PF307" s="33"/>
      <c r="PG307" s="33"/>
      <c r="PH307" s="33"/>
      <c r="PI307" s="33"/>
      <c r="PJ307" s="33"/>
      <c r="PK307" s="33"/>
      <c r="PL307" s="33"/>
      <c r="PM307" s="33"/>
      <c r="PN307" s="33"/>
      <c r="PO307" s="33"/>
      <c r="PP307" s="33"/>
      <c r="PQ307" s="33"/>
      <c r="PR307" s="33"/>
      <c r="PS307" s="33"/>
      <c r="PT307" s="33"/>
      <c r="PU307" s="33"/>
      <c r="PV307" s="33"/>
      <c r="PW307" s="33"/>
      <c r="PX307" s="33"/>
      <c r="PY307" s="33"/>
      <c r="PZ307" s="33"/>
      <c r="QA307" s="33"/>
      <c r="QB307" s="33"/>
      <c r="QC307" s="33"/>
      <c r="QD307" s="33"/>
      <c r="QE307" s="33"/>
      <c r="QF307" s="33"/>
      <c r="QG307" s="33"/>
      <c r="QH307" s="33"/>
      <c r="QI307" s="33"/>
      <c r="QJ307" s="33"/>
      <c r="QK307" s="33"/>
      <c r="QL307" s="33"/>
      <c r="QM307" s="33"/>
      <c r="QN307" s="33"/>
      <c r="QO307" s="33"/>
      <c r="QP307" s="33"/>
      <c r="QQ307" s="33"/>
      <c r="QR307" s="33"/>
      <c r="QS307" s="33"/>
      <c r="QT307" s="33"/>
      <c r="QU307" s="33"/>
      <c r="QV307" s="33"/>
      <c r="QW307" s="33"/>
      <c r="QX307" s="33"/>
      <c r="QY307" s="33"/>
      <c r="QZ307" s="33"/>
      <c r="RA307" s="33"/>
      <c r="RB307" s="33"/>
      <c r="RC307" s="33"/>
      <c r="RD307" s="33"/>
      <c r="RE307" s="33"/>
      <c r="RF307" s="33"/>
      <c r="RG307" s="33"/>
      <c r="RH307" s="33"/>
      <c r="RI307" s="33"/>
      <c r="RJ307" s="33"/>
      <c r="RK307" s="33"/>
      <c r="RL307" s="33"/>
      <c r="RM307" s="33"/>
      <c r="RN307" s="33"/>
      <c r="RO307" s="33"/>
      <c r="RP307" s="33"/>
      <c r="RQ307" s="33"/>
      <c r="RR307" s="33"/>
      <c r="RS307" s="33"/>
      <c r="RT307" s="33"/>
      <c r="RU307" s="33"/>
      <c r="RV307" s="33"/>
      <c r="RW307" s="33"/>
      <c r="RX307" s="33"/>
      <c r="RY307" s="33"/>
      <c r="RZ307" s="33"/>
      <c r="SA307" s="33"/>
      <c r="SB307" s="33"/>
      <c r="SC307" s="33"/>
      <c r="SD307" s="33"/>
      <c r="SE307" s="33"/>
      <c r="SF307" s="33"/>
      <c r="SG307" s="33"/>
      <c r="SH307" s="33"/>
      <c r="SI307" s="33"/>
      <c r="SJ307" s="33"/>
      <c r="SK307" s="33"/>
      <c r="SL307" s="33"/>
      <c r="SM307" s="33"/>
      <c r="SN307" s="33"/>
      <c r="SO307" s="33"/>
      <c r="SP307" s="33"/>
      <c r="SQ307" s="33"/>
      <c r="SR307" s="33"/>
      <c r="SS307" s="33"/>
      <c r="ST307" s="33"/>
      <c r="SU307" s="33"/>
      <c r="SV307" s="33"/>
      <c r="SW307" s="33"/>
      <c r="SX307" s="33"/>
      <c r="SY307" s="33"/>
      <c r="SZ307" s="33"/>
      <c r="TA307" s="33"/>
      <c r="TB307" s="33"/>
      <c r="TC307" s="33"/>
      <c r="TD307" s="33"/>
      <c r="TE307" s="33"/>
      <c r="TF307" s="33"/>
      <c r="TG307" s="33"/>
    </row>
    <row r="308" spans="1:527" s="22" customFormat="1" ht="45.75" customHeight="1" x14ac:dyDescent="0.25">
      <c r="A308" s="103" t="s">
        <v>424</v>
      </c>
      <c r="B308" s="103" t="s">
        <v>119</v>
      </c>
      <c r="C308" s="103" t="s">
        <v>46</v>
      </c>
      <c r="D308" s="36" t="s">
        <v>494</v>
      </c>
      <c r="E308" s="99">
        <f t="shared" ref="E308" si="169">F308+I308</f>
        <v>20000</v>
      </c>
      <c r="F308" s="99">
        <v>20000</v>
      </c>
      <c r="G308" s="99"/>
      <c r="H308" s="99"/>
      <c r="I308" s="99"/>
      <c r="J308" s="99">
        <f>L308+O308</f>
        <v>0</v>
      </c>
      <c r="K308" s="99"/>
      <c r="L308" s="99"/>
      <c r="M308" s="99"/>
      <c r="N308" s="99"/>
      <c r="O308" s="99"/>
      <c r="P308" s="99">
        <f t="shared" ref="P308" si="170">E308+J308</f>
        <v>20000</v>
      </c>
      <c r="Q308" s="23"/>
      <c r="R308" s="32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/>
      <c r="FP308" s="23"/>
      <c r="FQ308" s="23"/>
      <c r="FR308" s="23"/>
      <c r="FS308" s="23"/>
      <c r="FT308" s="23"/>
      <c r="FU308" s="23"/>
      <c r="FV308" s="23"/>
      <c r="FW308" s="23"/>
      <c r="FX308" s="23"/>
      <c r="FY308" s="23"/>
      <c r="FZ308" s="23"/>
      <c r="GA308" s="23"/>
      <c r="GB308" s="23"/>
      <c r="GC308" s="23"/>
      <c r="GD308" s="23"/>
      <c r="GE308" s="23"/>
      <c r="GF308" s="23"/>
      <c r="GG308" s="23"/>
      <c r="GH308" s="23"/>
      <c r="GI308" s="23"/>
      <c r="GJ308" s="23"/>
      <c r="GK308" s="23"/>
      <c r="GL308" s="23"/>
      <c r="GM308" s="23"/>
      <c r="GN308" s="23"/>
      <c r="GO308" s="23"/>
      <c r="GP308" s="23"/>
      <c r="GQ308" s="23"/>
      <c r="GR308" s="23"/>
      <c r="GS308" s="23"/>
      <c r="GT308" s="23"/>
      <c r="GU308" s="23"/>
      <c r="GV308" s="23"/>
      <c r="GW308" s="23"/>
      <c r="GX308" s="23"/>
      <c r="GY308" s="23"/>
      <c r="GZ308" s="23"/>
      <c r="HA308" s="23"/>
      <c r="HB308" s="23"/>
      <c r="HC308" s="23"/>
      <c r="HD308" s="23"/>
      <c r="HE308" s="23"/>
      <c r="HF308" s="23"/>
      <c r="HG308" s="23"/>
      <c r="HH308" s="23"/>
      <c r="HI308" s="23"/>
      <c r="HJ308" s="23"/>
      <c r="HK308" s="23"/>
      <c r="HL308" s="23"/>
      <c r="HM308" s="23"/>
      <c r="HN308" s="23"/>
      <c r="HO308" s="23"/>
      <c r="HP308" s="23"/>
      <c r="HQ308" s="23"/>
      <c r="HR308" s="23"/>
      <c r="HS308" s="23"/>
      <c r="HT308" s="23"/>
      <c r="HU308" s="23"/>
      <c r="HV308" s="23"/>
      <c r="HW308" s="23"/>
      <c r="HX308" s="23"/>
      <c r="HY308" s="23"/>
      <c r="HZ308" s="23"/>
      <c r="IA308" s="23"/>
      <c r="IB308" s="23"/>
      <c r="IC308" s="23"/>
      <c r="ID308" s="23"/>
      <c r="IE308" s="23"/>
      <c r="IF308" s="23"/>
      <c r="IG308" s="23"/>
      <c r="IH308" s="23"/>
      <c r="II308" s="23"/>
      <c r="IJ308" s="23"/>
      <c r="IK308" s="23"/>
      <c r="IL308" s="23"/>
      <c r="IM308" s="23"/>
      <c r="IN308" s="23"/>
      <c r="IO308" s="23"/>
      <c r="IP308" s="23"/>
      <c r="IQ308" s="23"/>
      <c r="IR308" s="23"/>
      <c r="IS308" s="23"/>
      <c r="IT308" s="23"/>
      <c r="IU308" s="23"/>
      <c r="IV308" s="23"/>
      <c r="IW308" s="23"/>
      <c r="IX308" s="23"/>
      <c r="IY308" s="23"/>
      <c r="IZ308" s="23"/>
      <c r="JA308" s="23"/>
      <c r="JB308" s="23"/>
      <c r="JC308" s="23"/>
      <c r="JD308" s="23"/>
      <c r="JE308" s="23"/>
      <c r="JF308" s="23"/>
      <c r="JG308" s="23"/>
      <c r="JH308" s="23"/>
      <c r="JI308" s="23"/>
      <c r="JJ308" s="23"/>
      <c r="JK308" s="23"/>
      <c r="JL308" s="23"/>
      <c r="JM308" s="23"/>
      <c r="JN308" s="23"/>
      <c r="JO308" s="23"/>
      <c r="JP308" s="23"/>
      <c r="JQ308" s="23"/>
      <c r="JR308" s="23"/>
      <c r="JS308" s="23"/>
      <c r="JT308" s="23"/>
      <c r="JU308" s="23"/>
      <c r="JV308" s="23"/>
      <c r="JW308" s="23"/>
      <c r="JX308" s="23"/>
      <c r="JY308" s="23"/>
      <c r="JZ308" s="23"/>
      <c r="KA308" s="23"/>
      <c r="KB308" s="23"/>
      <c r="KC308" s="23"/>
      <c r="KD308" s="23"/>
      <c r="KE308" s="23"/>
      <c r="KF308" s="23"/>
      <c r="KG308" s="23"/>
      <c r="KH308" s="23"/>
      <c r="KI308" s="23"/>
      <c r="KJ308" s="23"/>
      <c r="KK308" s="23"/>
      <c r="KL308" s="23"/>
      <c r="KM308" s="23"/>
      <c r="KN308" s="23"/>
      <c r="KO308" s="23"/>
      <c r="KP308" s="23"/>
      <c r="KQ308" s="23"/>
      <c r="KR308" s="23"/>
      <c r="KS308" s="23"/>
      <c r="KT308" s="23"/>
      <c r="KU308" s="23"/>
      <c r="KV308" s="23"/>
      <c r="KW308" s="23"/>
      <c r="KX308" s="23"/>
      <c r="KY308" s="23"/>
      <c r="KZ308" s="23"/>
      <c r="LA308" s="23"/>
      <c r="LB308" s="23"/>
      <c r="LC308" s="23"/>
      <c r="LD308" s="23"/>
      <c r="LE308" s="23"/>
      <c r="LF308" s="23"/>
      <c r="LG308" s="23"/>
      <c r="LH308" s="23"/>
      <c r="LI308" s="23"/>
      <c r="LJ308" s="23"/>
      <c r="LK308" s="23"/>
      <c r="LL308" s="23"/>
      <c r="LM308" s="23"/>
      <c r="LN308" s="23"/>
      <c r="LO308" s="23"/>
      <c r="LP308" s="23"/>
      <c r="LQ308" s="23"/>
      <c r="LR308" s="23"/>
      <c r="LS308" s="23"/>
      <c r="LT308" s="23"/>
      <c r="LU308" s="23"/>
      <c r="LV308" s="23"/>
      <c r="LW308" s="23"/>
      <c r="LX308" s="23"/>
      <c r="LY308" s="23"/>
      <c r="LZ308" s="23"/>
      <c r="MA308" s="23"/>
      <c r="MB308" s="23"/>
      <c r="MC308" s="23"/>
      <c r="MD308" s="23"/>
      <c r="ME308" s="23"/>
      <c r="MF308" s="23"/>
      <c r="MG308" s="23"/>
      <c r="MH308" s="23"/>
      <c r="MI308" s="23"/>
      <c r="MJ308" s="23"/>
      <c r="MK308" s="23"/>
      <c r="ML308" s="23"/>
      <c r="MM308" s="23"/>
      <c r="MN308" s="23"/>
      <c r="MO308" s="23"/>
      <c r="MP308" s="23"/>
      <c r="MQ308" s="23"/>
      <c r="MR308" s="23"/>
      <c r="MS308" s="23"/>
      <c r="MT308" s="23"/>
      <c r="MU308" s="23"/>
      <c r="MV308" s="23"/>
      <c r="MW308" s="23"/>
      <c r="MX308" s="23"/>
      <c r="MY308" s="23"/>
      <c r="MZ308" s="23"/>
      <c r="NA308" s="23"/>
      <c r="NB308" s="23"/>
      <c r="NC308" s="23"/>
      <c r="ND308" s="23"/>
      <c r="NE308" s="23"/>
      <c r="NF308" s="23"/>
      <c r="NG308" s="23"/>
      <c r="NH308" s="23"/>
      <c r="NI308" s="23"/>
      <c r="NJ308" s="23"/>
      <c r="NK308" s="23"/>
      <c r="NL308" s="23"/>
      <c r="NM308" s="23"/>
      <c r="NN308" s="23"/>
      <c r="NO308" s="23"/>
      <c r="NP308" s="23"/>
      <c r="NQ308" s="23"/>
      <c r="NR308" s="23"/>
      <c r="NS308" s="23"/>
      <c r="NT308" s="23"/>
      <c r="NU308" s="23"/>
      <c r="NV308" s="23"/>
      <c r="NW308" s="23"/>
      <c r="NX308" s="23"/>
      <c r="NY308" s="23"/>
      <c r="NZ308" s="23"/>
      <c r="OA308" s="23"/>
      <c r="OB308" s="23"/>
      <c r="OC308" s="23"/>
      <c r="OD308" s="23"/>
      <c r="OE308" s="23"/>
      <c r="OF308" s="23"/>
      <c r="OG308" s="23"/>
      <c r="OH308" s="23"/>
      <c r="OI308" s="23"/>
      <c r="OJ308" s="23"/>
      <c r="OK308" s="23"/>
      <c r="OL308" s="23"/>
      <c r="OM308" s="23"/>
      <c r="ON308" s="23"/>
      <c r="OO308" s="23"/>
      <c r="OP308" s="23"/>
      <c r="OQ308" s="23"/>
      <c r="OR308" s="23"/>
      <c r="OS308" s="23"/>
      <c r="OT308" s="23"/>
      <c r="OU308" s="23"/>
      <c r="OV308" s="23"/>
      <c r="OW308" s="23"/>
      <c r="OX308" s="23"/>
      <c r="OY308" s="23"/>
      <c r="OZ308" s="23"/>
      <c r="PA308" s="23"/>
      <c r="PB308" s="23"/>
      <c r="PC308" s="23"/>
      <c r="PD308" s="23"/>
      <c r="PE308" s="23"/>
      <c r="PF308" s="23"/>
      <c r="PG308" s="23"/>
      <c r="PH308" s="23"/>
      <c r="PI308" s="23"/>
      <c r="PJ308" s="23"/>
      <c r="PK308" s="23"/>
      <c r="PL308" s="23"/>
      <c r="PM308" s="23"/>
      <c r="PN308" s="23"/>
      <c r="PO308" s="23"/>
      <c r="PP308" s="23"/>
      <c r="PQ308" s="23"/>
      <c r="PR308" s="23"/>
      <c r="PS308" s="23"/>
      <c r="PT308" s="23"/>
      <c r="PU308" s="23"/>
      <c r="PV308" s="23"/>
      <c r="PW308" s="23"/>
      <c r="PX308" s="23"/>
      <c r="PY308" s="23"/>
      <c r="PZ308" s="23"/>
      <c r="QA308" s="23"/>
      <c r="QB308" s="23"/>
      <c r="QC308" s="23"/>
      <c r="QD308" s="23"/>
      <c r="QE308" s="23"/>
      <c r="QF308" s="23"/>
      <c r="QG308" s="23"/>
      <c r="QH308" s="23"/>
      <c r="QI308" s="23"/>
      <c r="QJ308" s="23"/>
      <c r="QK308" s="23"/>
      <c r="QL308" s="23"/>
      <c r="QM308" s="23"/>
      <c r="QN308" s="23"/>
      <c r="QO308" s="23"/>
      <c r="QP308" s="23"/>
      <c r="QQ308" s="23"/>
      <c r="QR308" s="23"/>
      <c r="QS308" s="23"/>
      <c r="QT308" s="23"/>
      <c r="QU308" s="23"/>
      <c r="QV308" s="23"/>
      <c r="QW308" s="23"/>
      <c r="QX308" s="23"/>
      <c r="QY308" s="23"/>
      <c r="QZ308" s="23"/>
      <c r="RA308" s="23"/>
      <c r="RB308" s="23"/>
      <c r="RC308" s="23"/>
      <c r="RD308" s="23"/>
      <c r="RE308" s="23"/>
      <c r="RF308" s="23"/>
      <c r="RG308" s="23"/>
      <c r="RH308" s="23"/>
      <c r="RI308" s="23"/>
      <c r="RJ308" s="23"/>
      <c r="RK308" s="23"/>
      <c r="RL308" s="23"/>
      <c r="RM308" s="23"/>
      <c r="RN308" s="23"/>
      <c r="RO308" s="23"/>
      <c r="RP308" s="23"/>
      <c r="RQ308" s="23"/>
      <c r="RR308" s="23"/>
      <c r="RS308" s="23"/>
      <c r="RT308" s="23"/>
      <c r="RU308" s="23"/>
      <c r="RV308" s="23"/>
      <c r="RW308" s="23"/>
      <c r="RX308" s="23"/>
      <c r="RY308" s="23"/>
      <c r="RZ308" s="23"/>
      <c r="SA308" s="23"/>
      <c r="SB308" s="23"/>
      <c r="SC308" s="23"/>
      <c r="SD308" s="23"/>
      <c r="SE308" s="23"/>
      <c r="SF308" s="23"/>
      <c r="SG308" s="23"/>
      <c r="SH308" s="23"/>
      <c r="SI308" s="23"/>
      <c r="SJ308" s="23"/>
      <c r="SK308" s="23"/>
      <c r="SL308" s="23"/>
      <c r="SM308" s="23"/>
      <c r="SN308" s="23"/>
      <c r="SO308" s="23"/>
      <c r="SP308" s="23"/>
      <c r="SQ308" s="23"/>
      <c r="SR308" s="23"/>
      <c r="SS308" s="23"/>
      <c r="ST308" s="23"/>
      <c r="SU308" s="23"/>
      <c r="SV308" s="23"/>
      <c r="SW308" s="23"/>
      <c r="SX308" s="23"/>
      <c r="SY308" s="23"/>
      <c r="SZ308" s="23"/>
      <c r="TA308" s="23"/>
      <c r="TB308" s="23"/>
      <c r="TC308" s="23"/>
      <c r="TD308" s="23"/>
      <c r="TE308" s="23"/>
      <c r="TF308" s="23"/>
      <c r="TG308" s="23"/>
    </row>
    <row r="309" spans="1:527" s="27" customFormat="1" ht="38.25" customHeight="1" x14ac:dyDescent="0.25">
      <c r="A309" s="110" t="s">
        <v>218</v>
      </c>
      <c r="B309" s="112"/>
      <c r="C309" s="112"/>
      <c r="D309" s="107" t="s">
        <v>41</v>
      </c>
      <c r="E309" s="95">
        <f>E310</f>
        <v>141448711.44</v>
      </c>
      <c r="F309" s="95">
        <f t="shared" ref="F309:J309" si="171">F310</f>
        <v>122820052</v>
      </c>
      <c r="G309" s="95">
        <f t="shared" si="171"/>
        <v>15760200</v>
      </c>
      <c r="H309" s="95">
        <f t="shared" si="171"/>
        <v>376173</v>
      </c>
      <c r="I309" s="95">
        <f t="shared" si="171"/>
        <v>0</v>
      </c>
      <c r="J309" s="95">
        <f t="shared" si="171"/>
        <v>502000</v>
      </c>
      <c r="K309" s="95">
        <f t="shared" ref="K309" si="172">K310</f>
        <v>0</v>
      </c>
      <c r="L309" s="95">
        <f t="shared" ref="L309" si="173">L310</f>
        <v>502000</v>
      </c>
      <c r="M309" s="95">
        <f t="shared" ref="M309" si="174">M310</f>
        <v>0</v>
      </c>
      <c r="N309" s="95">
        <f t="shared" ref="N309" si="175">N310</f>
        <v>0</v>
      </c>
      <c r="O309" s="95">
        <f t="shared" ref="O309:P309" si="176">O310</f>
        <v>0</v>
      </c>
      <c r="P309" s="95">
        <f t="shared" si="176"/>
        <v>141950711.44</v>
      </c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32"/>
      <c r="CV309" s="32"/>
      <c r="CW309" s="32"/>
      <c r="CX309" s="32"/>
      <c r="CY309" s="32"/>
      <c r="CZ309" s="32"/>
      <c r="DA309" s="32"/>
      <c r="DB309" s="32"/>
      <c r="DC309" s="32"/>
      <c r="DD309" s="32"/>
      <c r="DE309" s="32"/>
      <c r="DF309" s="32"/>
      <c r="DG309" s="32"/>
      <c r="DH309" s="32"/>
      <c r="DI309" s="32"/>
      <c r="DJ309" s="32"/>
      <c r="DK309" s="32"/>
      <c r="DL309" s="32"/>
      <c r="DM309" s="32"/>
      <c r="DN309" s="32"/>
      <c r="DO309" s="32"/>
      <c r="DP309" s="32"/>
      <c r="DQ309" s="32"/>
      <c r="DR309" s="32"/>
      <c r="DS309" s="32"/>
      <c r="DT309" s="32"/>
      <c r="DU309" s="32"/>
      <c r="DV309" s="32"/>
      <c r="DW309" s="32"/>
      <c r="DX309" s="32"/>
      <c r="DY309" s="32"/>
      <c r="DZ309" s="32"/>
      <c r="EA309" s="32"/>
      <c r="EB309" s="32"/>
      <c r="EC309" s="32"/>
      <c r="ED309" s="32"/>
      <c r="EE309" s="32"/>
      <c r="EF309" s="32"/>
      <c r="EG309" s="32"/>
      <c r="EH309" s="32"/>
      <c r="EI309" s="32"/>
      <c r="EJ309" s="32"/>
      <c r="EK309" s="32"/>
      <c r="EL309" s="32"/>
      <c r="EM309" s="32"/>
      <c r="EN309" s="32"/>
      <c r="EO309" s="32"/>
      <c r="EP309" s="32"/>
      <c r="EQ309" s="32"/>
      <c r="ER309" s="32"/>
      <c r="ES309" s="32"/>
      <c r="ET309" s="32"/>
      <c r="EU309" s="32"/>
      <c r="EV309" s="32"/>
      <c r="EW309" s="32"/>
      <c r="EX309" s="32"/>
      <c r="EY309" s="32"/>
      <c r="EZ309" s="32"/>
      <c r="FA309" s="32"/>
      <c r="FB309" s="32"/>
      <c r="FC309" s="32"/>
      <c r="FD309" s="32"/>
      <c r="FE309" s="32"/>
      <c r="FF309" s="32"/>
      <c r="FG309" s="32"/>
      <c r="FH309" s="32"/>
      <c r="FI309" s="32"/>
      <c r="FJ309" s="32"/>
      <c r="FK309" s="32"/>
      <c r="FL309" s="32"/>
      <c r="FM309" s="32"/>
      <c r="FN309" s="32"/>
      <c r="FO309" s="32"/>
      <c r="FP309" s="32"/>
      <c r="FQ309" s="32"/>
      <c r="FR309" s="32"/>
      <c r="FS309" s="32"/>
      <c r="FT309" s="32"/>
      <c r="FU309" s="32"/>
      <c r="FV309" s="32"/>
      <c r="FW309" s="32"/>
      <c r="FX309" s="32"/>
      <c r="FY309" s="32"/>
      <c r="FZ309" s="32"/>
      <c r="GA309" s="32"/>
      <c r="GB309" s="32"/>
      <c r="GC309" s="32"/>
      <c r="GD309" s="32"/>
      <c r="GE309" s="32"/>
      <c r="GF309" s="32"/>
      <c r="GG309" s="32"/>
      <c r="GH309" s="32"/>
      <c r="GI309" s="32"/>
      <c r="GJ309" s="32"/>
      <c r="GK309" s="32"/>
      <c r="GL309" s="32"/>
      <c r="GM309" s="32"/>
      <c r="GN309" s="32"/>
      <c r="GO309" s="32"/>
      <c r="GP309" s="32"/>
      <c r="GQ309" s="32"/>
      <c r="GR309" s="32"/>
      <c r="GS309" s="32"/>
      <c r="GT309" s="32"/>
      <c r="GU309" s="32"/>
      <c r="GV309" s="32"/>
      <c r="GW309" s="32"/>
      <c r="GX309" s="32"/>
      <c r="GY309" s="32"/>
      <c r="GZ309" s="32"/>
      <c r="HA309" s="32"/>
      <c r="HB309" s="32"/>
      <c r="HC309" s="32"/>
      <c r="HD309" s="32"/>
      <c r="HE309" s="32"/>
      <c r="HF309" s="32"/>
      <c r="HG309" s="32"/>
      <c r="HH309" s="32"/>
      <c r="HI309" s="32"/>
      <c r="HJ309" s="32"/>
      <c r="HK309" s="32"/>
      <c r="HL309" s="32"/>
      <c r="HM309" s="32"/>
      <c r="HN309" s="32"/>
      <c r="HO309" s="32"/>
      <c r="HP309" s="32"/>
      <c r="HQ309" s="32"/>
      <c r="HR309" s="32"/>
      <c r="HS309" s="32"/>
      <c r="HT309" s="32"/>
      <c r="HU309" s="32"/>
      <c r="HV309" s="32"/>
      <c r="HW309" s="32"/>
      <c r="HX309" s="32"/>
      <c r="HY309" s="32"/>
      <c r="HZ309" s="32"/>
      <c r="IA309" s="32"/>
      <c r="IB309" s="32"/>
      <c r="IC309" s="32"/>
      <c r="ID309" s="32"/>
      <c r="IE309" s="32"/>
      <c r="IF309" s="32"/>
      <c r="IG309" s="32"/>
      <c r="IH309" s="32"/>
      <c r="II309" s="32"/>
      <c r="IJ309" s="32"/>
      <c r="IK309" s="32"/>
      <c r="IL309" s="32"/>
      <c r="IM309" s="32"/>
      <c r="IN309" s="32"/>
      <c r="IO309" s="32"/>
      <c r="IP309" s="32"/>
      <c r="IQ309" s="32"/>
      <c r="IR309" s="32"/>
      <c r="IS309" s="32"/>
      <c r="IT309" s="32"/>
      <c r="IU309" s="32"/>
      <c r="IV309" s="32"/>
      <c r="IW309" s="32"/>
      <c r="IX309" s="32"/>
      <c r="IY309" s="32"/>
      <c r="IZ309" s="32"/>
      <c r="JA309" s="32"/>
      <c r="JB309" s="32"/>
      <c r="JC309" s="32"/>
      <c r="JD309" s="32"/>
      <c r="JE309" s="32"/>
      <c r="JF309" s="32"/>
      <c r="JG309" s="32"/>
      <c r="JH309" s="32"/>
      <c r="JI309" s="32"/>
      <c r="JJ309" s="32"/>
      <c r="JK309" s="32"/>
      <c r="JL309" s="32"/>
      <c r="JM309" s="32"/>
      <c r="JN309" s="32"/>
      <c r="JO309" s="32"/>
      <c r="JP309" s="32"/>
      <c r="JQ309" s="32"/>
      <c r="JR309" s="32"/>
      <c r="JS309" s="32"/>
      <c r="JT309" s="32"/>
      <c r="JU309" s="32"/>
      <c r="JV309" s="32"/>
      <c r="JW309" s="32"/>
      <c r="JX309" s="32"/>
      <c r="JY309" s="32"/>
      <c r="JZ309" s="32"/>
      <c r="KA309" s="32"/>
      <c r="KB309" s="32"/>
      <c r="KC309" s="32"/>
      <c r="KD309" s="32"/>
      <c r="KE309" s="32"/>
      <c r="KF309" s="32"/>
      <c r="KG309" s="32"/>
      <c r="KH309" s="32"/>
      <c r="KI309" s="32"/>
      <c r="KJ309" s="32"/>
      <c r="KK309" s="32"/>
      <c r="KL309" s="32"/>
      <c r="KM309" s="32"/>
      <c r="KN309" s="32"/>
      <c r="KO309" s="32"/>
      <c r="KP309" s="32"/>
      <c r="KQ309" s="32"/>
      <c r="KR309" s="32"/>
      <c r="KS309" s="32"/>
      <c r="KT309" s="32"/>
      <c r="KU309" s="32"/>
      <c r="KV309" s="32"/>
      <c r="KW309" s="32"/>
      <c r="KX309" s="32"/>
      <c r="KY309" s="32"/>
      <c r="KZ309" s="32"/>
      <c r="LA309" s="32"/>
      <c r="LB309" s="32"/>
      <c r="LC309" s="32"/>
      <c r="LD309" s="32"/>
      <c r="LE309" s="32"/>
      <c r="LF309" s="32"/>
      <c r="LG309" s="32"/>
      <c r="LH309" s="32"/>
      <c r="LI309" s="32"/>
      <c r="LJ309" s="32"/>
      <c r="LK309" s="32"/>
      <c r="LL309" s="32"/>
      <c r="LM309" s="32"/>
      <c r="LN309" s="32"/>
      <c r="LO309" s="32"/>
      <c r="LP309" s="32"/>
      <c r="LQ309" s="32"/>
      <c r="LR309" s="32"/>
      <c r="LS309" s="32"/>
      <c r="LT309" s="32"/>
      <c r="LU309" s="32"/>
      <c r="LV309" s="32"/>
      <c r="LW309" s="32"/>
      <c r="LX309" s="32"/>
      <c r="LY309" s="32"/>
      <c r="LZ309" s="32"/>
      <c r="MA309" s="32"/>
      <c r="MB309" s="32"/>
      <c r="MC309" s="32"/>
      <c r="MD309" s="32"/>
      <c r="ME309" s="32"/>
      <c r="MF309" s="32"/>
      <c r="MG309" s="32"/>
      <c r="MH309" s="32"/>
      <c r="MI309" s="32"/>
      <c r="MJ309" s="32"/>
      <c r="MK309" s="32"/>
      <c r="ML309" s="32"/>
      <c r="MM309" s="32"/>
      <c r="MN309" s="32"/>
      <c r="MO309" s="32"/>
      <c r="MP309" s="32"/>
      <c r="MQ309" s="32"/>
      <c r="MR309" s="32"/>
      <c r="MS309" s="32"/>
      <c r="MT309" s="32"/>
      <c r="MU309" s="32"/>
      <c r="MV309" s="32"/>
      <c r="MW309" s="32"/>
      <c r="MX309" s="32"/>
      <c r="MY309" s="32"/>
      <c r="MZ309" s="32"/>
      <c r="NA309" s="32"/>
      <c r="NB309" s="32"/>
      <c r="NC309" s="32"/>
      <c r="ND309" s="32"/>
      <c r="NE309" s="32"/>
      <c r="NF309" s="32"/>
      <c r="NG309" s="32"/>
      <c r="NH309" s="32"/>
      <c r="NI309" s="32"/>
      <c r="NJ309" s="32"/>
      <c r="NK309" s="32"/>
      <c r="NL309" s="32"/>
      <c r="NM309" s="32"/>
      <c r="NN309" s="32"/>
      <c r="NO309" s="32"/>
      <c r="NP309" s="32"/>
      <c r="NQ309" s="32"/>
      <c r="NR309" s="32"/>
      <c r="NS309" s="32"/>
      <c r="NT309" s="32"/>
      <c r="NU309" s="32"/>
      <c r="NV309" s="32"/>
      <c r="NW309" s="32"/>
      <c r="NX309" s="32"/>
      <c r="NY309" s="32"/>
      <c r="NZ309" s="32"/>
      <c r="OA309" s="32"/>
      <c r="OB309" s="32"/>
      <c r="OC309" s="32"/>
      <c r="OD309" s="32"/>
      <c r="OE309" s="32"/>
      <c r="OF309" s="32"/>
      <c r="OG309" s="32"/>
      <c r="OH309" s="32"/>
      <c r="OI309" s="32"/>
      <c r="OJ309" s="32"/>
      <c r="OK309" s="32"/>
      <c r="OL309" s="32"/>
      <c r="OM309" s="32"/>
      <c r="ON309" s="32"/>
      <c r="OO309" s="32"/>
      <c r="OP309" s="32"/>
      <c r="OQ309" s="32"/>
      <c r="OR309" s="32"/>
      <c r="OS309" s="32"/>
      <c r="OT309" s="32"/>
      <c r="OU309" s="32"/>
      <c r="OV309" s="32"/>
      <c r="OW309" s="32"/>
      <c r="OX309" s="32"/>
      <c r="OY309" s="32"/>
      <c r="OZ309" s="32"/>
      <c r="PA309" s="32"/>
      <c r="PB309" s="32"/>
      <c r="PC309" s="32"/>
      <c r="PD309" s="32"/>
      <c r="PE309" s="32"/>
      <c r="PF309" s="32"/>
      <c r="PG309" s="32"/>
      <c r="PH309" s="32"/>
      <c r="PI309" s="32"/>
      <c r="PJ309" s="32"/>
      <c r="PK309" s="32"/>
      <c r="PL309" s="32"/>
      <c r="PM309" s="32"/>
      <c r="PN309" s="32"/>
      <c r="PO309" s="32"/>
      <c r="PP309" s="32"/>
      <c r="PQ309" s="32"/>
      <c r="PR309" s="32"/>
      <c r="PS309" s="32"/>
      <c r="PT309" s="32"/>
      <c r="PU309" s="32"/>
      <c r="PV309" s="32"/>
      <c r="PW309" s="32"/>
      <c r="PX309" s="32"/>
      <c r="PY309" s="32"/>
      <c r="PZ309" s="32"/>
      <c r="QA309" s="32"/>
      <c r="QB309" s="32"/>
      <c r="QC309" s="32"/>
      <c r="QD309" s="32"/>
      <c r="QE309" s="32"/>
      <c r="QF309" s="32"/>
      <c r="QG309" s="32"/>
      <c r="QH309" s="32"/>
      <c r="QI309" s="32"/>
      <c r="QJ309" s="32"/>
      <c r="QK309" s="32"/>
      <c r="QL309" s="32"/>
      <c r="QM309" s="32"/>
      <c r="QN309" s="32"/>
      <c r="QO309" s="32"/>
      <c r="QP309" s="32"/>
      <c r="QQ309" s="32"/>
      <c r="QR309" s="32"/>
      <c r="QS309" s="32"/>
      <c r="QT309" s="32"/>
      <c r="QU309" s="32"/>
      <c r="QV309" s="32"/>
      <c r="QW309" s="32"/>
      <c r="QX309" s="32"/>
      <c r="QY309" s="32"/>
      <c r="QZ309" s="32"/>
      <c r="RA309" s="32"/>
      <c r="RB309" s="32"/>
      <c r="RC309" s="32"/>
      <c r="RD309" s="32"/>
      <c r="RE309" s="32"/>
      <c r="RF309" s="32"/>
      <c r="RG309" s="32"/>
      <c r="RH309" s="32"/>
      <c r="RI309" s="32"/>
      <c r="RJ309" s="32"/>
      <c r="RK309" s="32"/>
      <c r="RL309" s="32"/>
      <c r="RM309" s="32"/>
      <c r="RN309" s="32"/>
      <c r="RO309" s="32"/>
      <c r="RP309" s="32"/>
      <c r="RQ309" s="32"/>
      <c r="RR309" s="32"/>
      <c r="RS309" s="32"/>
      <c r="RT309" s="32"/>
      <c r="RU309" s="32"/>
      <c r="RV309" s="32"/>
      <c r="RW309" s="32"/>
      <c r="RX309" s="32"/>
      <c r="RY309" s="32"/>
      <c r="RZ309" s="32"/>
      <c r="SA309" s="32"/>
      <c r="SB309" s="32"/>
      <c r="SC309" s="32"/>
      <c r="SD309" s="32"/>
      <c r="SE309" s="32"/>
      <c r="SF309" s="32"/>
      <c r="SG309" s="32"/>
      <c r="SH309" s="32"/>
      <c r="SI309" s="32"/>
      <c r="SJ309" s="32"/>
      <c r="SK309" s="32"/>
      <c r="SL309" s="32"/>
      <c r="SM309" s="32"/>
      <c r="SN309" s="32"/>
      <c r="SO309" s="32"/>
      <c r="SP309" s="32"/>
      <c r="SQ309" s="32"/>
      <c r="SR309" s="32"/>
      <c r="SS309" s="32"/>
      <c r="ST309" s="32"/>
      <c r="SU309" s="32"/>
      <c r="SV309" s="32"/>
      <c r="SW309" s="32"/>
      <c r="SX309" s="32"/>
      <c r="SY309" s="32"/>
      <c r="SZ309" s="32"/>
      <c r="TA309" s="32"/>
      <c r="TB309" s="32"/>
      <c r="TC309" s="32"/>
      <c r="TD309" s="32"/>
      <c r="TE309" s="32"/>
      <c r="TF309" s="32"/>
      <c r="TG309" s="32"/>
    </row>
    <row r="310" spans="1:527" s="34" customFormat="1" ht="34.5" customHeight="1" x14ac:dyDescent="0.25">
      <c r="A310" s="96" t="s">
        <v>219</v>
      </c>
      <c r="B310" s="109"/>
      <c r="C310" s="109"/>
      <c r="D310" s="77" t="s">
        <v>41</v>
      </c>
      <c r="E310" s="98">
        <f>SUM(E311+E312+E313+E315+E316+E317+E318+E314)</f>
        <v>141448711.44</v>
      </c>
      <c r="F310" s="98">
        <f t="shared" ref="F310:P310" si="177">SUM(F311+F312+F313+F315+F316+F317+F318+F314)</f>
        <v>122820052</v>
      </c>
      <c r="G310" s="98">
        <f t="shared" si="177"/>
        <v>15760200</v>
      </c>
      <c r="H310" s="98">
        <f t="shared" si="177"/>
        <v>376173</v>
      </c>
      <c r="I310" s="98">
        <f t="shared" si="177"/>
        <v>0</v>
      </c>
      <c r="J310" s="98">
        <f t="shared" si="177"/>
        <v>502000</v>
      </c>
      <c r="K310" s="98">
        <f t="shared" si="177"/>
        <v>0</v>
      </c>
      <c r="L310" s="98">
        <f t="shared" si="177"/>
        <v>502000</v>
      </c>
      <c r="M310" s="98">
        <f t="shared" si="177"/>
        <v>0</v>
      </c>
      <c r="N310" s="98">
        <f t="shared" si="177"/>
        <v>0</v>
      </c>
      <c r="O310" s="98">
        <f t="shared" si="177"/>
        <v>0</v>
      </c>
      <c r="P310" s="98">
        <f t="shared" si="177"/>
        <v>141950711.44</v>
      </c>
      <c r="Q310" s="33"/>
      <c r="R310" s="32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  <c r="CA310" s="33"/>
      <c r="CB310" s="33"/>
      <c r="CC310" s="33"/>
      <c r="CD310" s="33"/>
      <c r="CE310" s="33"/>
      <c r="CF310" s="33"/>
      <c r="CG310" s="33"/>
      <c r="CH310" s="33"/>
      <c r="CI310" s="33"/>
      <c r="CJ310" s="33"/>
      <c r="CK310" s="33"/>
      <c r="CL310" s="33"/>
      <c r="CM310" s="33"/>
      <c r="CN310" s="33"/>
      <c r="CO310" s="33"/>
      <c r="CP310" s="33"/>
      <c r="CQ310" s="33"/>
      <c r="CR310" s="33"/>
      <c r="CS310" s="33"/>
      <c r="CT310" s="33"/>
      <c r="CU310" s="33"/>
      <c r="CV310" s="33"/>
      <c r="CW310" s="33"/>
      <c r="CX310" s="33"/>
      <c r="CY310" s="33"/>
      <c r="CZ310" s="33"/>
      <c r="DA310" s="33"/>
      <c r="DB310" s="33"/>
      <c r="DC310" s="33"/>
      <c r="DD310" s="33"/>
      <c r="DE310" s="33"/>
      <c r="DF310" s="33"/>
      <c r="DG310" s="33"/>
      <c r="DH310" s="33"/>
      <c r="DI310" s="33"/>
      <c r="DJ310" s="33"/>
      <c r="DK310" s="33"/>
      <c r="DL310" s="33"/>
      <c r="DM310" s="33"/>
      <c r="DN310" s="33"/>
      <c r="DO310" s="33"/>
      <c r="DP310" s="33"/>
      <c r="DQ310" s="33"/>
      <c r="DR310" s="33"/>
      <c r="DS310" s="33"/>
      <c r="DT310" s="33"/>
      <c r="DU310" s="33"/>
      <c r="DV310" s="33"/>
      <c r="DW310" s="33"/>
      <c r="DX310" s="33"/>
      <c r="DY310" s="33"/>
      <c r="DZ310" s="33"/>
      <c r="EA310" s="33"/>
      <c r="EB310" s="33"/>
      <c r="EC310" s="33"/>
      <c r="ED310" s="33"/>
      <c r="EE310" s="33"/>
      <c r="EF310" s="33"/>
      <c r="EG310" s="33"/>
      <c r="EH310" s="33"/>
      <c r="EI310" s="33"/>
      <c r="EJ310" s="33"/>
      <c r="EK310" s="33"/>
      <c r="EL310" s="33"/>
      <c r="EM310" s="33"/>
      <c r="EN310" s="33"/>
      <c r="EO310" s="33"/>
      <c r="EP310" s="33"/>
      <c r="EQ310" s="33"/>
      <c r="ER310" s="33"/>
      <c r="ES310" s="33"/>
      <c r="ET310" s="33"/>
      <c r="EU310" s="33"/>
      <c r="EV310" s="33"/>
      <c r="EW310" s="33"/>
      <c r="EX310" s="33"/>
      <c r="EY310" s="33"/>
      <c r="EZ310" s="33"/>
      <c r="FA310" s="33"/>
      <c r="FB310" s="33"/>
      <c r="FC310" s="33"/>
      <c r="FD310" s="33"/>
      <c r="FE310" s="33"/>
      <c r="FF310" s="33"/>
      <c r="FG310" s="33"/>
      <c r="FH310" s="33"/>
      <c r="FI310" s="33"/>
      <c r="FJ310" s="33"/>
      <c r="FK310" s="33"/>
      <c r="FL310" s="33"/>
      <c r="FM310" s="33"/>
      <c r="FN310" s="33"/>
      <c r="FO310" s="33"/>
      <c r="FP310" s="33"/>
      <c r="FQ310" s="33"/>
      <c r="FR310" s="33"/>
      <c r="FS310" s="33"/>
      <c r="FT310" s="33"/>
      <c r="FU310" s="33"/>
      <c r="FV310" s="33"/>
      <c r="FW310" s="33"/>
      <c r="FX310" s="33"/>
      <c r="FY310" s="33"/>
      <c r="FZ310" s="33"/>
      <c r="GA310" s="33"/>
      <c r="GB310" s="33"/>
      <c r="GC310" s="33"/>
      <c r="GD310" s="33"/>
      <c r="GE310" s="33"/>
      <c r="GF310" s="33"/>
      <c r="GG310" s="33"/>
      <c r="GH310" s="33"/>
      <c r="GI310" s="33"/>
      <c r="GJ310" s="33"/>
      <c r="GK310" s="33"/>
      <c r="GL310" s="33"/>
      <c r="GM310" s="33"/>
      <c r="GN310" s="33"/>
      <c r="GO310" s="33"/>
      <c r="GP310" s="33"/>
      <c r="GQ310" s="33"/>
      <c r="GR310" s="33"/>
      <c r="GS310" s="33"/>
      <c r="GT310" s="33"/>
      <c r="GU310" s="33"/>
      <c r="GV310" s="33"/>
      <c r="GW310" s="33"/>
      <c r="GX310" s="33"/>
      <c r="GY310" s="33"/>
      <c r="GZ310" s="33"/>
      <c r="HA310" s="33"/>
      <c r="HB310" s="33"/>
      <c r="HC310" s="33"/>
      <c r="HD310" s="33"/>
      <c r="HE310" s="33"/>
      <c r="HF310" s="33"/>
      <c r="HG310" s="33"/>
      <c r="HH310" s="33"/>
      <c r="HI310" s="33"/>
      <c r="HJ310" s="33"/>
      <c r="HK310" s="33"/>
      <c r="HL310" s="33"/>
      <c r="HM310" s="33"/>
      <c r="HN310" s="33"/>
      <c r="HO310" s="33"/>
      <c r="HP310" s="33"/>
      <c r="HQ310" s="33"/>
      <c r="HR310" s="33"/>
      <c r="HS310" s="33"/>
      <c r="HT310" s="33"/>
      <c r="HU310" s="33"/>
      <c r="HV310" s="33"/>
      <c r="HW310" s="33"/>
      <c r="HX310" s="33"/>
      <c r="HY310" s="33"/>
      <c r="HZ310" s="33"/>
      <c r="IA310" s="33"/>
      <c r="IB310" s="33"/>
      <c r="IC310" s="33"/>
      <c r="ID310" s="33"/>
      <c r="IE310" s="33"/>
      <c r="IF310" s="33"/>
      <c r="IG310" s="33"/>
      <c r="IH310" s="33"/>
      <c r="II310" s="33"/>
      <c r="IJ310" s="33"/>
      <c r="IK310" s="33"/>
      <c r="IL310" s="33"/>
      <c r="IM310" s="33"/>
      <c r="IN310" s="33"/>
      <c r="IO310" s="33"/>
      <c r="IP310" s="33"/>
      <c r="IQ310" s="33"/>
      <c r="IR310" s="33"/>
      <c r="IS310" s="33"/>
      <c r="IT310" s="33"/>
      <c r="IU310" s="33"/>
      <c r="IV310" s="33"/>
      <c r="IW310" s="33"/>
      <c r="IX310" s="33"/>
      <c r="IY310" s="33"/>
      <c r="IZ310" s="33"/>
      <c r="JA310" s="33"/>
      <c r="JB310" s="33"/>
      <c r="JC310" s="33"/>
      <c r="JD310" s="33"/>
      <c r="JE310" s="33"/>
      <c r="JF310" s="33"/>
      <c r="JG310" s="33"/>
      <c r="JH310" s="33"/>
      <c r="JI310" s="33"/>
      <c r="JJ310" s="33"/>
      <c r="JK310" s="33"/>
      <c r="JL310" s="33"/>
      <c r="JM310" s="33"/>
      <c r="JN310" s="33"/>
      <c r="JO310" s="33"/>
      <c r="JP310" s="33"/>
      <c r="JQ310" s="33"/>
      <c r="JR310" s="33"/>
      <c r="JS310" s="33"/>
      <c r="JT310" s="33"/>
      <c r="JU310" s="33"/>
      <c r="JV310" s="33"/>
      <c r="JW310" s="33"/>
      <c r="JX310" s="33"/>
      <c r="JY310" s="33"/>
      <c r="JZ310" s="33"/>
      <c r="KA310" s="33"/>
      <c r="KB310" s="33"/>
      <c r="KC310" s="33"/>
      <c r="KD310" s="33"/>
      <c r="KE310" s="33"/>
      <c r="KF310" s="33"/>
      <c r="KG310" s="33"/>
      <c r="KH310" s="33"/>
      <c r="KI310" s="33"/>
      <c r="KJ310" s="33"/>
      <c r="KK310" s="33"/>
      <c r="KL310" s="33"/>
      <c r="KM310" s="33"/>
      <c r="KN310" s="33"/>
      <c r="KO310" s="33"/>
      <c r="KP310" s="33"/>
      <c r="KQ310" s="33"/>
      <c r="KR310" s="33"/>
      <c r="KS310" s="33"/>
      <c r="KT310" s="33"/>
      <c r="KU310" s="33"/>
      <c r="KV310" s="33"/>
      <c r="KW310" s="33"/>
      <c r="KX310" s="33"/>
      <c r="KY310" s="33"/>
      <c r="KZ310" s="33"/>
      <c r="LA310" s="33"/>
      <c r="LB310" s="33"/>
      <c r="LC310" s="33"/>
      <c r="LD310" s="33"/>
      <c r="LE310" s="33"/>
      <c r="LF310" s="33"/>
      <c r="LG310" s="33"/>
      <c r="LH310" s="33"/>
      <c r="LI310" s="33"/>
      <c r="LJ310" s="33"/>
      <c r="LK310" s="33"/>
      <c r="LL310" s="33"/>
      <c r="LM310" s="33"/>
      <c r="LN310" s="33"/>
      <c r="LO310" s="33"/>
      <c r="LP310" s="33"/>
      <c r="LQ310" s="33"/>
      <c r="LR310" s="33"/>
      <c r="LS310" s="33"/>
      <c r="LT310" s="33"/>
      <c r="LU310" s="33"/>
      <c r="LV310" s="33"/>
      <c r="LW310" s="33"/>
      <c r="LX310" s="33"/>
      <c r="LY310" s="33"/>
      <c r="LZ310" s="33"/>
      <c r="MA310" s="33"/>
      <c r="MB310" s="33"/>
      <c r="MC310" s="33"/>
      <c r="MD310" s="33"/>
      <c r="ME310" s="33"/>
      <c r="MF310" s="33"/>
      <c r="MG310" s="33"/>
      <c r="MH310" s="33"/>
      <c r="MI310" s="33"/>
      <c r="MJ310" s="33"/>
      <c r="MK310" s="33"/>
      <c r="ML310" s="33"/>
      <c r="MM310" s="33"/>
      <c r="MN310" s="33"/>
      <c r="MO310" s="33"/>
      <c r="MP310" s="33"/>
      <c r="MQ310" s="33"/>
      <c r="MR310" s="33"/>
      <c r="MS310" s="33"/>
      <c r="MT310" s="33"/>
      <c r="MU310" s="33"/>
      <c r="MV310" s="33"/>
      <c r="MW310" s="33"/>
      <c r="MX310" s="33"/>
      <c r="MY310" s="33"/>
      <c r="MZ310" s="33"/>
      <c r="NA310" s="33"/>
      <c r="NB310" s="33"/>
      <c r="NC310" s="33"/>
      <c r="ND310" s="33"/>
      <c r="NE310" s="33"/>
      <c r="NF310" s="33"/>
      <c r="NG310" s="33"/>
      <c r="NH310" s="33"/>
      <c r="NI310" s="33"/>
      <c r="NJ310" s="33"/>
      <c r="NK310" s="33"/>
      <c r="NL310" s="33"/>
      <c r="NM310" s="33"/>
      <c r="NN310" s="33"/>
      <c r="NO310" s="33"/>
      <c r="NP310" s="33"/>
      <c r="NQ310" s="33"/>
      <c r="NR310" s="33"/>
      <c r="NS310" s="33"/>
      <c r="NT310" s="33"/>
      <c r="NU310" s="33"/>
      <c r="NV310" s="33"/>
      <c r="NW310" s="33"/>
      <c r="NX310" s="33"/>
      <c r="NY310" s="33"/>
      <c r="NZ310" s="33"/>
      <c r="OA310" s="33"/>
      <c r="OB310" s="33"/>
      <c r="OC310" s="33"/>
      <c r="OD310" s="33"/>
      <c r="OE310" s="33"/>
      <c r="OF310" s="33"/>
      <c r="OG310" s="33"/>
      <c r="OH310" s="33"/>
      <c r="OI310" s="33"/>
      <c r="OJ310" s="33"/>
      <c r="OK310" s="33"/>
      <c r="OL310" s="33"/>
      <c r="OM310" s="33"/>
      <c r="ON310" s="33"/>
      <c r="OO310" s="33"/>
      <c r="OP310" s="33"/>
      <c r="OQ310" s="33"/>
      <c r="OR310" s="33"/>
      <c r="OS310" s="33"/>
      <c r="OT310" s="33"/>
      <c r="OU310" s="33"/>
      <c r="OV310" s="33"/>
      <c r="OW310" s="33"/>
      <c r="OX310" s="33"/>
      <c r="OY310" s="33"/>
      <c r="OZ310" s="33"/>
      <c r="PA310" s="33"/>
      <c r="PB310" s="33"/>
      <c r="PC310" s="33"/>
      <c r="PD310" s="33"/>
      <c r="PE310" s="33"/>
      <c r="PF310" s="33"/>
      <c r="PG310" s="33"/>
      <c r="PH310" s="33"/>
      <c r="PI310" s="33"/>
      <c r="PJ310" s="33"/>
      <c r="PK310" s="33"/>
      <c r="PL310" s="33"/>
      <c r="PM310" s="33"/>
      <c r="PN310" s="33"/>
      <c r="PO310" s="33"/>
      <c r="PP310" s="33"/>
      <c r="PQ310" s="33"/>
      <c r="PR310" s="33"/>
      <c r="PS310" s="33"/>
      <c r="PT310" s="33"/>
      <c r="PU310" s="33"/>
      <c r="PV310" s="33"/>
      <c r="PW310" s="33"/>
      <c r="PX310" s="33"/>
      <c r="PY310" s="33"/>
      <c r="PZ310" s="33"/>
      <c r="QA310" s="33"/>
      <c r="QB310" s="33"/>
      <c r="QC310" s="33"/>
      <c r="QD310" s="33"/>
      <c r="QE310" s="33"/>
      <c r="QF310" s="33"/>
      <c r="QG310" s="33"/>
      <c r="QH310" s="33"/>
      <c r="QI310" s="33"/>
      <c r="QJ310" s="33"/>
      <c r="QK310" s="33"/>
      <c r="QL310" s="33"/>
      <c r="QM310" s="33"/>
      <c r="QN310" s="33"/>
      <c r="QO310" s="33"/>
      <c r="QP310" s="33"/>
      <c r="QQ310" s="33"/>
      <c r="QR310" s="33"/>
      <c r="QS310" s="33"/>
      <c r="QT310" s="33"/>
      <c r="QU310" s="33"/>
      <c r="QV310" s="33"/>
      <c r="QW310" s="33"/>
      <c r="QX310" s="33"/>
      <c r="QY310" s="33"/>
      <c r="QZ310" s="33"/>
      <c r="RA310" s="33"/>
      <c r="RB310" s="33"/>
      <c r="RC310" s="33"/>
      <c r="RD310" s="33"/>
      <c r="RE310" s="33"/>
      <c r="RF310" s="33"/>
      <c r="RG310" s="33"/>
      <c r="RH310" s="33"/>
      <c r="RI310" s="33"/>
      <c r="RJ310" s="33"/>
      <c r="RK310" s="33"/>
      <c r="RL310" s="33"/>
      <c r="RM310" s="33"/>
      <c r="RN310" s="33"/>
      <c r="RO310" s="33"/>
      <c r="RP310" s="33"/>
      <c r="RQ310" s="33"/>
      <c r="RR310" s="33"/>
      <c r="RS310" s="33"/>
      <c r="RT310" s="33"/>
      <c r="RU310" s="33"/>
      <c r="RV310" s="33"/>
      <c r="RW310" s="33"/>
      <c r="RX310" s="33"/>
      <c r="RY310" s="33"/>
      <c r="RZ310" s="33"/>
      <c r="SA310" s="33"/>
      <c r="SB310" s="33"/>
      <c r="SC310" s="33"/>
      <c r="SD310" s="33"/>
      <c r="SE310" s="33"/>
      <c r="SF310" s="33"/>
      <c r="SG310" s="33"/>
      <c r="SH310" s="33"/>
      <c r="SI310" s="33"/>
      <c r="SJ310" s="33"/>
      <c r="SK310" s="33"/>
      <c r="SL310" s="33"/>
      <c r="SM310" s="33"/>
      <c r="SN310" s="33"/>
      <c r="SO310" s="33"/>
      <c r="SP310" s="33"/>
      <c r="SQ310" s="33"/>
      <c r="SR310" s="33"/>
      <c r="SS310" s="33"/>
      <c r="ST310" s="33"/>
      <c r="SU310" s="33"/>
      <c r="SV310" s="33"/>
      <c r="SW310" s="33"/>
      <c r="SX310" s="33"/>
      <c r="SY310" s="33"/>
      <c r="SZ310" s="33"/>
      <c r="TA310" s="33"/>
      <c r="TB310" s="33"/>
      <c r="TC310" s="33"/>
      <c r="TD310" s="33"/>
      <c r="TE310" s="33"/>
      <c r="TF310" s="33"/>
      <c r="TG310" s="33"/>
    </row>
    <row r="311" spans="1:527" s="22" customFormat="1" ht="46.5" customHeight="1" x14ac:dyDescent="0.25">
      <c r="A311" s="59" t="s">
        <v>220</v>
      </c>
      <c r="B311" s="93" t="str">
        <f>'дод 8'!A19</f>
        <v>0160</v>
      </c>
      <c r="C311" s="93" t="str">
        <f>'дод 8'!B19</f>
        <v>0111</v>
      </c>
      <c r="D311" s="36" t="s">
        <v>494</v>
      </c>
      <c r="E311" s="99">
        <f t="shared" ref="E311:E316" si="178">F311+I311</f>
        <v>20250573</v>
      </c>
      <c r="F311" s="99">
        <f>20122100+1000000-1000000+10000+14573+103900</f>
        <v>20250573</v>
      </c>
      <c r="G311" s="99">
        <f>15760200</f>
        <v>15760200</v>
      </c>
      <c r="H311" s="99">
        <f>257700+14573+103900</f>
        <v>376173</v>
      </c>
      <c r="I311" s="99"/>
      <c r="J311" s="99">
        <f>L311+O311</f>
        <v>0</v>
      </c>
      <c r="K311" s="99"/>
      <c r="L311" s="99"/>
      <c r="M311" s="99"/>
      <c r="N311" s="99"/>
      <c r="O311" s="99"/>
      <c r="P311" s="99">
        <f t="shared" ref="P311:P318" si="179">E311+J311</f>
        <v>20250573</v>
      </c>
      <c r="Q311" s="23"/>
      <c r="R311" s="32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  <c r="GD311" s="23"/>
      <c r="GE311" s="23"/>
      <c r="GF311" s="23"/>
      <c r="GG311" s="23"/>
      <c r="GH311" s="23"/>
      <c r="GI311" s="23"/>
      <c r="GJ311" s="23"/>
      <c r="GK311" s="23"/>
      <c r="GL311" s="23"/>
      <c r="GM311" s="23"/>
      <c r="GN311" s="23"/>
      <c r="GO311" s="23"/>
      <c r="GP311" s="23"/>
      <c r="GQ311" s="23"/>
      <c r="GR311" s="23"/>
      <c r="GS311" s="23"/>
      <c r="GT311" s="23"/>
      <c r="GU311" s="23"/>
      <c r="GV311" s="23"/>
      <c r="GW311" s="23"/>
      <c r="GX311" s="23"/>
      <c r="GY311" s="23"/>
      <c r="GZ311" s="23"/>
      <c r="HA311" s="23"/>
      <c r="HB311" s="23"/>
      <c r="HC311" s="23"/>
      <c r="HD311" s="23"/>
      <c r="HE311" s="23"/>
      <c r="HF311" s="23"/>
      <c r="HG311" s="23"/>
      <c r="HH311" s="23"/>
      <c r="HI311" s="23"/>
      <c r="HJ311" s="23"/>
      <c r="HK311" s="23"/>
      <c r="HL311" s="23"/>
      <c r="HM311" s="23"/>
      <c r="HN311" s="23"/>
      <c r="HO311" s="23"/>
      <c r="HP311" s="23"/>
      <c r="HQ311" s="23"/>
      <c r="HR311" s="23"/>
      <c r="HS311" s="23"/>
      <c r="HT311" s="23"/>
      <c r="HU311" s="23"/>
      <c r="HV311" s="23"/>
      <c r="HW311" s="23"/>
      <c r="HX311" s="23"/>
      <c r="HY311" s="23"/>
      <c r="HZ311" s="23"/>
      <c r="IA311" s="23"/>
      <c r="IB311" s="23"/>
      <c r="IC311" s="23"/>
      <c r="ID311" s="23"/>
      <c r="IE311" s="23"/>
      <c r="IF311" s="23"/>
      <c r="IG311" s="23"/>
      <c r="IH311" s="23"/>
      <c r="II311" s="23"/>
      <c r="IJ311" s="23"/>
      <c r="IK311" s="23"/>
      <c r="IL311" s="23"/>
      <c r="IM311" s="23"/>
      <c r="IN311" s="23"/>
      <c r="IO311" s="23"/>
      <c r="IP311" s="23"/>
      <c r="IQ311" s="23"/>
      <c r="IR311" s="23"/>
      <c r="IS311" s="23"/>
      <c r="IT311" s="23"/>
      <c r="IU311" s="23"/>
      <c r="IV311" s="23"/>
      <c r="IW311" s="23"/>
      <c r="IX311" s="23"/>
      <c r="IY311" s="23"/>
      <c r="IZ311" s="23"/>
      <c r="JA311" s="23"/>
      <c r="JB311" s="23"/>
      <c r="JC311" s="23"/>
      <c r="JD311" s="23"/>
      <c r="JE311" s="23"/>
      <c r="JF311" s="23"/>
      <c r="JG311" s="23"/>
      <c r="JH311" s="23"/>
      <c r="JI311" s="23"/>
      <c r="JJ311" s="23"/>
      <c r="JK311" s="23"/>
      <c r="JL311" s="23"/>
      <c r="JM311" s="23"/>
      <c r="JN311" s="23"/>
      <c r="JO311" s="23"/>
      <c r="JP311" s="23"/>
      <c r="JQ311" s="23"/>
      <c r="JR311" s="23"/>
      <c r="JS311" s="23"/>
      <c r="JT311" s="23"/>
      <c r="JU311" s="23"/>
      <c r="JV311" s="23"/>
      <c r="JW311" s="23"/>
      <c r="JX311" s="23"/>
      <c r="JY311" s="23"/>
      <c r="JZ311" s="23"/>
      <c r="KA311" s="23"/>
      <c r="KB311" s="23"/>
      <c r="KC311" s="23"/>
      <c r="KD311" s="23"/>
      <c r="KE311" s="23"/>
      <c r="KF311" s="23"/>
      <c r="KG311" s="23"/>
      <c r="KH311" s="23"/>
      <c r="KI311" s="23"/>
      <c r="KJ311" s="23"/>
      <c r="KK311" s="23"/>
      <c r="KL311" s="23"/>
      <c r="KM311" s="23"/>
      <c r="KN311" s="23"/>
      <c r="KO311" s="23"/>
      <c r="KP311" s="23"/>
      <c r="KQ311" s="23"/>
      <c r="KR311" s="23"/>
      <c r="KS311" s="23"/>
      <c r="KT311" s="23"/>
      <c r="KU311" s="23"/>
      <c r="KV311" s="23"/>
      <c r="KW311" s="23"/>
      <c r="KX311" s="23"/>
      <c r="KY311" s="23"/>
      <c r="KZ311" s="23"/>
      <c r="LA311" s="23"/>
      <c r="LB311" s="23"/>
      <c r="LC311" s="23"/>
      <c r="LD311" s="23"/>
      <c r="LE311" s="23"/>
      <c r="LF311" s="23"/>
      <c r="LG311" s="23"/>
      <c r="LH311" s="23"/>
      <c r="LI311" s="23"/>
      <c r="LJ311" s="23"/>
      <c r="LK311" s="23"/>
      <c r="LL311" s="23"/>
      <c r="LM311" s="23"/>
      <c r="LN311" s="23"/>
      <c r="LO311" s="23"/>
      <c r="LP311" s="23"/>
      <c r="LQ311" s="23"/>
      <c r="LR311" s="23"/>
      <c r="LS311" s="23"/>
      <c r="LT311" s="23"/>
      <c r="LU311" s="23"/>
      <c r="LV311" s="23"/>
      <c r="LW311" s="23"/>
      <c r="LX311" s="23"/>
      <c r="LY311" s="23"/>
      <c r="LZ311" s="23"/>
      <c r="MA311" s="23"/>
      <c r="MB311" s="23"/>
      <c r="MC311" s="23"/>
      <c r="MD311" s="23"/>
      <c r="ME311" s="23"/>
      <c r="MF311" s="23"/>
      <c r="MG311" s="23"/>
      <c r="MH311" s="23"/>
      <c r="MI311" s="23"/>
      <c r="MJ311" s="23"/>
      <c r="MK311" s="23"/>
      <c r="ML311" s="23"/>
      <c r="MM311" s="23"/>
      <c r="MN311" s="23"/>
      <c r="MO311" s="23"/>
      <c r="MP311" s="23"/>
      <c r="MQ311" s="23"/>
      <c r="MR311" s="23"/>
      <c r="MS311" s="23"/>
      <c r="MT311" s="23"/>
      <c r="MU311" s="23"/>
      <c r="MV311" s="23"/>
      <c r="MW311" s="23"/>
      <c r="MX311" s="23"/>
      <c r="MY311" s="23"/>
      <c r="MZ311" s="23"/>
      <c r="NA311" s="23"/>
      <c r="NB311" s="23"/>
      <c r="NC311" s="23"/>
      <c r="ND311" s="23"/>
      <c r="NE311" s="23"/>
      <c r="NF311" s="23"/>
      <c r="NG311" s="23"/>
      <c r="NH311" s="23"/>
      <c r="NI311" s="23"/>
      <c r="NJ311" s="23"/>
      <c r="NK311" s="23"/>
      <c r="NL311" s="23"/>
      <c r="NM311" s="23"/>
      <c r="NN311" s="23"/>
      <c r="NO311" s="23"/>
      <c r="NP311" s="23"/>
      <c r="NQ311" s="23"/>
      <c r="NR311" s="23"/>
      <c r="NS311" s="23"/>
      <c r="NT311" s="23"/>
      <c r="NU311" s="23"/>
      <c r="NV311" s="23"/>
      <c r="NW311" s="23"/>
      <c r="NX311" s="23"/>
      <c r="NY311" s="23"/>
      <c r="NZ311" s="23"/>
      <c r="OA311" s="23"/>
      <c r="OB311" s="23"/>
      <c r="OC311" s="23"/>
      <c r="OD311" s="23"/>
      <c r="OE311" s="23"/>
      <c r="OF311" s="23"/>
      <c r="OG311" s="23"/>
      <c r="OH311" s="23"/>
      <c r="OI311" s="23"/>
      <c r="OJ311" s="23"/>
      <c r="OK311" s="23"/>
      <c r="OL311" s="23"/>
      <c r="OM311" s="23"/>
      <c r="ON311" s="23"/>
      <c r="OO311" s="23"/>
      <c r="OP311" s="23"/>
      <c r="OQ311" s="23"/>
      <c r="OR311" s="23"/>
      <c r="OS311" s="23"/>
      <c r="OT311" s="23"/>
      <c r="OU311" s="23"/>
      <c r="OV311" s="23"/>
      <c r="OW311" s="23"/>
      <c r="OX311" s="23"/>
      <c r="OY311" s="23"/>
      <c r="OZ311" s="23"/>
      <c r="PA311" s="23"/>
      <c r="PB311" s="23"/>
      <c r="PC311" s="23"/>
      <c r="PD311" s="23"/>
      <c r="PE311" s="23"/>
      <c r="PF311" s="23"/>
      <c r="PG311" s="23"/>
      <c r="PH311" s="23"/>
      <c r="PI311" s="23"/>
      <c r="PJ311" s="23"/>
      <c r="PK311" s="23"/>
      <c r="PL311" s="23"/>
      <c r="PM311" s="23"/>
      <c r="PN311" s="23"/>
      <c r="PO311" s="23"/>
      <c r="PP311" s="23"/>
      <c r="PQ311" s="23"/>
      <c r="PR311" s="23"/>
      <c r="PS311" s="23"/>
      <c r="PT311" s="23"/>
      <c r="PU311" s="23"/>
      <c r="PV311" s="23"/>
      <c r="PW311" s="23"/>
      <c r="PX311" s="23"/>
      <c r="PY311" s="23"/>
      <c r="PZ311" s="23"/>
      <c r="QA311" s="23"/>
      <c r="QB311" s="23"/>
      <c r="QC311" s="23"/>
      <c r="QD311" s="23"/>
      <c r="QE311" s="23"/>
      <c r="QF311" s="23"/>
      <c r="QG311" s="23"/>
      <c r="QH311" s="23"/>
      <c r="QI311" s="23"/>
      <c r="QJ311" s="23"/>
      <c r="QK311" s="23"/>
      <c r="QL311" s="23"/>
      <c r="QM311" s="23"/>
      <c r="QN311" s="23"/>
      <c r="QO311" s="23"/>
      <c r="QP311" s="23"/>
      <c r="QQ311" s="23"/>
      <c r="QR311" s="23"/>
      <c r="QS311" s="23"/>
      <c r="QT311" s="23"/>
      <c r="QU311" s="23"/>
      <c r="QV311" s="23"/>
      <c r="QW311" s="23"/>
      <c r="QX311" s="23"/>
      <c r="QY311" s="23"/>
      <c r="QZ311" s="23"/>
      <c r="RA311" s="23"/>
      <c r="RB311" s="23"/>
      <c r="RC311" s="23"/>
      <c r="RD311" s="23"/>
      <c r="RE311" s="23"/>
      <c r="RF311" s="23"/>
      <c r="RG311" s="23"/>
      <c r="RH311" s="23"/>
      <c r="RI311" s="23"/>
      <c r="RJ311" s="23"/>
      <c r="RK311" s="23"/>
      <c r="RL311" s="23"/>
      <c r="RM311" s="23"/>
      <c r="RN311" s="23"/>
      <c r="RO311" s="23"/>
      <c r="RP311" s="23"/>
      <c r="RQ311" s="23"/>
      <c r="RR311" s="23"/>
      <c r="RS311" s="23"/>
      <c r="RT311" s="23"/>
      <c r="RU311" s="23"/>
      <c r="RV311" s="23"/>
      <c r="RW311" s="23"/>
      <c r="RX311" s="23"/>
      <c r="RY311" s="23"/>
      <c r="RZ311" s="23"/>
      <c r="SA311" s="23"/>
      <c r="SB311" s="23"/>
      <c r="SC311" s="23"/>
      <c r="SD311" s="23"/>
      <c r="SE311" s="23"/>
      <c r="SF311" s="23"/>
      <c r="SG311" s="23"/>
      <c r="SH311" s="23"/>
      <c r="SI311" s="23"/>
      <c r="SJ311" s="23"/>
      <c r="SK311" s="23"/>
      <c r="SL311" s="23"/>
      <c r="SM311" s="23"/>
      <c r="SN311" s="23"/>
      <c r="SO311" s="23"/>
      <c r="SP311" s="23"/>
      <c r="SQ311" s="23"/>
      <c r="SR311" s="23"/>
      <c r="SS311" s="23"/>
      <c r="ST311" s="23"/>
      <c r="SU311" s="23"/>
      <c r="SV311" s="23"/>
      <c r="SW311" s="23"/>
      <c r="SX311" s="23"/>
      <c r="SY311" s="23"/>
      <c r="SZ311" s="23"/>
      <c r="TA311" s="23"/>
      <c r="TB311" s="23"/>
      <c r="TC311" s="23"/>
      <c r="TD311" s="23"/>
      <c r="TE311" s="23"/>
      <c r="TF311" s="23"/>
      <c r="TG311" s="23"/>
    </row>
    <row r="312" spans="1:527" s="22" customFormat="1" ht="21" customHeight="1" x14ac:dyDescent="0.25">
      <c r="A312" s="59" t="s">
        <v>258</v>
      </c>
      <c r="B312" s="93" t="str">
        <f>'дод 8'!A215</f>
        <v>7640</v>
      </c>
      <c r="C312" s="93" t="str">
        <f>'дод 8'!B215</f>
        <v>0470</v>
      </c>
      <c r="D312" s="60" t="s">
        <v>422</v>
      </c>
      <c r="E312" s="99">
        <f t="shared" si="178"/>
        <v>330040</v>
      </c>
      <c r="F312" s="99">
        <f>426000-9800-70000-16160</f>
        <v>330040</v>
      </c>
      <c r="G312" s="99"/>
      <c r="H312" s="99"/>
      <c r="I312" s="99"/>
      <c r="J312" s="99">
        <f t="shared" ref="J312:J318" si="180">L312+O312</f>
        <v>0</v>
      </c>
      <c r="K312" s="99"/>
      <c r="L312" s="99"/>
      <c r="M312" s="99"/>
      <c r="N312" s="99"/>
      <c r="O312" s="99"/>
      <c r="P312" s="99">
        <f t="shared" si="179"/>
        <v>330040</v>
      </c>
      <c r="Q312" s="23"/>
      <c r="R312" s="32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  <c r="GF312" s="23"/>
      <c r="GG312" s="23"/>
      <c r="GH312" s="23"/>
      <c r="GI312" s="23"/>
      <c r="GJ312" s="23"/>
      <c r="GK312" s="23"/>
      <c r="GL312" s="23"/>
      <c r="GM312" s="23"/>
      <c r="GN312" s="23"/>
      <c r="GO312" s="23"/>
      <c r="GP312" s="23"/>
      <c r="GQ312" s="23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  <c r="HC312" s="23"/>
      <c r="HD312" s="23"/>
      <c r="HE312" s="23"/>
      <c r="HF312" s="23"/>
      <c r="HG312" s="23"/>
      <c r="HH312" s="23"/>
      <c r="HI312" s="23"/>
      <c r="HJ312" s="23"/>
      <c r="HK312" s="23"/>
      <c r="HL312" s="23"/>
      <c r="HM312" s="23"/>
      <c r="HN312" s="23"/>
      <c r="HO312" s="23"/>
      <c r="HP312" s="23"/>
      <c r="HQ312" s="23"/>
      <c r="HR312" s="23"/>
      <c r="HS312" s="23"/>
      <c r="HT312" s="23"/>
      <c r="HU312" s="23"/>
      <c r="HV312" s="23"/>
      <c r="HW312" s="23"/>
      <c r="HX312" s="23"/>
      <c r="HY312" s="23"/>
      <c r="HZ312" s="23"/>
      <c r="IA312" s="23"/>
      <c r="IB312" s="23"/>
      <c r="IC312" s="23"/>
      <c r="ID312" s="23"/>
      <c r="IE312" s="23"/>
      <c r="IF312" s="23"/>
      <c r="IG312" s="23"/>
      <c r="IH312" s="23"/>
      <c r="II312" s="23"/>
      <c r="IJ312" s="23"/>
      <c r="IK312" s="23"/>
      <c r="IL312" s="23"/>
      <c r="IM312" s="23"/>
      <c r="IN312" s="23"/>
      <c r="IO312" s="23"/>
      <c r="IP312" s="23"/>
      <c r="IQ312" s="23"/>
      <c r="IR312" s="23"/>
      <c r="IS312" s="23"/>
      <c r="IT312" s="23"/>
      <c r="IU312" s="23"/>
      <c r="IV312" s="23"/>
      <c r="IW312" s="23"/>
      <c r="IX312" s="23"/>
      <c r="IY312" s="23"/>
      <c r="IZ312" s="23"/>
      <c r="JA312" s="23"/>
      <c r="JB312" s="23"/>
      <c r="JC312" s="23"/>
      <c r="JD312" s="23"/>
      <c r="JE312" s="23"/>
      <c r="JF312" s="23"/>
      <c r="JG312" s="23"/>
      <c r="JH312" s="23"/>
      <c r="JI312" s="23"/>
      <c r="JJ312" s="23"/>
      <c r="JK312" s="23"/>
      <c r="JL312" s="23"/>
      <c r="JM312" s="23"/>
      <c r="JN312" s="23"/>
      <c r="JO312" s="23"/>
      <c r="JP312" s="23"/>
      <c r="JQ312" s="23"/>
      <c r="JR312" s="23"/>
      <c r="JS312" s="23"/>
      <c r="JT312" s="23"/>
      <c r="JU312" s="23"/>
      <c r="JV312" s="23"/>
      <c r="JW312" s="23"/>
      <c r="JX312" s="23"/>
      <c r="JY312" s="23"/>
      <c r="JZ312" s="23"/>
      <c r="KA312" s="23"/>
      <c r="KB312" s="23"/>
      <c r="KC312" s="23"/>
      <c r="KD312" s="23"/>
      <c r="KE312" s="23"/>
      <c r="KF312" s="23"/>
      <c r="KG312" s="23"/>
      <c r="KH312" s="23"/>
      <c r="KI312" s="23"/>
      <c r="KJ312" s="23"/>
      <c r="KK312" s="23"/>
      <c r="KL312" s="23"/>
      <c r="KM312" s="23"/>
      <c r="KN312" s="23"/>
      <c r="KO312" s="23"/>
      <c r="KP312" s="23"/>
      <c r="KQ312" s="23"/>
      <c r="KR312" s="23"/>
      <c r="KS312" s="23"/>
      <c r="KT312" s="23"/>
      <c r="KU312" s="23"/>
      <c r="KV312" s="23"/>
      <c r="KW312" s="23"/>
      <c r="KX312" s="23"/>
      <c r="KY312" s="23"/>
      <c r="KZ312" s="23"/>
      <c r="LA312" s="23"/>
      <c r="LB312" s="23"/>
      <c r="LC312" s="23"/>
      <c r="LD312" s="23"/>
      <c r="LE312" s="23"/>
      <c r="LF312" s="23"/>
      <c r="LG312" s="23"/>
      <c r="LH312" s="23"/>
      <c r="LI312" s="23"/>
      <c r="LJ312" s="23"/>
      <c r="LK312" s="23"/>
      <c r="LL312" s="23"/>
      <c r="LM312" s="23"/>
      <c r="LN312" s="23"/>
      <c r="LO312" s="23"/>
      <c r="LP312" s="23"/>
      <c r="LQ312" s="23"/>
      <c r="LR312" s="23"/>
      <c r="LS312" s="23"/>
      <c r="LT312" s="23"/>
      <c r="LU312" s="23"/>
      <c r="LV312" s="23"/>
      <c r="LW312" s="23"/>
      <c r="LX312" s="23"/>
      <c r="LY312" s="23"/>
      <c r="LZ312" s="23"/>
      <c r="MA312" s="23"/>
      <c r="MB312" s="23"/>
      <c r="MC312" s="23"/>
      <c r="MD312" s="23"/>
      <c r="ME312" s="23"/>
      <c r="MF312" s="23"/>
      <c r="MG312" s="23"/>
      <c r="MH312" s="23"/>
      <c r="MI312" s="23"/>
      <c r="MJ312" s="23"/>
      <c r="MK312" s="23"/>
      <c r="ML312" s="23"/>
      <c r="MM312" s="23"/>
      <c r="MN312" s="23"/>
      <c r="MO312" s="23"/>
      <c r="MP312" s="23"/>
      <c r="MQ312" s="23"/>
      <c r="MR312" s="23"/>
      <c r="MS312" s="23"/>
      <c r="MT312" s="23"/>
      <c r="MU312" s="23"/>
      <c r="MV312" s="23"/>
      <c r="MW312" s="23"/>
      <c r="MX312" s="23"/>
      <c r="MY312" s="23"/>
      <c r="MZ312" s="23"/>
      <c r="NA312" s="23"/>
      <c r="NB312" s="23"/>
      <c r="NC312" s="23"/>
      <c r="ND312" s="23"/>
      <c r="NE312" s="23"/>
      <c r="NF312" s="23"/>
      <c r="NG312" s="23"/>
      <c r="NH312" s="23"/>
      <c r="NI312" s="23"/>
      <c r="NJ312" s="23"/>
      <c r="NK312" s="23"/>
      <c r="NL312" s="23"/>
      <c r="NM312" s="23"/>
      <c r="NN312" s="23"/>
      <c r="NO312" s="23"/>
      <c r="NP312" s="23"/>
      <c r="NQ312" s="23"/>
      <c r="NR312" s="23"/>
      <c r="NS312" s="23"/>
      <c r="NT312" s="23"/>
      <c r="NU312" s="23"/>
      <c r="NV312" s="23"/>
      <c r="NW312" s="23"/>
      <c r="NX312" s="23"/>
      <c r="NY312" s="23"/>
      <c r="NZ312" s="23"/>
      <c r="OA312" s="23"/>
      <c r="OB312" s="23"/>
      <c r="OC312" s="23"/>
      <c r="OD312" s="23"/>
      <c r="OE312" s="23"/>
      <c r="OF312" s="23"/>
      <c r="OG312" s="23"/>
      <c r="OH312" s="23"/>
      <c r="OI312" s="23"/>
      <c r="OJ312" s="23"/>
      <c r="OK312" s="23"/>
      <c r="OL312" s="23"/>
      <c r="OM312" s="23"/>
      <c r="ON312" s="23"/>
      <c r="OO312" s="23"/>
      <c r="OP312" s="23"/>
      <c r="OQ312" s="23"/>
      <c r="OR312" s="23"/>
      <c r="OS312" s="23"/>
      <c r="OT312" s="23"/>
      <c r="OU312" s="23"/>
      <c r="OV312" s="23"/>
      <c r="OW312" s="23"/>
      <c r="OX312" s="23"/>
      <c r="OY312" s="23"/>
      <c r="OZ312" s="23"/>
      <c r="PA312" s="23"/>
      <c r="PB312" s="23"/>
      <c r="PC312" s="23"/>
      <c r="PD312" s="23"/>
      <c r="PE312" s="23"/>
      <c r="PF312" s="23"/>
      <c r="PG312" s="23"/>
      <c r="PH312" s="23"/>
      <c r="PI312" s="23"/>
      <c r="PJ312" s="23"/>
      <c r="PK312" s="23"/>
      <c r="PL312" s="23"/>
      <c r="PM312" s="23"/>
      <c r="PN312" s="23"/>
      <c r="PO312" s="23"/>
      <c r="PP312" s="23"/>
      <c r="PQ312" s="23"/>
      <c r="PR312" s="23"/>
      <c r="PS312" s="23"/>
      <c r="PT312" s="23"/>
      <c r="PU312" s="23"/>
      <c r="PV312" s="23"/>
      <c r="PW312" s="23"/>
      <c r="PX312" s="23"/>
      <c r="PY312" s="23"/>
      <c r="PZ312" s="23"/>
      <c r="QA312" s="23"/>
      <c r="QB312" s="23"/>
      <c r="QC312" s="23"/>
      <c r="QD312" s="23"/>
      <c r="QE312" s="23"/>
      <c r="QF312" s="23"/>
      <c r="QG312" s="23"/>
      <c r="QH312" s="23"/>
      <c r="QI312" s="23"/>
      <c r="QJ312" s="23"/>
      <c r="QK312" s="23"/>
      <c r="QL312" s="23"/>
      <c r="QM312" s="23"/>
      <c r="QN312" s="23"/>
      <c r="QO312" s="23"/>
      <c r="QP312" s="23"/>
      <c r="QQ312" s="23"/>
      <c r="QR312" s="23"/>
      <c r="QS312" s="23"/>
      <c r="QT312" s="23"/>
      <c r="QU312" s="23"/>
      <c r="QV312" s="23"/>
      <c r="QW312" s="23"/>
      <c r="QX312" s="23"/>
      <c r="QY312" s="23"/>
      <c r="QZ312" s="23"/>
      <c r="RA312" s="23"/>
      <c r="RB312" s="23"/>
      <c r="RC312" s="23"/>
      <c r="RD312" s="23"/>
      <c r="RE312" s="23"/>
      <c r="RF312" s="23"/>
      <c r="RG312" s="23"/>
      <c r="RH312" s="23"/>
      <c r="RI312" s="23"/>
      <c r="RJ312" s="23"/>
      <c r="RK312" s="23"/>
      <c r="RL312" s="23"/>
      <c r="RM312" s="23"/>
      <c r="RN312" s="23"/>
      <c r="RO312" s="23"/>
      <c r="RP312" s="23"/>
      <c r="RQ312" s="23"/>
      <c r="RR312" s="23"/>
      <c r="RS312" s="23"/>
      <c r="RT312" s="23"/>
      <c r="RU312" s="23"/>
      <c r="RV312" s="23"/>
      <c r="RW312" s="23"/>
      <c r="RX312" s="23"/>
      <c r="RY312" s="23"/>
      <c r="RZ312" s="23"/>
      <c r="SA312" s="23"/>
      <c r="SB312" s="23"/>
      <c r="SC312" s="23"/>
      <c r="SD312" s="23"/>
      <c r="SE312" s="23"/>
      <c r="SF312" s="23"/>
      <c r="SG312" s="23"/>
      <c r="SH312" s="23"/>
      <c r="SI312" s="23"/>
      <c r="SJ312" s="23"/>
      <c r="SK312" s="23"/>
      <c r="SL312" s="23"/>
      <c r="SM312" s="23"/>
      <c r="SN312" s="23"/>
      <c r="SO312" s="23"/>
      <c r="SP312" s="23"/>
      <c r="SQ312" s="23"/>
      <c r="SR312" s="23"/>
      <c r="SS312" s="23"/>
      <c r="ST312" s="23"/>
      <c r="SU312" s="23"/>
      <c r="SV312" s="23"/>
      <c r="SW312" s="23"/>
      <c r="SX312" s="23"/>
      <c r="SY312" s="23"/>
      <c r="SZ312" s="23"/>
      <c r="TA312" s="23"/>
      <c r="TB312" s="23"/>
      <c r="TC312" s="23"/>
      <c r="TD312" s="23"/>
      <c r="TE312" s="23"/>
      <c r="TF312" s="23"/>
      <c r="TG312" s="23"/>
    </row>
    <row r="313" spans="1:527" s="22" customFormat="1" ht="29.25" customHeight="1" x14ac:dyDescent="0.25">
      <c r="A313" s="59" t="s">
        <v>330</v>
      </c>
      <c r="B313" s="93" t="str">
        <f>'дод 8'!A223</f>
        <v>7693</v>
      </c>
      <c r="C313" s="93" t="str">
        <f>'дод 8'!B223</f>
        <v>0490</v>
      </c>
      <c r="D313" s="60" t="str">
        <f>'дод 8'!C223</f>
        <v>Інші заходи, пов'язані з економічною діяльністю</v>
      </c>
      <c r="E313" s="99">
        <f t="shared" si="178"/>
        <v>207500</v>
      </c>
      <c r="F313" s="99">
        <f>483750-130750-10000-50000-85500</f>
        <v>207500</v>
      </c>
      <c r="G313" s="99"/>
      <c r="H313" s="99"/>
      <c r="I313" s="99"/>
      <c r="J313" s="99">
        <f t="shared" si="180"/>
        <v>0</v>
      </c>
      <c r="K313" s="99"/>
      <c r="L313" s="99"/>
      <c r="M313" s="99"/>
      <c r="N313" s="99"/>
      <c r="O313" s="99"/>
      <c r="P313" s="99">
        <f t="shared" si="179"/>
        <v>207500</v>
      </c>
      <c r="Q313" s="23"/>
      <c r="R313" s="32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  <c r="IL313" s="23"/>
      <c r="IM313" s="23"/>
      <c r="IN313" s="23"/>
      <c r="IO313" s="23"/>
      <c r="IP313" s="23"/>
      <c r="IQ313" s="23"/>
      <c r="IR313" s="23"/>
      <c r="IS313" s="23"/>
      <c r="IT313" s="23"/>
      <c r="IU313" s="23"/>
      <c r="IV313" s="23"/>
      <c r="IW313" s="23"/>
      <c r="IX313" s="23"/>
      <c r="IY313" s="23"/>
      <c r="IZ313" s="23"/>
      <c r="JA313" s="23"/>
      <c r="JB313" s="23"/>
      <c r="JC313" s="23"/>
      <c r="JD313" s="23"/>
      <c r="JE313" s="23"/>
      <c r="JF313" s="23"/>
      <c r="JG313" s="23"/>
      <c r="JH313" s="23"/>
      <c r="JI313" s="23"/>
      <c r="JJ313" s="23"/>
      <c r="JK313" s="23"/>
      <c r="JL313" s="23"/>
      <c r="JM313" s="23"/>
      <c r="JN313" s="23"/>
      <c r="JO313" s="23"/>
      <c r="JP313" s="23"/>
      <c r="JQ313" s="23"/>
      <c r="JR313" s="23"/>
      <c r="JS313" s="23"/>
      <c r="JT313" s="23"/>
      <c r="JU313" s="23"/>
      <c r="JV313" s="23"/>
      <c r="JW313" s="23"/>
      <c r="JX313" s="23"/>
      <c r="JY313" s="23"/>
      <c r="JZ313" s="23"/>
      <c r="KA313" s="23"/>
      <c r="KB313" s="23"/>
      <c r="KC313" s="23"/>
      <c r="KD313" s="23"/>
      <c r="KE313" s="23"/>
      <c r="KF313" s="23"/>
      <c r="KG313" s="23"/>
      <c r="KH313" s="23"/>
      <c r="KI313" s="23"/>
      <c r="KJ313" s="23"/>
      <c r="KK313" s="23"/>
      <c r="KL313" s="23"/>
      <c r="KM313" s="23"/>
      <c r="KN313" s="23"/>
      <c r="KO313" s="23"/>
      <c r="KP313" s="23"/>
      <c r="KQ313" s="23"/>
      <c r="KR313" s="23"/>
      <c r="KS313" s="23"/>
      <c r="KT313" s="23"/>
      <c r="KU313" s="23"/>
      <c r="KV313" s="23"/>
      <c r="KW313" s="23"/>
      <c r="KX313" s="23"/>
      <c r="KY313" s="23"/>
      <c r="KZ313" s="23"/>
      <c r="LA313" s="23"/>
      <c r="LB313" s="23"/>
      <c r="LC313" s="23"/>
      <c r="LD313" s="23"/>
      <c r="LE313" s="23"/>
      <c r="LF313" s="23"/>
      <c r="LG313" s="23"/>
      <c r="LH313" s="23"/>
      <c r="LI313" s="23"/>
      <c r="LJ313" s="23"/>
      <c r="LK313" s="23"/>
      <c r="LL313" s="23"/>
      <c r="LM313" s="23"/>
      <c r="LN313" s="23"/>
      <c r="LO313" s="23"/>
      <c r="LP313" s="23"/>
      <c r="LQ313" s="23"/>
      <c r="LR313" s="23"/>
      <c r="LS313" s="23"/>
      <c r="LT313" s="23"/>
      <c r="LU313" s="23"/>
      <c r="LV313" s="23"/>
      <c r="LW313" s="23"/>
      <c r="LX313" s="23"/>
      <c r="LY313" s="23"/>
      <c r="LZ313" s="23"/>
      <c r="MA313" s="23"/>
      <c r="MB313" s="23"/>
      <c r="MC313" s="23"/>
      <c r="MD313" s="23"/>
      <c r="ME313" s="23"/>
      <c r="MF313" s="23"/>
      <c r="MG313" s="23"/>
      <c r="MH313" s="23"/>
      <c r="MI313" s="23"/>
      <c r="MJ313" s="23"/>
      <c r="MK313" s="23"/>
      <c r="ML313" s="23"/>
      <c r="MM313" s="23"/>
      <c r="MN313" s="23"/>
      <c r="MO313" s="23"/>
      <c r="MP313" s="23"/>
      <c r="MQ313" s="23"/>
      <c r="MR313" s="23"/>
      <c r="MS313" s="23"/>
      <c r="MT313" s="23"/>
      <c r="MU313" s="23"/>
      <c r="MV313" s="23"/>
      <c r="MW313" s="23"/>
      <c r="MX313" s="23"/>
      <c r="MY313" s="23"/>
      <c r="MZ313" s="23"/>
      <c r="NA313" s="23"/>
      <c r="NB313" s="23"/>
      <c r="NC313" s="23"/>
      <c r="ND313" s="23"/>
      <c r="NE313" s="23"/>
      <c r="NF313" s="23"/>
      <c r="NG313" s="23"/>
      <c r="NH313" s="23"/>
      <c r="NI313" s="23"/>
      <c r="NJ313" s="23"/>
      <c r="NK313" s="23"/>
      <c r="NL313" s="23"/>
      <c r="NM313" s="23"/>
      <c r="NN313" s="23"/>
      <c r="NO313" s="23"/>
      <c r="NP313" s="23"/>
      <c r="NQ313" s="23"/>
      <c r="NR313" s="23"/>
      <c r="NS313" s="23"/>
      <c r="NT313" s="23"/>
      <c r="NU313" s="23"/>
      <c r="NV313" s="23"/>
      <c r="NW313" s="23"/>
      <c r="NX313" s="23"/>
      <c r="NY313" s="23"/>
      <c r="NZ313" s="23"/>
      <c r="OA313" s="23"/>
      <c r="OB313" s="23"/>
      <c r="OC313" s="23"/>
      <c r="OD313" s="23"/>
      <c r="OE313" s="23"/>
      <c r="OF313" s="23"/>
      <c r="OG313" s="23"/>
      <c r="OH313" s="23"/>
      <c r="OI313" s="23"/>
      <c r="OJ313" s="23"/>
      <c r="OK313" s="23"/>
      <c r="OL313" s="23"/>
      <c r="OM313" s="23"/>
      <c r="ON313" s="23"/>
      <c r="OO313" s="23"/>
      <c r="OP313" s="23"/>
      <c r="OQ313" s="23"/>
      <c r="OR313" s="23"/>
      <c r="OS313" s="23"/>
      <c r="OT313" s="23"/>
      <c r="OU313" s="23"/>
      <c r="OV313" s="23"/>
      <c r="OW313" s="23"/>
      <c r="OX313" s="23"/>
      <c r="OY313" s="23"/>
      <c r="OZ313" s="23"/>
      <c r="PA313" s="23"/>
      <c r="PB313" s="23"/>
      <c r="PC313" s="23"/>
      <c r="PD313" s="23"/>
      <c r="PE313" s="23"/>
      <c r="PF313" s="23"/>
      <c r="PG313" s="23"/>
      <c r="PH313" s="23"/>
      <c r="PI313" s="23"/>
      <c r="PJ313" s="23"/>
      <c r="PK313" s="23"/>
      <c r="PL313" s="23"/>
      <c r="PM313" s="23"/>
      <c r="PN313" s="23"/>
      <c r="PO313" s="23"/>
      <c r="PP313" s="23"/>
      <c r="PQ313" s="23"/>
      <c r="PR313" s="23"/>
      <c r="PS313" s="23"/>
      <c r="PT313" s="23"/>
      <c r="PU313" s="23"/>
      <c r="PV313" s="23"/>
      <c r="PW313" s="23"/>
      <c r="PX313" s="23"/>
      <c r="PY313" s="23"/>
      <c r="PZ313" s="23"/>
      <c r="QA313" s="23"/>
      <c r="QB313" s="23"/>
      <c r="QC313" s="23"/>
      <c r="QD313" s="23"/>
      <c r="QE313" s="23"/>
      <c r="QF313" s="23"/>
      <c r="QG313" s="23"/>
      <c r="QH313" s="23"/>
      <c r="QI313" s="23"/>
      <c r="QJ313" s="23"/>
      <c r="QK313" s="23"/>
      <c r="QL313" s="23"/>
      <c r="QM313" s="23"/>
      <c r="QN313" s="23"/>
      <c r="QO313" s="23"/>
      <c r="QP313" s="23"/>
      <c r="QQ313" s="23"/>
      <c r="QR313" s="23"/>
      <c r="QS313" s="23"/>
      <c r="QT313" s="23"/>
      <c r="QU313" s="23"/>
      <c r="QV313" s="23"/>
      <c r="QW313" s="23"/>
      <c r="QX313" s="23"/>
      <c r="QY313" s="23"/>
      <c r="QZ313" s="23"/>
      <c r="RA313" s="23"/>
      <c r="RB313" s="23"/>
      <c r="RC313" s="23"/>
      <c r="RD313" s="23"/>
      <c r="RE313" s="23"/>
      <c r="RF313" s="23"/>
      <c r="RG313" s="23"/>
      <c r="RH313" s="23"/>
      <c r="RI313" s="23"/>
      <c r="RJ313" s="23"/>
      <c r="RK313" s="23"/>
      <c r="RL313" s="23"/>
      <c r="RM313" s="23"/>
      <c r="RN313" s="23"/>
      <c r="RO313" s="23"/>
      <c r="RP313" s="23"/>
      <c r="RQ313" s="23"/>
      <c r="RR313" s="23"/>
      <c r="RS313" s="23"/>
      <c r="RT313" s="23"/>
      <c r="RU313" s="23"/>
      <c r="RV313" s="23"/>
      <c r="RW313" s="23"/>
      <c r="RX313" s="23"/>
      <c r="RY313" s="23"/>
      <c r="RZ313" s="23"/>
      <c r="SA313" s="23"/>
      <c r="SB313" s="23"/>
      <c r="SC313" s="23"/>
      <c r="SD313" s="23"/>
      <c r="SE313" s="23"/>
      <c r="SF313" s="23"/>
      <c r="SG313" s="23"/>
      <c r="SH313" s="23"/>
      <c r="SI313" s="23"/>
      <c r="SJ313" s="23"/>
      <c r="SK313" s="23"/>
      <c r="SL313" s="23"/>
      <c r="SM313" s="23"/>
      <c r="SN313" s="23"/>
      <c r="SO313" s="23"/>
      <c r="SP313" s="23"/>
      <c r="SQ313" s="23"/>
      <c r="SR313" s="23"/>
      <c r="SS313" s="23"/>
      <c r="ST313" s="23"/>
      <c r="SU313" s="23"/>
      <c r="SV313" s="23"/>
      <c r="SW313" s="23"/>
      <c r="SX313" s="23"/>
      <c r="SY313" s="23"/>
      <c r="SZ313" s="23"/>
      <c r="TA313" s="23"/>
      <c r="TB313" s="23"/>
      <c r="TC313" s="23"/>
      <c r="TD313" s="23"/>
      <c r="TE313" s="23"/>
      <c r="TF313" s="23"/>
      <c r="TG313" s="23"/>
    </row>
    <row r="314" spans="1:527" s="22" customFormat="1" ht="42.75" customHeight="1" x14ac:dyDescent="0.25">
      <c r="A314" s="59">
        <v>3718330</v>
      </c>
      <c r="B314" s="93">
        <f>'дод 8'!A236</f>
        <v>8330</v>
      </c>
      <c r="C314" s="59" t="s">
        <v>92</v>
      </c>
      <c r="D314" s="60" t="str">
        <f>'дод 8'!C236</f>
        <v xml:space="preserve">Інша діяльність у сфері екології та охорони природних ресурсів </v>
      </c>
      <c r="E314" s="99">
        <f t="shared" si="178"/>
        <v>75000</v>
      </c>
      <c r="F314" s="99">
        <v>75000</v>
      </c>
      <c r="G314" s="99"/>
      <c r="H314" s="99"/>
      <c r="I314" s="99"/>
      <c r="J314" s="99">
        <f t="shared" si="180"/>
        <v>0</v>
      </c>
      <c r="K314" s="99"/>
      <c r="L314" s="99"/>
      <c r="M314" s="99"/>
      <c r="N314" s="99"/>
      <c r="O314" s="99"/>
      <c r="P314" s="99">
        <f t="shared" si="179"/>
        <v>75000</v>
      </c>
      <c r="Q314" s="23"/>
      <c r="R314" s="32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  <c r="IL314" s="23"/>
      <c r="IM314" s="23"/>
      <c r="IN314" s="23"/>
      <c r="IO314" s="23"/>
      <c r="IP314" s="23"/>
      <c r="IQ314" s="23"/>
      <c r="IR314" s="23"/>
      <c r="IS314" s="23"/>
      <c r="IT314" s="23"/>
      <c r="IU314" s="23"/>
      <c r="IV314" s="23"/>
      <c r="IW314" s="23"/>
      <c r="IX314" s="23"/>
      <c r="IY314" s="23"/>
      <c r="IZ314" s="23"/>
      <c r="JA314" s="23"/>
      <c r="JB314" s="23"/>
      <c r="JC314" s="23"/>
      <c r="JD314" s="23"/>
      <c r="JE314" s="23"/>
      <c r="JF314" s="23"/>
      <c r="JG314" s="23"/>
      <c r="JH314" s="23"/>
      <c r="JI314" s="23"/>
      <c r="JJ314" s="23"/>
      <c r="JK314" s="23"/>
      <c r="JL314" s="23"/>
      <c r="JM314" s="23"/>
      <c r="JN314" s="23"/>
      <c r="JO314" s="23"/>
      <c r="JP314" s="23"/>
      <c r="JQ314" s="23"/>
      <c r="JR314" s="23"/>
      <c r="JS314" s="23"/>
      <c r="JT314" s="23"/>
      <c r="JU314" s="23"/>
      <c r="JV314" s="23"/>
      <c r="JW314" s="23"/>
      <c r="JX314" s="23"/>
      <c r="JY314" s="23"/>
      <c r="JZ314" s="23"/>
      <c r="KA314" s="23"/>
      <c r="KB314" s="23"/>
      <c r="KC314" s="23"/>
      <c r="KD314" s="23"/>
      <c r="KE314" s="23"/>
      <c r="KF314" s="23"/>
      <c r="KG314" s="23"/>
      <c r="KH314" s="23"/>
      <c r="KI314" s="23"/>
      <c r="KJ314" s="23"/>
      <c r="KK314" s="23"/>
      <c r="KL314" s="23"/>
      <c r="KM314" s="23"/>
      <c r="KN314" s="23"/>
      <c r="KO314" s="23"/>
      <c r="KP314" s="23"/>
      <c r="KQ314" s="23"/>
      <c r="KR314" s="23"/>
      <c r="KS314" s="23"/>
      <c r="KT314" s="23"/>
      <c r="KU314" s="23"/>
      <c r="KV314" s="23"/>
      <c r="KW314" s="23"/>
      <c r="KX314" s="23"/>
      <c r="KY314" s="23"/>
      <c r="KZ314" s="23"/>
      <c r="LA314" s="23"/>
      <c r="LB314" s="23"/>
      <c r="LC314" s="23"/>
      <c r="LD314" s="23"/>
      <c r="LE314" s="23"/>
      <c r="LF314" s="23"/>
      <c r="LG314" s="23"/>
      <c r="LH314" s="23"/>
      <c r="LI314" s="23"/>
      <c r="LJ314" s="23"/>
      <c r="LK314" s="23"/>
      <c r="LL314" s="23"/>
      <c r="LM314" s="23"/>
      <c r="LN314" s="23"/>
      <c r="LO314" s="23"/>
      <c r="LP314" s="23"/>
      <c r="LQ314" s="23"/>
      <c r="LR314" s="23"/>
      <c r="LS314" s="23"/>
      <c r="LT314" s="23"/>
      <c r="LU314" s="23"/>
      <c r="LV314" s="23"/>
      <c r="LW314" s="23"/>
      <c r="LX314" s="23"/>
      <c r="LY314" s="23"/>
      <c r="LZ314" s="23"/>
      <c r="MA314" s="23"/>
      <c r="MB314" s="23"/>
      <c r="MC314" s="23"/>
      <c r="MD314" s="23"/>
      <c r="ME314" s="23"/>
      <c r="MF314" s="23"/>
      <c r="MG314" s="23"/>
      <c r="MH314" s="23"/>
      <c r="MI314" s="23"/>
      <c r="MJ314" s="23"/>
      <c r="MK314" s="23"/>
      <c r="ML314" s="23"/>
      <c r="MM314" s="23"/>
      <c r="MN314" s="23"/>
      <c r="MO314" s="23"/>
      <c r="MP314" s="23"/>
      <c r="MQ314" s="23"/>
      <c r="MR314" s="23"/>
      <c r="MS314" s="23"/>
      <c r="MT314" s="23"/>
      <c r="MU314" s="23"/>
      <c r="MV314" s="23"/>
      <c r="MW314" s="23"/>
      <c r="MX314" s="23"/>
      <c r="MY314" s="23"/>
      <c r="MZ314" s="23"/>
      <c r="NA314" s="23"/>
      <c r="NB314" s="23"/>
      <c r="NC314" s="23"/>
      <c r="ND314" s="23"/>
      <c r="NE314" s="23"/>
      <c r="NF314" s="23"/>
      <c r="NG314" s="23"/>
      <c r="NH314" s="23"/>
      <c r="NI314" s="23"/>
      <c r="NJ314" s="23"/>
      <c r="NK314" s="23"/>
      <c r="NL314" s="23"/>
      <c r="NM314" s="23"/>
      <c r="NN314" s="23"/>
      <c r="NO314" s="23"/>
      <c r="NP314" s="23"/>
      <c r="NQ314" s="23"/>
      <c r="NR314" s="23"/>
      <c r="NS314" s="23"/>
      <c r="NT314" s="23"/>
      <c r="NU314" s="23"/>
      <c r="NV314" s="23"/>
      <c r="NW314" s="23"/>
      <c r="NX314" s="23"/>
      <c r="NY314" s="23"/>
      <c r="NZ314" s="23"/>
      <c r="OA314" s="23"/>
      <c r="OB314" s="23"/>
      <c r="OC314" s="23"/>
      <c r="OD314" s="23"/>
      <c r="OE314" s="23"/>
      <c r="OF314" s="23"/>
      <c r="OG314" s="23"/>
      <c r="OH314" s="23"/>
      <c r="OI314" s="23"/>
      <c r="OJ314" s="23"/>
      <c r="OK314" s="23"/>
      <c r="OL314" s="23"/>
      <c r="OM314" s="23"/>
      <c r="ON314" s="23"/>
      <c r="OO314" s="23"/>
      <c r="OP314" s="23"/>
      <c r="OQ314" s="23"/>
      <c r="OR314" s="23"/>
      <c r="OS314" s="23"/>
      <c r="OT314" s="23"/>
      <c r="OU314" s="23"/>
      <c r="OV314" s="23"/>
      <c r="OW314" s="23"/>
      <c r="OX314" s="23"/>
      <c r="OY314" s="23"/>
      <c r="OZ314" s="23"/>
      <c r="PA314" s="23"/>
      <c r="PB314" s="23"/>
      <c r="PC314" s="23"/>
      <c r="PD314" s="23"/>
      <c r="PE314" s="23"/>
      <c r="PF314" s="23"/>
      <c r="PG314" s="23"/>
      <c r="PH314" s="23"/>
      <c r="PI314" s="23"/>
      <c r="PJ314" s="23"/>
      <c r="PK314" s="23"/>
      <c r="PL314" s="23"/>
      <c r="PM314" s="23"/>
      <c r="PN314" s="23"/>
      <c r="PO314" s="23"/>
      <c r="PP314" s="23"/>
      <c r="PQ314" s="23"/>
      <c r="PR314" s="23"/>
      <c r="PS314" s="23"/>
      <c r="PT314" s="23"/>
      <c r="PU314" s="23"/>
      <c r="PV314" s="23"/>
      <c r="PW314" s="23"/>
      <c r="PX314" s="23"/>
      <c r="PY314" s="23"/>
      <c r="PZ314" s="23"/>
      <c r="QA314" s="23"/>
      <c r="QB314" s="23"/>
      <c r="QC314" s="23"/>
      <c r="QD314" s="23"/>
      <c r="QE314" s="23"/>
      <c r="QF314" s="23"/>
      <c r="QG314" s="23"/>
      <c r="QH314" s="23"/>
      <c r="QI314" s="23"/>
      <c r="QJ314" s="23"/>
      <c r="QK314" s="23"/>
      <c r="QL314" s="23"/>
      <c r="QM314" s="23"/>
      <c r="QN314" s="23"/>
      <c r="QO314" s="23"/>
      <c r="QP314" s="23"/>
      <c r="QQ314" s="23"/>
      <c r="QR314" s="23"/>
      <c r="QS314" s="23"/>
      <c r="QT314" s="23"/>
      <c r="QU314" s="23"/>
      <c r="QV314" s="23"/>
      <c r="QW314" s="23"/>
      <c r="QX314" s="23"/>
      <c r="QY314" s="23"/>
      <c r="QZ314" s="23"/>
      <c r="RA314" s="23"/>
      <c r="RB314" s="23"/>
      <c r="RC314" s="23"/>
      <c r="RD314" s="23"/>
      <c r="RE314" s="23"/>
      <c r="RF314" s="23"/>
      <c r="RG314" s="23"/>
      <c r="RH314" s="23"/>
      <c r="RI314" s="23"/>
      <c r="RJ314" s="23"/>
      <c r="RK314" s="23"/>
      <c r="RL314" s="23"/>
      <c r="RM314" s="23"/>
      <c r="RN314" s="23"/>
      <c r="RO314" s="23"/>
      <c r="RP314" s="23"/>
      <c r="RQ314" s="23"/>
      <c r="RR314" s="23"/>
      <c r="RS314" s="23"/>
      <c r="RT314" s="23"/>
      <c r="RU314" s="23"/>
      <c r="RV314" s="23"/>
      <c r="RW314" s="23"/>
      <c r="RX314" s="23"/>
      <c r="RY314" s="23"/>
      <c r="RZ314" s="23"/>
      <c r="SA314" s="23"/>
      <c r="SB314" s="23"/>
      <c r="SC314" s="23"/>
      <c r="SD314" s="23"/>
      <c r="SE314" s="23"/>
      <c r="SF314" s="23"/>
      <c r="SG314" s="23"/>
      <c r="SH314" s="23"/>
      <c r="SI314" s="23"/>
      <c r="SJ314" s="23"/>
      <c r="SK314" s="23"/>
      <c r="SL314" s="23"/>
      <c r="SM314" s="23"/>
      <c r="SN314" s="23"/>
      <c r="SO314" s="23"/>
      <c r="SP314" s="23"/>
      <c r="SQ314" s="23"/>
      <c r="SR314" s="23"/>
      <c r="SS314" s="23"/>
      <c r="ST314" s="23"/>
      <c r="SU314" s="23"/>
      <c r="SV314" s="23"/>
      <c r="SW314" s="23"/>
      <c r="SX314" s="23"/>
      <c r="SY314" s="23"/>
      <c r="SZ314" s="23"/>
      <c r="TA314" s="23"/>
      <c r="TB314" s="23"/>
      <c r="TC314" s="23"/>
      <c r="TD314" s="23"/>
      <c r="TE314" s="23"/>
      <c r="TF314" s="23"/>
      <c r="TG314" s="23"/>
    </row>
    <row r="315" spans="1:527" s="22" customFormat="1" ht="30.75" customHeight="1" x14ac:dyDescent="0.25">
      <c r="A315" s="59" t="s">
        <v>221</v>
      </c>
      <c r="B315" s="93" t="str">
        <f>'дод 8'!A237</f>
        <v>8340</v>
      </c>
      <c r="C315" s="59" t="str">
        <f>'дод 8'!B237</f>
        <v>0540</v>
      </c>
      <c r="D315" s="60" t="str">
        <f>'дод 8'!C237</f>
        <v>Природоохоронні заходи за рахунок цільових фондів</v>
      </c>
      <c r="E315" s="99">
        <f t="shared" si="178"/>
        <v>0</v>
      </c>
      <c r="F315" s="99"/>
      <c r="G315" s="99"/>
      <c r="H315" s="99"/>
      <c r="I315" s="99"/>
      <c r="J315" s="99">
        <f t="shared" si="180"/>
        <v>502000</v>
      </c>
      <c r="K315" s="99"/>
      <c r="L315" s="99">
        <f>103000+399000</f>
        <v>502000</v>
      </c>
      <c r="M315" s="99"/>
      <c r="N315" s="99"/>
      <c r="O315" s="99"/>
      <c r="P315" s="99">
        <f t="shared" si="179"/>
        <v>502000</v>
      </c>
      <c r="Q315" s="23"/>
      <c r="R315" s="32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  <c r="GB315" s="23"/>
      <c r="GC315" s="23"/>
      <c r="GD315" s="23"/>
      <c r="GE315" s="23"/>
      <c r="GF315" s="23"/>
      <c r="GG315" s="23"/>
      <c r="GH315" s="23"/>
      <c r="GI315" s="23"/>
      <c r="GJ315" s="23"/>
      <c r="GK315" s="23"/>
      <c r="GL315" s="23"/>
      <c r="GM315" s="23"/>
      <c r="GN315" s="23"/>
      <c r="GO315" s="23"/>
      <c r="GP315" s="23"/>
      <c r="GQ315" s="23"/>
      <c r="GR315" s="23"/>
      <c r="GS315" s="23"/>
      <c r="GT315" s="23"/>
      <c r="GU315" s="23"/>
      <c r="GV315" s="23"/>
      <c r="GW315" s="23"/>
      <c r="GX315" s="23"/>
      <c r="GY315" s="23"/>
      <c r="GZ315" s="23"/>
      <c r="HA315" s="23"/>
      <c r="HB315" s="23"/>
      <c r="HC315" s="23"/>
      <c r="HD315" s="23"/>
      <c r="HE315" s="23"/>
      <c r="HF315" s="23"/>
      <c r="HG315" s="23"/>
      <c r="HH315" s="23"/>
      <c r="HI315" s="23"/>
      <c r="HJ315" s="23"/>
      <c r="HK315" s="23"/>
      <c r="HL315" s="23"/>
      <c r="HM315" s="23"/>
      <c r="HN315" s="23"/>
      <c r="HO315" s="23"/>
      <c r="HP315" s="23"/>
      <c r="HQ315" s="23"/>
      <c r="HR315" s="23"/>
      <c r="HS315" s="23"/>
      <c r="HT315" s="23"/>
      <c r="HU315" s="23"/>
      <c r="HV315" s="23"/>
      <c r="HW315" s="23"/>
      <c r="HX315" s="23"/>
      <c r="HY315" s="23"/>
      <c r="HZ315" s="23"/>
      <c r="IA315" s="23"/>
      <c r="IB315" s="23"/>
      <c r="IC315" s="23"/>
      <c r="ID315" s="23"/>
      <c r="IE315" s="23"/>
      <c r="IF315" s="23"/>
      <c r="IG315" s="23"/>
      <c r="IH315" s="23"/>
      <c r="II315" s="23"/>
      <c r="IJ315" s="23"/>
      <c r="IK315" s="23"/>
      <c r="IL315" s="23"/>
      <c r="IM315" s="23"/>
      <c r="IN315" s="23"/>
      <c r="IO315" s="23"/>
      <c r="IP315" s="23"/>
      <c r="IQ315" s="23"/>
      <c r="IR315" s="23"/>
      <c r="IS315" s="23"/>
      <c r="IT315" s="23"/>
      <c r="IU315" s="23"/>
      <c r="IV315" s="23"/>
      <c r="IW315" s="23"/>
      <c r="IX315" s="23"/>
      <c r="IY315" s="23"/>
      <c r="IZ315" s="23"/>
      <c r="JA315" s="23"/>
      <c r="JB315" s="23"/>
      <c r="JC315" s="23"/>
      <c r="JD315" s="23"/>
      <c r="JE315" s="23"/>
      <c r="JF315" s="23"/>
      <c r="JG315" s="23"/>
      <c r="JH315" s="23"/>
      <c r="JI315" s="23"/>
      <c r="JJ315" s="23"/>
      <c r="JK315" s="23"/>
      <c r="JL315" s="23"/>
      <c r="JM315" s="23"/>
      <c r="JN315" s="23"/>
      <c r="JO315" s="23"/>
      <c r="JP315" s="23"/>
      <c r="JQ315" s="23"/>
      <c r="JR315" s="23"/>
      <c r="JS315" s="23"/>
      <c r="JT315" s="23"/>
      <c r="JU315" s="23"/>
      <c r="JV315" s="23"/>
      <c r="JW315" s="23"/>
      <c r="JX315" s="23"/>
      <c r="JY315" s="23"/>
      <c r="JZ315" s="23"/>
      <c r="KA315" s="23"/>
      <c r="KB315" s="23"/>
      <c r="KC315" s="23"/>
      <c r="KD315" s="23"/>
      <c r="KE315" s="23"/>
      <c r="KF315" s="23"/>
      <c r="KG315" s="23"/>
      <c r="KH315" s="23"/>
      <c r="KI315" s="23"/>
      <c r="KJ315" s="23"/>
      <c r="KK315" s="23"/>
      <c r="KL315" s="23"/>
      <c r="KM315" s="23"/>
      <c r="KN315" s="23"/>
      <c r="KO315" s="23"/>
      <c r="KP315" s="23"/>
      <c r="KQ315" s="23"/>
      <c r="KR315" s="23"/>
      <c r="KS315" s="23"/>
      <c r="KT315" s="23"/>
      <c r="KU315" s="23"/>
      <c r="KV315" s="23"/>
      <c r="KW315" s="23"/>
      <c r="KX315" s="23"/>
      <c r="KY315" s="23"/>
      <c r="KZ315" s="23"/>
      <c r="LA315" s="23"/>
      <c r="LB315" s="23"/>
      <c r="LC315" s="23"/>
      <c r="LD315" s="23"/>
      <c r="LE315" s="23"/>
      <c r="LF315" s="23"/>
      <c r="LG315" s="23"/>
      <c r="LH315" s="23"/>
      <c r="LI315" s="23"/>
      <c r="LJ315" s="23"/>
      <c r="LK315" s="23"/>
      <c r="LL315" s="23"/>
      <c r="LM315" s="23"/>
      <c r="LN315" s="23"/>
      <c r="LO315" s="23"/>
      <c r="LP315" s="23"/>
      <c r="LQ315" s="23"/>
      <c r="LR315" s="23"/>
      <c r="LS315" s="23"/>
      <c r="LT315" s="23"/>
      <c r="LU315" s="23"/>
      <c r="LV315" s="23"/>
      <c r="LW315" s="23"/>
      <c r="LX315" s="23"/>
      <c r="LY315" s="23"/>
      <c r="LZ315" s="23"/>
      <c r="MA315" s="23"/>
      <c r="MB315" s="23"/>
      <c r="MC315" s="23"/>
      <c r="MD315" s="23"/>
      <c r="ME315" s="23"/>
      <c r="MF315" s="23"/>
      <c r="MG315" s="23"/>
      <c r="MH315" s="23"/>
      <c r="MI315" s="23"/>
      <c r="MJ315" s="23"/>
      <c r="MK315" s="23"/>
      <c r="ML315" s="23"/>
      <c r="MM315" s="23"/>
      <c r="MN315" s="23"/>
      <c r="MO315" s="23"/>
      <c r="MP315" s="23"/>
      <c r="MQ315" s="23"/>
      <c r="MR315" s="23"/>
      <c r="MS315" s="23"/>
      <c r="MT315" s="23"/>
      <c r="MU315" s="23"/>
      <c r="MV315" s="23"/>
      <c r="MW315" s="23"/>
      <c r="MX315" s="23"/>
      <c r="MY315" s="23"/>
      <c r="MZ315" s="23"/>
      <c r="NA315" s="23"/>
      <c r="NB315" s="23"/>
      <c r="NC315" s="23"/>
      <c r="ND315" s="23"/>
      <c r="NE315" s="23"/>
      <c r="NF315" s="23"/>
      <c r="NG315" s="23"/>
      <c r="NH315" s="23"/>
      <c r="NI315" s="23"/>
      <c r="NJ315" s="23"/>
      <c r="NK315" s="23"/>
      <c r="NL315" s="23"/>
      <c r="NM315" s="23"/>
      <c r="NN315" s="23"/>
      <c r="NO315" s="23"/>
      <c r="NP315" s="23"/>
      <c r="NQ315" s="23"/>
      <c r="NR315" s="23"/>
      <c r="NS315" s="23"/>
      <c r="NT315" s="23"/>
      <c r="NU315" s="23"/>
      <c r="NV315" s="23"/>
      <c r="NW315" s="23"/>
      <c r="NX315" s="23"/>
      <c r="NY315" s="23"/>
      <c r="NZ315" s="23"/>
      <c r="OA315" s="23"/>
      <c r="OB315" s="23"/>
      <c r="OC315" s="23"/>
      <c r="OD315" s="23"/>
      <c r="OE315" s="23"/>
      <c r="OF315" s="23"/>
      <c r="OG315" s="23"/>
      <c r="OH315" s="23"/>
      <c r="OI315" s="23"/>
      <c r="OJ315" s="23"/>
      <c r="OK315" s="23"/>
      <c r="OL315" s="23"/>
      <c r="OM315" s="23"/>
      <c r="ON315" s="23"/>
      <c r="OO315" s="23"/>
      <c r="OP315" s="23"/>
      <c r="OQ315" s="23"/>
      <c r="OR315" s="23"/>
      <c r="OS315" s="23"/>
      <c r="OT315" s="23"/>
      <c r="OU315" s="23"/>
      <c r="OV315" s="23"/>
      <c r="OW315" s="23"/>
      <c r="OX315" s="23"/>
      <c r="OY315" s="23"/>
      <c r="OZ315" s="23"/>
      <c r="PA315" s="23"/>
      <c r="PB315" s="23"/>
      <c r="PC315" s="23"/>
      <c r="PD315" s="23"/>
      <c r="PE315" s="23"/>
      <c r="PF315" s="23"/>
      <c r="PG315" s="23"/>
      <c r="PH315" s="23"/>
      <c r="PI315" s="23"/>
      <c r="PJ315" s="23"/>
      <c r="PK315" s="23"/>
      <c r="PL315" s="23"/>
      <c r="PM315" s="23"/>
      <c r="PN315" s="23"/>
      <c r="PO315" s="23"/>
      <c r="PP315" s="23"/>
      <c r="PQ315" s="23"/>
      <c r="PR315" s="23"/>
      <c r="PS315" s="23"/>
      <c r="PT315" s="23"/>
      <c r="PU315" s="23"/>
      <c r="PV315" s="23"/>
      <c r="PW315" s="23"/>
      <c r="PX315" s="23"/>
      <c r="PY315" s="23"/>
      <c r="PZ315" s="23"/>
      <c r="QA315" s="23"/>
      <c r="QB315" s="23"/>
      <c r="QC315" s="23"/>
      <c r="QD315" s="23"/>
      <c r="QE315" s="23"/>
      <c r="QF315" s="23"/>
      <c r="QG315" s="23"/>
      <c r="QH315" s="23"/>
      <c r="QI315" s="23"/>
      <c r="QJ315" s="23"/>
      <c r="QK315" s="23"/>
      <c r="QL315" s="23"/>
      <c r="QM315" s="23"/>
      <c r="QN315" s="23"/>
      <c r="QO315" s="23"/>
      <c r="QP315" s="23"/>
      <c r="QQ315" s="23"/>
      <c r="QR315" s="23"/>
      <c r="QS315" s="23"/>
      <c r="QT315" s="23"/>
      <c r="QU315" s="23"/>
      <c r="QV315" s="23"/>
      <c r="QW315" s="23"/>
      <c r="QX315" s="23"/>
      <c r="QY315" s="23"/>
      <c r="QZ315" s="23"/>
      <c r="RA315" s="23"/>
      <c r="RB315" s="23"/>
      <c r="RC315" s="23"/>
      <c r="RD315" s="23"/>
      <c r="RE315" s="23"/>
      <c r="RF315" s="23"/>
      <c r="RG315" s="23"/>
      <c r="RH315" s="23"/>
      <c r="RI315" s="23"/>
      <c r="RJ315" s="23"/>
      <c r="RK315" s="23"/>
      <c r="RL315" s="23"/>
      <c r="RM315" s="23"/>
      <c r="RN315" s="23"/>
      <c r="RO315" s="23"/>
      <c r="RP315" s="23"/>
      <c r="RQ315" s="23"/>
      <c r="RR315" s="23"/>
      <c r="RS315" s="23"/>
      <c r="RT315" s="23"/>
      <c r="RU315" s="23"/>
      <c r="RV315" s="23"/>
      <c r="RW315" s="23"/>
      <c r="RX315" s="23"/>
      <c r="RY315" s="23"/>
      <c r="RZ315" s="23"/>
      <c r="SA315" s="23"/>
      <c r="SB315" s="23"/>
      <c r="SC315" s="23"/>
      <c r="SD315" s="23"/>
      <c r="SE315" s="23"/>
      <c r="SF315" s="23"/>
      <c r="SG315" s="23"/>
      <c r="SH315" s="23"/>
      <c r="SI315" s="23"/>
      <c r="SJ315" s="23"/>
      <c r="SK315" s="23"/>
      <c r="SL315" s="23"/>
      <c r="SM315" s="23"/>
      <c r="SN315" s="23"/>
      <c r="SO315" s="23"/>
      <c r="SP315" s="23"/>
      <c r="SQ315" s="23"/>
      <c r="SR315" s="23"/>
      <c r="SS315" s="23"/>
      <c r="ST315" s="23"/>
      <c r="SU315" s="23"/>
      <c r="SV315" s="23"/>
      <c r="SW315" s="23"/>
      <c r="SX315" s="23"/>
      <c r="SY315" s="23"/>
      <c r="SZ315" s="23"/>
      <c r="TA315" s="23"/>
      <c r="TB315" s="23"/>
      <c r="TC315" s="23"/>
      <c r="TD315" s="23"/>
      <c r="TE315" s="23"/>
      <c r="TF315" s="23"/>
      <c r="TG315" s="23"/>
    </row>
    <row r="316" spans="1:527" s="22" customFormat="1" ht="21.75" customHeight="1" x14ac:dyDescent="0.25">
      <c r="A316" s="59" t="s">
        <v>222</v>
      </c>
      <c r="B316" s="93" t="str">
        <f>'дод 8'!A240</f>
        <v>8600</v>
      </c>
      <c r="C316" s="93" t="str">
        <f>'дод 8'!B240</f>
        <v>0170</v>
      </c>
      <c r="D316" s="60" t="str">
        <f>'дод 8'!C240</f>
        <v>Обслуговування місцевого боргу</v>
      </c>
      <c r="E316" s="99">
        <f t="shared" si="178"/>
        <v>1086239</v>
      </c>
      <c r="F316" s="99">
        <f>1833489+130750-878000</f>
        <v>1086239</v>
      </c>
      <c r="G316" s="99"/>
      <c r="H316" s="99"/>
      <c r="I316" s="99"/>
      <c r="J316" s="99">
        <f t="shared" si="180"/>
        <v>0</v>
      </c>
      <c r="K316" s="99"/>
      <c r="L316" s="99"/>
      <c r="M316" s="99"/>
      <c r="N316" s="99"/>
      <c r="O316" s="99"/>
      <c r="P316" s="99">
        <f t="shared" si="179"/>
        <v>1086239</v>
      </c>
      <c r="Q316" s="23"/>
      <c r="R316" s="32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  <c r="GD316" s="23"/>
      <c r="GE316" s="23"/>
      <c r="GF316" s="23"/>
      <c r="GG316" s="23"/>
      <c r="GH316" s="23"/>
      <c r="GI316" s="23"/>
      <c r="GJ316" s="23"/>
      <c r="GK316" s="23"/>
      <c r="GL316" s="23"/>
      <c r="GM316" s="23"/>
      <c r="GN316" s="23"/>
      <c r="GO316" s="23"/>
      <c r="GP316" s="23"/>
      <c r="GQ316" s="23"/>
      <c r="GR316" s="23"/>
      <c r="GS316" s="23"/>
      <c r="GT316" s="23"/>
      <c r="GU316" s="23"/>
      <c r="GV316" s="23"/>
      <c r="GW316" s="23"/>
      <c r="GX316" s="23"/>
      <c r="GY316" s="23"/>
      <c r="GZ316" s="23"/>
      <c r="HA316" s="23"/>
      <c r="HB316" s="23"/>
      <c r="HC316" s="23"/>
      <c r="HD316" s="23"/>
      <c r="HE316" s="23"/>
      <c r="HF316" s="23"/>
      <c r="HG316" s="23"/>
      <c r="HH316" s="23"/>
      <c r="HI316" s="23"/>
      <c r="HJ316" s="23"/>
      <c r="HK316" s="23"/>
      <c r="HL316" s="23"/>
      <c r="HM316" s="23"/>
      <c r="HN316" s="23"/>
      <c r="HO316" s="23"/>
      <c r="HP316" s="23"/>
      <c r="HQ316" s="23"/>
      <c r="HR316" s="23"/>
      <c r="HS316" s="23"/>
      <c r="HT316" s="23"/>
      <c r="HU316" s="23"/>
      <c r="HV316" s="23"/>
      <c r="HW316" s="23"/>
      <c r="HX316" s="23"/>
      <c r="HY316" s="23"/>
      <c r="HZ316" s="23"/>
      <c r="IA316" s="23"/>
      <c r="IB316" s="23"/>
      <c r="IC316" s="23"/>
      <c r="ID316" s="23"/>
      <c r="IE316" s="23"/>
      <c r="IF316" s="23"/>
      <c r="IG316" s="23"/>
      <c r="IH316" s="23"/>
      <c r="II316" s="23"/>
      <c r="IJ316" s="23"/>
      <c r="IK316" s="23"/>
      <c r="IL316" s="23"/>
      <c r="IM316" s="23"/>
      <c r="IN316" s="23"/>
      <c r="IO316" s="23"/>
      <c r="IP316" s="23"/>
      <c r="IQ316" s="23"/>
      <c r="IR316" s="23"/>
      <c r="IS316" s="23"/>
      <c r="IT316" s="23"/>
      <c r="IU316" s="23"/>
      <c r="IV316" s="23"/>
      <c r="IW316" s="23"/>
      <c r="IX316" s="23"/>
      <c r="IY316" s="23"/>
      <c r="IZ316" s="23"/>
      <c r="JA316" s="23"/>
      <c r="JB316" s="23"/>
      <c r="JC316" s="23"/>
      <c r="JD316" s="23"/>
      <c r="JE316" s="23"/>
      <c r="JF316" s="23"/>
      <c r="JG316" s="23"/>
      <c r="JH316" s="23"/>
      <c r="JI316" s="23"/>
      <c r="JJ316" s="23"/>
      <c r="JK316" s="23"/>
      <c r="JL316" s="23"/>
      <c r="JM316" s="23"/>
      <c r="JN316" s="23"/>
      <c r="JO316" s="23"/>
      <c r="JP316" s="23"/>
      <c r="JQ316" s="23"/>
      <c r="JR316" s="23"/>
      <c r="JS316" s="23"/>
      <c r="JT316" s="23"/>
      <c r="JU316" s="23"/>
      <c r="JV316" s="23"/>
      <c r="JW316" s="23"/>
      <c r="JX316" s="23"/>
      <c r="JY316" s="23"/>
      <c r="JZ316" s="23"/>
      <c r="KA316" s="23"/>
      <c r="KB316" s="23"/>
      <c r="KC316" s="23"/>
      <c r="KD316" s="23"/>
      <c r="KE316" s="23"/>
      <c r="KF316" s="23"/>
      <c r="KG316" s="23"/>
      <c r="KH316" s="23"/>
      <c r="KI316" s="23"/>
      <c r="KJ316" s="23"/>
      <c r="KK316" s="23"/>
      <c r="KL316" s="23"/>
      <c r="KM316" s="23"/>
      <c r="KN316" s="23"/>
      <c r="KO316" s="23"/>
      <c r="KP316" s="23"/>
      <c r="KQ316" s="23"/>
      <c r="KR316" s="23"/>
      <c r="KS316" s="23"/>
      <c r="KT316" s="23"/>
      <c r="KU316" s="23"/>
      <c r="KV316" s="23"/>
      <c r="KW316" s="23"/>
      <c r="KX316" s="23"/>
      <c r="KY316" s="23"/>
      <c r="KZ316" s="23"/>
      <c r="LA316" s="23"/>
      <c r="LB316" s="23"/>
      <c r="LC316" s="23"/>
      <c r="LD316" s="23"/>
      <c r="LE316" s="23"/>
      <c r="LF316" s="23"/>
      <c r="LG316" s="23"/>
      <c r="LH316" s="23"/>
      <c r="LI316" s="23"/>
      <c r="LJ316" s="23"/>
      <c r="LK316" s="23"/>
      <c r="LL316" s="23"/>
      <c r="LM316" s="23"/>
      <c r="LN316" s="23"/>
      <c r="LO316" s="23"/>
      <c r="LP316" s="23"/>
      <c r="LQ316" s="23"/>
      <c r="LR316" s="23"/>
      <c r="LS316" s="23"/>
      <c r="LT316" s="23"/>
      <c r="LU316" s="23"/>
      <c r="LV316" s="23"/>
      <c r="LW316" s="23"/>
      <c r="LX316" s="23"/>
      <c r="LY316" s="23"/>
      <c r="LZ316" s="23"/>
      <c r="MA316" s="23"/>
      <c r="MB316" s="23"/>
      <c r="MC316" s="23"/>
      <c r="MD316" s="23"/>
      <c r="ME316" s="23"/>
      <c r="MF316" s="23"/>
      <c r="MG316" s="23"/>
      <c r="MH316" s="23"/>
      <c r="MI316" s="23"/>
      <c r="MJ316" s="23"/>
      <c r="MK316" s="23"/>
      <c r="ML316" s="23"/>
      <c r="MM316" s="23"/>
      <c r="MN316" s="23"/>
      <c r="MO316" s="23"/>
      <c r="MP316" s="23"/>
      <c r="MQ316" s="23"/>
      <c r="MR316" s="23"/>
      <c r="MS316" s="23"/>
      <c r="MT316" s="23"/>
      <c r="MU316" s="23"/>
      <c r="MV316" s="23"/>
      <c r="MW316" s="23"/>
      <c r="MX316" s="23"/>
      <c r="MY316" s="23"/>
      <c r="MZ316" s="23"/>
      <c r="NA316" s="23"/>
      <c r="NB316" s="23"/>
      <c r="NC316" s="23"/>
      <c r="ND316" s="23"/>
      <c r="NE316" s="23"/>
      <c r="NF316" s="23"/>
      <c r="NG316" s="23"/>
      <c r="NH316" s="23"/>
      <c r="NI316" s="23"/>
      <c r="NJ316" s="23"/>
      <c r="NK316" s="23"/>
      <c r="NL316" s="23"/>
      <c r="NM316" s="23"/>
      <c r="NN316" s="23"/>
      <c r="NO316" s="23"/>
      <c r="NP316" s="23"/>
      <c r="NQ316" s="23"/>
      <c r="NR316" s="23"/>
      <c r="NS316" s="23"/>
      <c r="NT316" s="23"/>
      <c r="NU316" s="23"/>
      <c r="NV316" s="23"/>
      <c r="NW316" s="23"/>
      <c r="NX316" s="23"/>
      <c r="NY316" s="23"/>
      <c r="NZ316" s="23"/>
      <c r="OA316" s="23"/>
      <c r="OB316" s="23"/>
      <c r="OC316" s="23"/>
      <c r="OD316" s="23"/>
      <c r="OE316" s="23"/>
      <c r="OF316" s="23"/>
      <c r="OG316" s="23"/>
      <c r="OH316" s="23"/>
      <c r="OI316" s="23"/>
      <c r="OJ316" s="23"/>
      <c r="OK316" s="23"/>
      <c r="OL316" s="23"/>
      <c r="OM316" s="23"/>
      <c r="ON316" s="23"/>
      <c r="OO316" s="23"/>
      <c r="OP316" s="23"/>
      <c r="OQ316" s="23"/>
      <c r="OR316" s="23"/>
      <c r="OS316" s="23"/>
      <c r="OT316" s="23"/>
      <c r="OU316" s="23"/>
      <c r="OV316" s="23"/>
      <c r="OW316" s="23"/>
      <c r="OX316" s="23"/>
      <c r="OY316" s="23"/>
      <c r="OZ316" s="23"/>
      <c r="PA316" s="23"/>
      <c r="PB316" s="23"/>
      <c r="PC316" s="23"/>
      <c r="PD316" s="23"/>
      <c r="PE316" s="23"/>
      <c r="PF316" s="23"/>
      <c r="PG316" s="23"/>
      <c r="PH316" s="23"/>
      <c r="PI316" s="23"/>
      <c r="PJ316" s="23"/>
      <c r="PK316" s="23"/>
      <c r="PL316" s="23"/>
      <c r="PM316" s="23"/>
      <c r="PN316" s="23"/>
      <c r="PO316" s="23"/>
      <c r="PP316" s="23"/>
      <c r="PQ316" s="23"/>
      <c r="PR316" s="23"/>
      <c r="PS316" s="23"/>
      <c r="PT316" s="23"/>
      <c r="PU316" s="23"/>
      <c r="PV316" s="23"/>
      <c r="PW316" s="23"/>
      <c r="PX316" s="23"/>
      <c r="PY316" s="23"/>
      <c r="PZ316" s="23"/>
      <c r="QA316" s="23"/>
      <c r="QB316" s="23"/>
      <c r="QC316" s="23"/>
      <c r="QD316" s="23"/>
      <c r="QE316" s="23"/>
      <c r="QF316" s="23"/>
      <c r="QG316" s="23"/>
      <c r="QH316" s="23"/>
      <c r="QI316" s="23"/>
      <c r="QJ316" s="23"/>
      <c r="QK316" s="23"/>
      <c r="QL316" s="23"/>
      <c r="QM316" s="23"/>
      <c r="QN316" s="23"/>
      <c r="QO316" s="23"/>
      <c r="QP316" s="23"/>
      <c r="QQ316" s="23"/>
      <c r="QR316" s="23"/>
      <c r="QS316" s="23"/>
      <c r="QT316" s="23"/>
      <c r="QU316" s="23"/>
      <c r="QV316" s="23"/>
      <c r="QW316" s="23"/>
      <c r="QX316" s="23"/>
      <c r="QY316" s="23"/>
      <c r="QZ316" s="23"/>
      <c r="RA316" s="23"/>
      <c r="RB316" s="23"/>
      <c r="RC316" s="23"/>
      <c r="RD316" s="23"/>
      <c r="RE316" s="23"/>
      <c r="RF316" s="23"/>
      <c r="RG316" s="23"/>
      <c r="RH316" s="23"/>
      <c r="RI316" s="23"/>
      <c r="RJ316" s="23"/>
      <c r="RK316" s="23"/>
      <c r="RL316" s="23"/>
      <c r="RM316" s="23"/>
      <c r="RN316" s="23"/>
      <c r="RO316" s="23"/>
      <c r="RP316" s="23"/>
      <c r="RQ316" s="23"/>
      <c r="RR316" s="23"/>
      <c r="RS316" s="23"/>
      <c r="RT316" s="23"/>
      <c r="RU316" s="23"/>
      <c r="RV316" s="23"/>
      <c r="RW316" s="23"/>
      <c r="RX316" s="23"/>
      <c r="RY316" s="23"/>
      <c r="RZ316" s="23"/>
      <c r="SA316" s="23"/>
      <c r="SB316" s="23"/>
      <c r="SC316" s="23"/>
      <c r="SD316" s="23"/>
      <c r="SE316" s="23"/>
      <c r="SF316" s="23"/>
      <c r="SG316" s="23"/>
      <c r="SH316" s="23"/>
      <c r="SI316" s="23"/>
      <c r="SJ316" s="23"/>
      <c r="SK316" s="23"/>
      <c r="SL316" s="23"/>
      <c r="SM316" s="23"/>
      <c r="SN316" s="23"/>
      <c r="SO316" s="23"/>
      <c r="SP316" s="23"/>
      <c r="SQ316" s="23"/>
      <c r="SR316" s="23"/>
      <c r="SS316" s="23"/>
      <c r="ST316" s="23"/>
      <c r="SU316" s="23"/>
      <c r="SV316" s="23"/>
      <c r="SW316" s="23"/>
      <c r="SX316" s="23"/>
      <c r="SY316" s="23"/>
      <c r="SZ316" s="23"/>
      <c r="TA316" s="23"/>
      <c r="TB316" s="23"/>
      <c r="TC316" s="23"/>
      <c r="TD316" s="23"/>
      <c r="TE316" s="23"/>
      <c r="TF316" s="23"/>
      <c r="TG316" s="23"/>
    </row>
    <row r="317" spans="1:527" s="22" customFormat="1" ht="22.5" customHeight="1" x14ac:dyDescent="0.25">
      <c r="A317" s="59" t="s">
        <v>517</v>
      </c>
      <c r="B317" s="93">
        <v>8710</v>
      </c>
      <c r="C317" s="93" t="str">
        <f>'дод 8'!B241</f>
        <v>0133</v>
      </c>
      <c r="D317" s="60" t="str">
        <f>'дод 8'!C241</f>
        <v>Резервний фонд місцевого бюджету</v>
      </c>
      <c r="E317" s="99">
        <f>16076686.44+30260-2902100-6378100+81980-1553963+117260-370000-4100550-30000-1773800-1500000-1764511-50000+18143581-134000-2214239-49500-6050358-1200000+14335013-35000-50000</f>
        <v>18628659.439999998</v>
      </c>
      <c r="F317" s="99"/>
      <c r="G317" s="99"/>
      <c r="H317" s="99"/>
      <c r="I317" s="99"/>
      <c r="J317" s="99">
        <f t="shared" si="180"/>
        <v>0</v>
      </c>
      <c r="K317" s="99"/>
      <c r="L317" s="99"/>
      <c r="M317" s="99"/>
      <c r="N317" s="99"/>
      <c r="O317" s="99"/>
      <c r="P317" s="99">
        <f t="shared" si="179"/>
        <v>18628659.439999998</v>
      </c>
      <c r="Q317" s="23"/>
      <c r="R317" s="32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3"/>
      <c r="DM317" s="23"/>
      <c r="DN317" s="23"/>
      <c r="DO317" s="23"/>
      <c r="DP317" s="23"/>
      <c r="DQ317" s="23"/>
      <c r="DR317" s="23"/>
      <c r="DS317" s="23"/>
      <c r="DT317" s="23"/>
      <c r="DU317" s="23"/>
      <c r="DV317" s="23"/>
      <c r="DW317" s="23"/>
      <c r="DX317" s="23"/>
      <c r="DY317" s="23"/>
      <c r="DZ317" s="23"/>
      <c r="EA317" s="23"/>
      <c r="EB317" s="23"/>
      <c r="EC317" s="23"/>
      <c r="ED317" s="23"/>
      <c r="EE317" s="23"/>
      <c r="EF317" s="23"/>
      <c r="EG317" s="23"/>
      <c r="EH317" s="23"/>
      <c r="EI317" s="23"/>
      <c r="EJ317" s="23"/>
      <c r="EK317" s="23"/>
      <c r="EL317" s="23"/>
      <c r="EM317" s="23"/>
      <c r="EN317" s="23"/>
      <c r="EO317" s="23"/>
      <c r="EP317" s="23"/>
      <c r="EQ317" s="23"/>
      <c r="ER317" s="23"/>
      <c r="ES317" s="23"/>
      <c r="ET317" s="23"/>
      <c r="EU317" s="23"/>
      <c r="EV317" s="23"/>
      <c r="EW317" s="23"/>
      <c r="EX317" s="23"/>
      <c r="EY317" s="23"/>
      <c r="EZ317" s="23"/>
      <c r="FA317" s="23"/>
      <c r="FB317" s="23"/>
      <c r="FC317" s="23"/>
      <c r="FD317" s="23"/>
      <c r="FE317" s="23"/>
      <c r="FF317" s="23"/>
      <c r="FG317" s="23"/>
      <c r="FH317" s="23"/>
      <c r="FI317" s="23"/>
      <c r="FJ317" s="23"/>
      <c r="FK317" s="23"/>
      <c r="FL317" s="23"/>
      <c r="FM317" s="23"/>
      <c r="FN317" s="23"/>
      <c r="FO317" s="23"/>
      <c r="FP317" s="23"/>
      <c r="FQ317" s="23"/>
      <c r="FR317" s="23"/>
      <c r="FS317" s="23"/>
      <c r="FT317" s="23"/>
      <c r="FU317" s="23"/>
      <c r="FV317" s="23"/>
      <c r="FW317" s="23"/>
      <c r="FX317" s="23"/>
      <c r="FY317" s="23"/>
      <c r="FZ317" s="23"/>
      <c r="GA317" s="23"/>
      <c r="GB317" s="23"/>
      <c r="GC317" s="23"/>
      <c r="GD317" s="23"/>
      <c r="GE317" s="23"/>
      <c r="GF317" s="23"/>
      <c r="GG317" s="23"/>
      <c r="GH317" s="23"/>
      <c r="GI317" s="23"/>
      <c r="GJ317" s="23"/>
      <c r="GK317" s="23"/>
      <c r="GL317" s="23"/>
      <c r="GM317" s="23"/>
      <c r="GN317" s="23"/>
      <c r="GO317" s="23"/>
      <c r="GP317" s="23"/>
      <c r="GQ317" s="23"/>
      <c r="GR317" s="23"/>
      <c r="GS317" s="23"/>
      <c r="GT317" s="23"/>
      <c r="GU317" s="23"/>
      <c r="GV317" s="23"/>
      <c r="GW317" s="23"/>
      <c r="GX317" s="23"/>
      <c r="GY317" s="23"/>
      <c r="GZ317" s="23"/>
      <c r="HA317" s="23"/>
      <c r="HB317" s="23"/>
      <c r="HC317" s="23"/>
      <c r="HD317" s="23"/>
      <c r="HE317" s="23"/>
      <c r="HF317" s="23"/>
      <c r="HG317" s="23"/>
      <c r="HH317" s="23"/>
      <c r="HI317" s="23"/>
      <c r="HJ317" s="23"/>
      <c r="HK317" s="23"/>
      <c r="HL317" s="23"/>
      <c r="HM317" s="23"/>
      <c r="HN317" s="23"/>
      <c r="HO317" s="23"/>
      <c r="HP317" s="23"/>
      <c r="HQ317" s="23"/>
      <c r="HR317" s="23"/>
      <c r="HS317" s="23"/>
      <c r="HT317" s="23"/>
      <c r="HU317" s="23"/>
      <c r="HV317" s="23"/>
      <c r="HW317" s="23"/>
      <c r="HX317" s="23"/>
      <c r="HY317" s="23"/>
      <c r="HZ317" s="23"/>
      <c r="IA317" s="23"/>
      <c r="IB317" s="23"/>
      <c r="IC317" s="23"/>
      <c r="ID317" s="23"/>
      <c r="IE317" s="23"/>
      <c r="IF317" s="23"/>
      <c r="IG317" s="23"/>
      <c r="IH317" s="23"/>
      <c r="II317" s="23"/>
      <c r="IJ317" s="23"/>
      <c r="IK317" s="23"/>
      <c r="IL317" s="23"/>
      <c r="IM317" s="23"/>
      <c r="IN317" s="23"/>
      <c r="IO317" s="23"/>
      <c r="IP317" s="23"/>
      <c r="IQ317" s="23"/>
      <c r="IR317" s="23"/>
      <c r="IS317" s="23"/>
      <c r="IT317" s="23"/>
      <c r="IU317" s="23"/>
      <c r="IV317" s="23"/>
      <c r="IW317" s="23"/>
      <c r="IX317" s="23"/>
      <c r="IY317" s="23"/>
      <c r="IZ317" s="23"/>
      <c r="JA317" s="23"/>
      <c r="JB317" s="23"/>
      <c r="JC317" s="23"/>
      <c r="JD317" s="23"/>
      <c r="JE317" s="23"/>
      <c r="JF317" s="23"/>
      <c r="JG317" s="23"/>
      <c r="JH317" s="23"/>
      <c r="JI317" s="23"/>
      <c r="JJ317" s="23"/>
      <c r="JK317" s="23"/>
      <c r="JL317" s="23"/>
      <c r="JM317" s="23"/>
      <c r="JN317" s="23"/>
      <c r="JO317" s="23"/>
      <c r="JP317" s="23"/>
      <c r="JQ317" s="23"/>
      <c r="JR317" s="23"/>
      <c r="JS317" s="23"/>
      <c r="JT317" s="23"/>
      <c r="JU317" s="23"/>
      <c r="JV317" s="23"/>
      <c r="JW317" s="23"/>
      <c r="JX317" s="23"/>
      <c r="JY317" s="23"/>
      <c r="JZ317" s="23"/>
      <c r="KA317" s="23"/>
      <c r="KB317" s="23"/>
      <c r="KC317" s="23"/>
      <c r="KD317" s="23"/>
      <c r="KE317" s="23"/>
      <c r="KF317" s="23"/>
      <c r="KG317" s="23"/>
      <c r="KH317" s="23"/>
      <c r="KI317" s="23"/>
      <c r="KJ317" s="23"/>
      <c r="KK317" s="23"/>
      <c r="KL317" s="23"/>
      <c r="KM317" s="23"/>
      <c r="KN317" s="23"/>
      <c r="KO317" s="23"/>
      <c r="KP317" s="23"/>
      <c r="KQ317" s="23"/>
      <c r="KR317" s="23"/>
      <c r="KS317" s="23"/>
      <c r="KT317" s="23"/>
      <c r="KU317" s="23"/>
      <c r="KV317" s="23"/>
      <c r="KW317" s="23"/>
      <c r="KX317" s="23"/>
      <c r="KY317" s="23"/>
      <c r="KZ317" s="23"/>
      <c r="LA317" s="23"/>
      <c r="LB317" s="23"/>
      <c r="LC317" s="23"/>
      <c r="LD317" s="23"/>
      <c r="LE317" s="23"/>
      <c r="LF317" s="23"/>
      <c r="LG317" s="23"/>
      <c r="LH317" s="23"/>
      <c r="LI317" s="23"/>
      <c r="LJ317" s="23"/>
      <c r="LK317" s="23"/>
      <c r="LL317" s="23"/>
      <c r="LM317" s="23"/>
      <c r="LN317" s="23"/>
      <c r="LO317" s="23"/>
      <c r="LP317" s="23"/>
      <c r="LQ317" s="23"/>
      <c r="LR317" s="23"/>
      <c r="LS317" s="23"/>
      <c r="LT317" s="23"/>
      <c r="LU317" s="23"/>
      <c r="LV317" s="23"/>
      <c r="LW317" s="23"/>
      <c r="LX317" s="23"/>
      <c r="LY317" s="23"/>
      <c r="LZ317" s="23"/>
      <c r="MA317" s="23"/>
      <c r="MB317" s="23"/>
      <c r="MC317" s="23"/>
      <c r="MD317" s="23"/>
      <c r="ME317" s="23"/>
      <c r="MF317" s="23"/>
      <c r="MG317" s="23"/>
      <c r="MH317" s="23"/>
      <c r="MI317" s="23"/>
      <c r="MJ317" s="23"/>
      <c r="MK317" s="23"/>
      <c r="ML317" s="23"/>
      <c r="MM317" s="23"/>
      <c r="MN317" s="23"/>
      <c r="MO317" s="23"/>
      <c r="MP317" s="23"/>
      <c r="MQ317" s="23"/>
      <c r="MR317" s="23"/>
      <c r="MS317" s="23"/>
      <c r="MT317" s="23"/>
      <c r="MU317" s="23"/>
      <c r="MV317" s="23"/>
      <c r="MW317" s="23"/>
      <c r="MX317" s="23"/>
      <c r="MY317" s="23"/>
      <c r="MZ317" s="23"/>
      <c r="NA317" s="23"/>
      <c r="NB317" s="23"/>
      <c r="NC317" s="23"/>
      <c r="ND317" s="23"/>
      <c r="NE317" s="23"/>
      <c r="NF317" s="23"/>
      <c r="NG317" s="23"/>
      <c r="NH317" s="23"/>
      <c r="NI317" s="23"/>
      <c r="NJ317" s="23"/>
      <c r="NK317" s="23"/>
      <c r="NL317" s="23"/>
      <c r="NM317" s="23"/>
      <c r="NN317" s="23"/>
      <c r="NO317" s="23"/>
      <c r="NP317" s="23"/>
      <c r="NQ317" s="23"/>
      <c r="NR317" s="23"/>
      <c r="NS317" s="23"/>
      <c r="NT317" s="23"/>
      <c r="NU317" s="23"/>
      <c r="NV317" s="23"/>
      <c r="NW317" s="23"/>
      <c r="NX317" s="23"/>
      <c r="NY317" s="23"/>
      <c r="NZ317" s="23"/>
      <c r="OA317" s="23"/>
      <c r="OB317" s="23"/>
      <c r="OC317" s="23"/>
      <c r="OD317" s="23"/>
      <c r="OE317" s="23"/>
      <c r="OF317" s="23"/>
      <c r="OG317" s="23"/>
      <c r="OH317" s="23"/>
      <c r="OI317" s="23"/>
      <c r="OJ317" s="23"/>
      <c r="OK317" s="23"/>
      <c r="OL317" s="23"/>
      <c r="OM317" s="23"/>
      <c r="ON317" s="23"/>
      <c r="OO317" s="23"/>
      <c r="OP317" s="23"/>
      <c r="OQ317" s="23"/>
      <c r="OR317" s="23"/>
      <c r="OS317" s="23"/>
      <c r="OT317" s="23"/>
      <c r="OU317" s="23"/>
      <c r="OV317" s="23"/>
      <c r="OW317" s="23"/>
      <c r="OX317" s="23"/>
      <c r="OY317" s="23"/>
      <c r="OZ317" s="23"/>
      <c r="PA317" s="23"/>
      <c r="PB317" s="23"/>
      <c r="PC317" s="23"/>
      <c r="PD317" s="23"/>
      <c r="PE317" s="23"/>
      <c r="PF317" s="23"/>
      <c r="PG317" s="23"/>
      <c r="PH317" s="23"/>
      <c r="PI317" s="23"/>
      <c r="PJ317" s="23"/>
      <c r="PK317" s="23"/>
      <c r="PL317" s="23"/>
      <c r="PM317" s="23"/>
      <c r="PN317" s="23"/>
      <c r="PO317" s="23"/>
      <c r="PP317" s="23"/>
      <c r="PQ317" s="23"/>
      <c r="PR317" s="23"/>
      <c r="PS317" s="23"/>
      <c r="PT317" s="23"/>
      <c r="PU317" s="23"/>
      <c r="PV317" s="23"/>
      <c r="PW317" s="23"/>
      <c r="PX317" s="23"/>
      <c r="PY317" s="23"/>
      <c r="PZ317" s="23"/>
      <c r="QA317" s="23"/>
      <c r="QB317" s="23"/>
      <c r="QC317" s="23"/>
      <c r="QD317" s="23"/>
      <c r="QE317" s="23"/>
      <c r="QF317" s="23"/>
      <c r="QG317" s="23"/>
      <c r="QH317" s="23"/>
      <c r="QI317" s="23"/>
      <c r="QJ317" s="23"/>
      <c r="QK317" s="23"/>
      <c r="QL317" s="23"/>
      <c r="QM317" s="23"/>
      <c r="QN317" s="23"/>
      <c r="QO317" s="23"/>
      <c r="QP317" s="23"/>
      <c r="QQ317" s="23"/>
      <c r="QR317" s="23"/>
      <c r="QS317" s="23"/>
      <c r="QT317" s="23"/>
      <c r="QU317" s="23"/>
      <c r="QV317" s="23"/>
      <c r="QW317" s="23"/>
      <c r="QX317" s="23"/>
      <c r="QY317" s="23"/>
      <c r="QZ317" s="23"/>
      <c r="RA317" s="23"/>
      <c r="RB317" s="23"/>
      <c r="RC317" s="23"/>
      <c r="RD317" s="23"/>
      <c r="RE317" s="23"/>
      <c r="RF317" s="23"/>
      <c r="RG317" s="23"/>
      <c r="RH317" s="23"/>
      <c r="RI317" s="23"/>
      <c r="RJ317" s="23"/>
      <c r="RK317" s="23"/>
      <c r="RL317" s="23"/>
      <c r="RM317" s="23"/>
      <c r="RN317" s="23"/>
      <c r="RO317" s="23"/>
      <c r="RP317" s="23"/>
      <c r="RQ317" s="23"/>
      <c r="RR317" s="23"/>
      <c r="RS317" s="23"/>
      <c r="RT317" s="23"/>
      <c r="RU317" s="23"/>
      <c r="RV317" s="23"/>
      <c r="RW317" s="23"/>
      <c r="RX317" s="23"/>
      <c r="RY317" s="23"/>
      <c r="RZ317" s="23"/>
      <c r="SA317" s="23"/>
      <c r="SB317" s="23"/>
      <c r="SC317" s="23"/>
      <c r="SD317" s="23"/>
      <c r="SE317" s="23"/>
      <c r="SF317" s="23"/>
      <c r="SG317" s="23"/>
      <c r="SH317" s="23"/>
      <c r="SI317" s="23"/>
      <c r="SJ317" s="23"/>
      <c r="SK317" s="23"/>
      <c r="SL317" s="23"/>
      <c r="SM317" s="23"/>
      <c r="SN317" s="23"/>
      <c r="SO317" s="23"/>
      <c r="SP317" s="23"/>
      <c r="SQ317" s="23"/>
      <c r="SR317" s="23"/>
      <c r="SS317" s="23"/>
      <c r="ST317" s="23"/>
      <c r="SU317" s="23"/>
      <c r="SV317" s="23"/>
      <c r="SW317" s="23"/>
      <c r="SX317" s="23"/>
      <c r="SY317" s="23"/>
      <c r="SZ317" s="23"/>
      <c r="TA317" s="23"/>
      <c r="TB317" s="23"/>
      <c r="TC317" s="23"/>
      <c r="TD317" s="23"/>
      <c r="TE317" s="23"/>
      <c r="TF317" s="23"/>
      <c r="TG317" s="23"/>
    </row>
    <row r="318" spans="1:527" s="22" customFormat="1" ht="24.75" customHeight="1" x14ac:dyDescent="0.25">
      <c r="A318" s="59" t="s">
        <v>232</v>
      </c>
      <c r="B318" s="93" t="str">
        <f>'дод 8'!A245</f>
        <v>9110</v>
      </c>
      <c r="C318" s="93" t="str">
        <f>'дод 8'!B245</f>
        <v>0180</v>
      </c>
      <c r="D318" s="60" t="str">
        <f>'дод 8'!C245</f>
        <v>Реверсна дотація</v>
      </c>
      <c r="E318" s="99">
        <f>F318+I318</f>
        <v>100870700</v>
      </c>
      <c r="F318" s="99">
        <v>100870700</v>
      </c>
      <c r="G318" s="99"/>
      <c r="H318" s="99"/>
      <c r="I318" s="99"/>
      <c r="J318" s="99">
        <f t="shared" si="180"/>
        <v>0</v>
      </c>
      <c r="K318" s="99"/>
      <c r="L318" s="99"/>
      <c r="M318" s="99"/>
      <c r="N318" s="99"/>
      <c r="O318" s="99"/>
      <c r="P318" s="99">
        <f t="shared" si="179"/>
        <v>100870700</v>
      </c>
      <c r="Q318" s="23"/>
      <c r="R318" s="32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3"/>
      <c r="CY318" s="23"/>
      <c r="CZ318" s="23"/>
      <c r="DA318" s="23"/>
      <c r="DB318" s="23"/>
      <c r="DC318" s="23"/>
      <c r="DD318" s="23"/>
      <c r="DE318" s="23"/>
      <c r="DF318" s="23"/>
      <c r="DG318" s="23"/>
      <c r="DH318" s="23"/>
      <c r="DI318" s="23"/>
      <c r="DJ318" s="23"/>
      <c r="DK318" s="23"/>
      <c r="DL318" s="23"/>
      <c r="DM318" s="23"/>
      <c r="DN318" s="23"/>
      <c r="DO318" s="23"/>
      <c r="DP318" s="23"/>
      <c r="DQ318" s="23"/>
      <c r="DR318" s="23"/>
      <c r="DS318" s="23"/>
      <c r="DT318" s="23"/>
      <c r="DU318" s="23"/>
      <c r="DV318" s="23"/>
      <c r="DW318" s="23"/>
      <c r="DX318" s="23"/>
      <c r="DY318" s="23"/>
      <c r="DZ318" s="23"/>
      <c r="EA318" s="23"/>
      <c r="EB318" s="23"/>
      <c r="EC318" s="23"/>
      <c r="ED318" s="23"/>
      <c r="EE318" s="23"/>
      <c r="EF318" s="23"/>
      <c r="EG318" s="23"/>
      <c r="EH318" s="23"/>
      <c r="EI318" s="23"/>
      <c r="EJ318" s="23"/>
      <c r="EK318" s="23"/>
      <c r="EL318" s="23"/>
      <c r="EM318" s="23"/>
      <c r="EN318" s="23"/>
      <c r="EO318" s="23"/>
      <c r="EP318" s="23"/>
      <c r="EQ318" s="23"/>
      <c r="ER318" s="23"/>
      <c r="ES318" s="23"/>
      <c r="ET318" s="23"/>
      <c r="EU318" s="23"/>
      <c r="EV318" s="23"/>
      <c r="EW318" s="23"/>
      <c r="EX318" s="23"/>
      <c r="EY318" s="23"/>
      <c r="EZ318" s="23"/>
      <c r="FA318" s="23"/>
      <c r="FB318" s="23"/>
      <c r="FC318" s="23"/>
      <c r="FD318" s="23"/>
      <c r="FE318" s="23"/>
      <c r="FF318" s="23"/>
      <c r="FG318" s="23"/>
      <c r="FH318" s="23"/>
      <c r="FI318" s="23"/>
      <c r="FJ318" s="23"/>
      <c r="FK318" s="23"/>
      <c r="FL318" s="23"/>
      <c r="FM318" s="23"/>
      <c r="FN318" s="23"/>
      <c r="FO318" s="23"/>
      <c r="FP318" s="23"/>
      <c r="FQ318" s="23"/>
      <c r="FR318" s="23"/>
      <c r="FS318" s="23"/>
      <c r="FT318" s="23"/>
      <c r="FU318" s="23"/>
      <c r="FV318" s="23"/>
      <c r="FW318" s="23"/>
      <c r="FX318" s="23"/>
      <c r="FY318" s="23"/>
      <c r="FZ318" s="23"/>
      <c r="GA318" s="23"/>
      <c r="GB318" s="23"/>
      <c r="GC318" s="23"/>
      <c r="GD318" s="23"/>
      <c r="GE318" s="23"/>
      <c r="GF318" s="23"/>
      <c r="GG318" s="23"/>
      <c r="GH318" s="23"/>
      <c r="GI318" s="23"/>
      <c r="GJ318" s="23"/>
      <c r="GK318" s="23"/>
      <c r="GL318" s="23"/>
      <c r="GM318" s="23"/>
      <c r="GN318" s="23"/>
      <c r="GO318" s="23"/>
      <c r="GP318" s="23"/>
      <c r="GQ318" s="23"/>
      <c r="GR318" s="23"/>
      <c r="GS318" s="23"/>
      <c r="GT318" s="23"/>
      <c r="GU318" s="23"/>
      <c r="GV318" s="23"/>
      <c r="GW318" s="23"/>
      <c r="GX318" s="23"/>
      <c r="GY318" s="23"/>
      <c r="GZ318" s="23"/>
      <c r="HA318" s="23"/>
      <c r="HB318" s="23"/>
      <c r="HC318" s="23"/>
      <c r="HD318" s="23"/>
      <c r="HE318" s="23"/>
      <c r="HF318" s="23"/>
      <c r="HG318" s="23"/>
      <c r="HH318" s="23"/>
      <c r="HI318" s="23"/>
      <c r="HJ318" s="23"/>
      <c r="HK318" s="23"/>
      <c r="HL318" s="23"/>
      <c r="HM318" s="23"/>
      <c r="HN318" s="23"/>
      <c r="HO318" s="23"/>
      <c r="HP318" s="23"/>
      <c r="HQ318" s="23"/>
      <c r="HR318" s="23"/>
      <c r="HS318" s="23"/>
      <c r="HT318" s="23"/>
      <c r="HU318" s="23"/>
      <c r="HV318" s="23"/>
      <c r="HW318" s="23"/>
      <c r="HX318" s="23"/>
      <c r="HY318" s="23"/>
      <c r="HZ318" s="23"/>
      <c r="IA318" s="23"/>
      <c r="IB318" s="23"/>
      <c r="IC318" s="23"/>
      <c r="ID318" s="23"/>
      <c r="IE318" s="23"/>
      <c r="IF318" s="23"/>
      <c r="IG318" s="23"/>
      <c r="IH318" s="23"/>
      <c r="II318" s="23"/>
      <c r="IJ318" s="23"/>
      <c r="IK318" s="23"/>
      <c r="IL318" s="23"/>
      <c r="IM318" s="23"/>
      <c r="IN318" s="23"/>
      <c r="IO318" s="23"/>
      <c r="IP318" s="23"/>
      <c r="IQ318" s="23"/>
      <c r="IR318" s="23"/>
      <c r="IS318" s="23"/>
      <c r="IT318" s="23"/>
      <c r="IU318" s="23"/>
      <c r="IV318" s="23"/>
      <c r="IW318" s="23"/>
      <c r="IX318" s="23"/>
      <c r="IY318" s="23"/>
      <c r="IZ318" s="23"/>
      <c r="JA318" s="23"/>
      <c r="JB318" s="23"/>
      <c r="JC318" s="23"/>
      <c r="JD318" s="23"/>
      <c r="JE318" s="23"/>
      <c r="JF318" s="23"/>
      <c r="JG318" s="23"/>
      <c r="JH318" s="23"/>
      <c r="JI318" s="23"/>
      <c r="JJ318" s="23"/>
      <c r="JK318" s="23"/>
      <c r="JL318" s="23"/>
      <c r="JM318" s="23"/>
      <c r="JN318" s="23"/>
      <c r="JO318" s="23"/>
      <c r="JP318" s="23"/>
      <c r="JQ318" s="23"/>
      <c r="JR318" s="23"/>
      <c r="JS318" s="23"/>
      <c r="JT318" s="23"/>
      <c r="JU318" s="23"/>
      <c r="JV318" s="23"/>
      <c r="JW318" s="23"/>
      <c r="JX318" s="23"/>
      <c r="JY318" s="23"/>
      <c r="JZ318" s="23"/>
      <c r="KA318" s="23"/>
      <c r="KB318" s="23"/>
      <c r="KC318" s="23"/>
      <c r="KD318" s="23"/>
      <c r="KE318" s="23"/>
      <c r="KF318" s="23"/>
      <c r="KG318" s="23"/>
      <c r="KH318" s="23"/>
      <c r="KI318" s="23"/>
      <c r="KJ318" s="23"/>
      <c r="KK318" s="23"/>
      <c r="KL318" s="23"/>
      <c r="KM318" s="23"/>
      <c r="KN318" s="23"/>
      <c r="KO318" s="23"/>
      <c r="KP318" s="23"/>
      <c r="KQ318" s="23"/>
      <c r="KR318" s="23"/>
      <c r="KS318" s="23"/>
      <c r="KT318" s="23"/>
      <c r="KU318" s="23"/>
      <c r="KV318" s="23"/>
      <c r="KW318" s="23"/>
      <c r="KX318" s="23"/>
      <c r="KY318" s="23"/>
      <c r="KZ318" s="23"/>
      <c r="LA318" s="23"/>
      <c r="LB318" s="23"/>
      <c r="LC318" s="23"/>
      <c r="LD318" s="23"/>
      <c r="LE318" s="23"/>
      <c r="LF318" s="23"/>
      <c r="LG318" s="23"/>
      <c r="LH318" s="23"/>
      <c r="LI318" s="23"/>
      <c r="LJ318" s="23"/>
      <c r="LK318" s="23"/>
      <c r="LL318" s="23"/>
      <c r="LM318" s="23"/>
      <c r="LN318" s="23"/>
      <c r="LO318" s="23"/>
      <c r="LP318" s="23"/>
      <c r="LQ318" s="23"/>
      <c r="LR318" s="23"/>
      <c r="LS318" s="23"/>
      <c r="LT318" s="23"/>
      <c r="LU318" s="23"/>
      <c r="LV318" s="23"/>
      <c r="LW318" s="23"/>
      <c r="LX318" s="23"/>
      <c r="LY318" s="23"/>
      <c r="LZ318" s="23"/>
      <c r="MA318" s="23"/>
      <c r="MB318" s="23"/>
      <c r="MC318" s="23"/>
      <c r="MD318" s="23"/>
      <c r="ME318" s="23"/>
      <c r="MF318" s="23"/>
      <c r="MG318" s="23"/>
      <c r="MH318" s="23"/>
      <c r="MI318" s="23"/>
      <c r="MJ318" s="23"/>
      <c r="MK318" s="23"/>
      <c r="ML318" s="23"/>
      <c r="MM318" s="23"/>
      <c r="MN318" s="23"/>
      <c r="MO318" s="23"/>
      <c r="MP318" s="23"/>
      <c r="MQ318" s="23"/>
      <c r="MR318" s="23"/>
      <c r="MS318" s="23"/>
      <c r="MT318" s="23"/>
      <c r="MU318" s="23"/>
      <c r="MV318" s="23"/>
      <c r="MW318" s="23"/>
      <c r="MX318" s="23"/>
      <c r="MY318" s="23"/>
      <c r="MZ318" s="23"/>
      <c r="NA318" s="23"/>
      <c r="NB318" s="23"/>
      <c r="NC318" s="23"/>
      <c r="ND318" s="23"/>
      <c r="NE318" s="23"/>
      <c r="NF318" s="23"/>
      <c r="NG318" s="23"/>
      <c r="NH318" s="23"/>
      <c r="NI318" s="23"/>
      <c r="NJ318" s="23"/>
      <c r="NK318" s="23"/>
      <c r="NL318" s="23"/>
      <c r="NM318" s="23"/>
      <c r="NN318" s="23"/>
      <c r="NO318" s="23"/>
      <c r="NP318" s="23"/>
      <c r="NQ318" s="23"/>
      <c r="NR318" s="23"/>
      <c r="NS318" s="23"/>
      <c r="NT318" s="23"/>
      <c r="NU318" s="23"/>
      <c r="NV318" s="23"/>
      <c r="NW318" s="23"/>
      <c r="NX318" s="23"/>
      <c r="NY318" s="23"/>
      <c r="NZ318" s="23"/>
      <c r="OA318" s="23"/>
      <c r="OB318" s="23"/>
      <c r="OC318" s="23"/>
      <c r="OD318" s="23"/>
      <c r="OE318" s="23"/>
      <c r="OF318" s="23"/>
      <c r="OG318" s="23"/>
      <c r="OH318" s="23"/>
      <c r="OI318" s="23"/>
      <c r="OJ318" s="23"/>
      <c r="OK318" s="23"/>
      <c r="OL318" s="23"/>
      <c r="OM318" s="23"/>
      <c r="ON318" s="23"/>
      <c r="OO318" s="23"/>
      <c r="OP318" s="23"/>
      <c r="OQ318" s="23"/>
      <c r="OR318" s="23"/>
      <c r="OS318" s="23"/>
      <c r="OT318" s="23"/>
      <c r="OU318" s="23"/>
      <c r="OV318" s="23"/>
      <c r="OW318" s="23"/>
      <c r="OX318" s="23"/>
      <c r="OY318" s="23"/>
      <c r="OZ318" s="23"/>
      <c r="PA318" s="23"/>
      <c r="PB318" s="23"/>
      <c r="PC318" s="23"/>
      <c r="PD318" s="23"/>
      <c r="PE318" s="23"/>
      <c r="PF318" s="23"/>
      <c r="PG318" s="23"/>
      <c r="PH318" s="23"/>
      <c r="PI318" s="23"/>
      <c r="PJ318" s="23"/>
      <c r="PK318" s="23"/>
      <c r="PL318" s="23"/>
      <c r="PM318" s="23"/>
      <c r="PN318" s="23"/>
      <c r="PO318" s="23"/>
      <c r="PP318" s="23"/>
      <c r="PQ318" s="23"/>
      <c r="PR318" s="23"/>
      <c r="PS318" s="23"/>
      <c r="PT318" s="23"/>
      <c r="PU318" s="23"/>
      <c r="PV318" s="23"/>
      <c r="PW318" s="23"/>
      <c r="PX318" s="23"/>
      <c r="PY318" s="23"/>
      <c r="PZ318" s="23"/>
      <c r="QA318" s="23"/>
      <c r="QB318" s="23"/>
      <c r="QC318" s="23"/>
      <c r="QD318" s="23"/>
      <c r="QE318" s="23"/>
      <c r="QF318" s="23"/>
      <c r="QG318" s="23"/>
      <c r="QH318" s="23"/>
      <c r="QI318" s="23"/>
      <c r="QJ318" s="23"/>
      <c r="QK318" s="23"/>
      <c r="QL318" s="23"/>
      <c r="QM318" s="23"/>
      <c r="QN318" s="23"/>
      <c r="QO318" s="23"/>
      <c r="QP318" s="23"/>
      <c r="QQ318" s="23"/>
      <c r="QR318" s="23"/>
      <c r="QS318" s="23"/>
      <c r="QT318" s="23"/>
      <c r="QU318" s="23"/>
      <c r="QV318" s="23"/>
      <c r="QW318" s="23"/>
      <c r="QX318" s="23"/>
      <c r="QY318" s="23"/>
      <c r="QZ318" s="23"/>
      <c r="RA318" s="23"/>
      <c r="RB318" s="23"/>
      <c r="RC318" s="23"/>
      <c r="RD318" s="23"/>
      <c r="RE318" s="23"/>
      <c r="RF318" s="23"/>
      <c r="RG318" s="23"/>
      <c r="RH318" s="23"/>
      <c r="RI318" s="23"/>
      <c r="RJ318" s="23"/>
      <c r="RK318" s="23"/>
      <c r="RL318" s="23"/>
      <c r="RM318" s="23"/>
      <c r="RN318" s="23"/>
      <c r="RO318" s="23"/>
      <c r="RP318" s="23"/>
      <c r="RQ318" s="23"/>
      <c r="RR318" s="23"/>
      <c r="RS318" s="23"/>
      <c r="RT318" s="23"/>
      <c r="RU318" s="23"/>
      <c r="RV318" s="23"/>
      <c r="RW318" s="23"/>
      <c r="RX318" s="23"/>
      <c r="RY318" s="23"/>
      <c r="RZ318" s="23"/>
      <c r="SA318" s="23"/>
      <c r="SB318" s="23"/>
      <c r="SC318" s="23"/>
      <c r="SD318" s="23"/>
      <c r="SE318" s="23"/>
      <c r="SF318" s="23"/>
      <c r="SG318" s="23"/>
      <c r="SH318" s="23"/>
      <c r="SI318" s="23"/>
      <c r="SJ318" s="23"/>
      <c r="SK318" s="23"/>
      <c r="SL318" s="23"/>
      <c r="SM318" s="23"/>
      <c r="SN318" s="23"/>
      <c r="SO318" s="23"/>
      <c r="SP318" s="23"/>
      <c r="SQ318" s="23"/>
      <c r="SR318" s="23"/>
      <c r="SS318" s="23"/>
      <c r="ST318" s="23"/>
      <c r="SU318" s="23"/>
      <c r="SV318" s="23"/>
      <c r="SW318" s="23"/>
      <c r="SX318" s="23"/>
      <c r="SY318" s="23"/>
      <c r="SZ318" s="23"/>
      <c r="TA318" s="23"/>
      <c r="TB318" s="23"/>
      <c r="TC318" s="23"/>
      <c r="TD318" s="23"/>
      <c r="TE318" s="23"/>
      <c r="TF318" s="23"/>
      <c r="TG318" s="23"/>
    </row>
    <row r="319" spans="1:527" s="27" customFormat="1" ht="22.5" customHeight="1" x14ac:dyDescent="0.25">
      <c r="A319" s="118"/>
      <c r="B319" s="112"/>
      <c r="C319" s="150"/>
      <c r="D319" s="107" t="s">
        <v>408</v>
      </c>
      <c r="E319" s="95">
        <f t="shared" ref="E319:P319" si="181">E17+E63+E127+E161+E202+E210+E221+E265+E268+E288+E295+E298+E306+E309</f>
        <v>2340241122.8400002</v>
      </c>
      <c r="F319" s="95">
        <f t="shared" si="181"/>
        <v>2226849598.9200001</v>
      </c>
      <c r="G319" s="95">
        <f t="shared" si="181"/>
        <v>1078738960</v>
      </c>
      <c r="H319" s="95">
        <f t="shared" si="181"/>
        <v>133676941</v>
      </c>
      <c r="I319" s="95">
        <f t="shared" si="181"/>
        <v>94762864.480000004</v>
      </c>
      <c r="J319" s="95">
        <f t="shared" si="181"/>
        <v>791556557.02999997</v>
      </c>
      <c r="K319" s="95">
        <f t="shared" si="181"/>
        <v>722968712.50999999</v>
      </c>
      <c r="L319" s="95">
        <f t="shared" si="181"/>
        <v>49572501.869999997</v>
      </c>
      <c r="M319" s="95">
        <f t="shared" si="181"/>
        <v>6033355</v>
      </c>
      <c r="N319" s="95">
        <f t="shared" si="181"/>
        <v>266522</v>
      </c>
      <c r="O319" s="95">
        <f t="shared" si="181"/>
        <v>741984055.15999997</v>
      </c>
      <c r="P319" s="95">
        <f t="shared" si="181"/>
        <v>3131797679.8700004</v>
      </c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32"/>
      <c r="CM319" s="32"/>
      <c r="CN319" s="32"/>
      <c r="CO319" s="32"/>
      <c r="CP319" s="32"/>
      <c r="CQ319" s="32"/>
      <c r="CR319" s="32"/>
      <c r="CS319" s="32"/>
      <c r="CT319" s="32"/>
      <c r="CU319" s="32"/>
      <c r="CV319" s="32"/>
      <c r="CW319" s="32"/>
      <c r="CX319" s="32"/>
      <c r="CY319" s="32"/>
      <c r="CZ319" s="32"/>
      <c r="DA319" s="32"/>
      <c r="DB319" s="32"/>
      <c r="DC319" s="32"/>
      <c r="DD319" s="32"/>
      <c r="DE319" s="32"/>
      <c r="DF319" s="32"/>
      <c r="DG319" s="32"/>
      <c r="DH319" s="32"/>
      <c r="DI319" s="32"/>
      <c r="DJ319" s="32"/>
      <c r="DK319" s="32"/>
      <c r="DL319" s="32"/>
      <c r="DM319" s="32"/>
      <c r="DN319" s="32"/>
      <c r="DO319" s="32"/>
      <c r="DP319" s="32"/>
      <c r="DQ319" s="32"/>
      <c r="DR319" s="32"/>
      <c r="DS319" s="32"/>
      <c r="DT319" s="32"/>
      <c r="DU319" s="32"/>
      <c r="DV319" s="32"/>
      <c r="DW319" s="32"/>
      <c r="DX319" s="32"/>
      <c r="DY319" s="32"/>
      <c r="DZ319" s="32"/>
      <c r="EA319" s="32"/>
      <c r="EB319" s="32"/>
      <c r="EC319" s="32"/>
      <c r="ED319" s="32"/>
      <c r="EE319" s="32"/>
      <c r="EF319" s="32"/>
      <c r="EG319" s="32"/>
      <c r="EH319" s="32"/>
      <c r="EI319" s="32"/>
      <c r="EJ319" s="32"/>
      <c r="EK319" s="32"/>
      <c r="EL319" s="32"/>
      <c r="EM319" s="32"/>
      <c r="EN319" s="32"/>
      <c r="EO319" s="32"/>
      <c r="EP319" s="32"/>
      <c r="EQ319" s="32"/>
      <c r="ER319" s="32"/>
      <c r="ES319" s="32"/>
      <c r="ET319" s="32"/>
      <c r="EU319" s="32"/>
      <c r="EV319" s="32"/>
      <c r="EW319" s="32"/>
      <c r="EX319" s="32"/>
      <c r="EY319" s="32"/>
      <c r="EZ319" s="32"/>
      <c r="FA319" s="32"/>
      <c r="FB319" s="32"/>
      <c r="FC319" s="32"/>
      <c r="FD319" s="32"/>
      <c r="FE319" s="32"/>
      <c r="FF319" s="32"/>
      <c r="FG319" s="32"/>
      <c r="FH319" s="32"/>
      <c r="FI319" s="32"/>
      <c r="FJ319" s="32"/>
      <c r="FK319" s="32"/>
      <c r="FL319" s="32"/>
      <c r="FM319" s="32"/>
      <c r="FN319" s="32"/>
      <c r="FO319" s="32"/>
      <c r="FP319" s="32"/>
      <c r="FQ319" s="32"/>
      <c r="FR319" s="32"/>
      <c r="FS319" s="32"/>
      <c r="FT319" s="32"/>
      <c r="FU319" s="32"/>
      <c r="FV319" s="32"/>
      <c r="FW319" s="32"/>
      <c r="FX319" s="32"/>
      <c r="FY319" s="32"/>
      <c r="FZ319" s="32"/>
      <c r="GA319" s="32"/>
      <c r="GB319" s="32"/>
      <c r="GC319" s="32"/>
      <c r="GD319" s="32"/>
      <c r="GE319" s="32"/>
      <c r="GF319" s="32"/>
      <c r="GG319" s="32"/>
      <c r="GH319" s="32"/>
      <c r="GI319" s="32"/>
      <c r="GJ319" s="32"/>
      <c r="GK319" s="32"/>
      <c r="GL319" s="32"/>
      <c r="GM319" s="32"/>
      <c r="GN319" s="32"/>
      <c r="GO319" s="32"/>
      <c r="GP319" s="32"/>
      <c r="GQ319" s="32"/>
      <c r="GR319" s="32"/>
      <c r="GS319" s="32"/>
      <c r="GT319" s="32"/>
      <c r="GU319" s="32"/>
      <c r="GV319" s="32"/>
      <c r="GW319" s="32"/>
      <c r="GX319" s="32"/>
      <c r="GY319" s="32"/>
      <c r="GZ319" s="32"/>
      <c r="HA319" s="32"/>
      <c r="HB319" s="32"/>
      <c r="HC319" s="32"/>
      <c r="HD319" s="32"/>
      <c r="HE319" s="32"/>
      <c r="HF319" s="32"/>
      <c r="HG319" s="32"/>
      <c r="HH319" s="32"/>
      <c r="HI319" s="32"/>
      <c r="HJ319" s="32"/>
      <c r="HK319" s="32"/>
      <c r="HL319" s="32"/>
      <c r="HM319" s="32"/>
      <c r="HN319" s="32"/>
      <c r="HO319" s="32"/>
      <c r="HP319" s="32"/>
      <c r="HQ319" s="32"/>
      <c r="HR319" s="32"/>
      <c r="HS319" s="32"/>
      <c r="HT319" s="32"/>
      <c r="HU319" s="32"/>
      <c r="HV319" s="32"/>
      <c r="HW319" s="32"/>
      <c r="HX319" s="32"/>
      <c r="HY319" s="32"/>
      <c r="HZ319" s="32"/>
      <c r="IA319" s="32"/>
      <c r="IB319" s="32"/>
      <c r="IC319" s="32"/>
      <c r="ID319" s="32"/>
      <c r="IE319" s="32"/>
      <c r="IF319" s="32"/>
      <c r="IG319" s="32"/>
      <c r="IH319" s="32"/>
      <c r="II319" s="32"/>
      <c r="IJ319" s="32"/>
      <c r="IK319" s="32"/>
      <c r="IL319" s="32"/>
      <c r="IM319" s="32"/>
      <c r="IN319" s="32"/>
      <c r="IO319" s="32"/>
      <c r="IP319" s="32"/>
      <c r="IQ319" s="32"/>
      <c r="IR319" s="32"/>
      <c r="IS319" s="32"/>
      <c r="IT319" s="32"/>
      <c r="IU319" s="32"/>
      <c r="IV319" s="32"/>
      <c r="IW319" s="32"/>
      <c r="IX319" s="32"/>
      <c r="IY319" s="32"/>
      <c r="IZ319" s="32"/>
      <c r="JA319" s="32"/>
      <c r="JB319" s="32"/>
      <c r="JC319" s="32"/>
      <c r="JD319" s="32"/>
      <c r="JE319" s="32"/>
      <c r="JF319" s="32"/>
      <c r="JG319" s="32"/>
      <c r="JH319" s="32"/>
      <c r="JI319" s="32"/>
      <c r="JJ319" s="32"/>
      <c r="JK319" s="32"/>
      <c r="JL319" s="32"/>
      <c r="JM319" s="32"/>
      <c r="JN319" s="32"/>
      <c r="JO319" s="32"/>
      <c r="JP319" s="32"/>
      <c r="JQ319" s="32"/>
      <c r="JR319" s="32"/>
      <c r="JS319" s="32"/>
      <c r="JT319" s="32"/>
      <c r="JU319" s="32"/>
      <c r="JV319" s="32"/>
      <c r="JW319" s="32"/>
      <c r="JX319" s="32"/>
      <c r="JY319" s="32"/>
      <c r="JZ319" s="32"/>
      <c r="KA319" s="32"/>
      <c r="KB319" s="32"/>
      <c r="KC319" s="32"/>
      <c r="KD319" s="32"/>
      <c r="KE319" s="32"/>
      <c r="KF319" s="32"/>
      <c r="KG319" s="32"/>
      <c r="KH319" s="32"/>
      <c r="KI319" s="32"/>
      <c r="KJ319" s="32"/>
      <c r="KK319" s="32"/>
      <c r="KL319" s="32"/>
      <c r="KM319" s="32"/>
      <c r="KN319" s="32"/>
      <c r="KO319" s="32"/>
      <c r="KP319" s="32"/>
      <c r="KQ319" s="32"/>
      <c r="KR319" s="32"/>
      <c r="KS319" s="32"/>
      <c r="KT319" s="32"/>
      <c r="KU319" s="32"/>
      <c r="KV319" s="32"/>
      <c r="KW319" s="32"/>
      <c r="KX319" s="32"/>
      <c r="KY319" s="32"/>
      <c r="KZ319" s="32"/>
      <c r="LA319" s="32"/>
      <c r="LB319" s="32"/>
      <c r="LC319" s="32"/>
      <c r="LD319" s="32"/>
      <c r="LE319" s="32"/>
      <c r="LF319" s="32"/>
      <c r="LG319" s="32"/>
      <c r="LH319" s="32"/>
      <c r="LI319" s="32"/>
      <c r="LJ319" s="32"/>
      <c r="LK319" s="32"/>
      <c r="LL319" s="32"/>
      <c r="LM319" s="32"/>
      <c r="LN319" s="32"/>
      <c r="LO319" s="32"/>
      <c r="LP319" s="32"/>
      <c r="LQ319" s="32"/>
      <c r="LR319" s="32"/>
      <c r="LS319" s="32"/>
      <c r="LT319" s="32"/>
      <c r="LU319" s="32"/>
      <c r="LV319" s="32"/>
      <c r="LW319" s="32"/>
      <c r="LX319" s="32"/>
      <c r="LY319" s="32"/>
      <c r="LZ319" s="32"/>
      <c r="MA319" s="32"/>
      <c r="MB319" s="32"/>
      <c r="MC319" s="32"/>
      <c r="MD319" s="32"/>
      <c r="ME319" s="32"/>
      <c r="MF319" s="32"/>
      <c r="MG319" s="32"/>
      <c r="MH319" s="32"/>
      <c r="MI319" s="32"/>
      <c r="MJ319" s="32"/>
      <c r="MK319" s="32"/>
      <c r="ML319" s="32"/>
      <c r="MM319" s="32"/>
      <c r="MN319" s="32"/>
      <c r="MO319" s="32"/>
      <c r="MP319" s="32"/>
      <c r="MQ319" s="32"/>
      <c r="MR319" s="32"/>
      <c r="MS319" s="32"/>
      <c r="MT319" s="32"/>
      <c r="MU319" s="32"/>
      <c r="MV319" s="32"/>
      <c r="MW319" s="32"/>
      <c r="MX319" s="32"/>
      <c r="MY319" s="32"/>
      <c r="MZ319" s="32"/>
      <c r="NA319" s="32"/>
      <c r="NB319" s="32"/>
      <c r="NC319" s="32"/>
      <c r="ND319" s="32"/>
      <c r="NE319" s="32"/>
      <c r="NF319" s="32"/>
      <c r="NG319" s="32"/>
      <c r="NH319" s="32"/>
      <c r="NI319" s="32"/>
      <c r="NJ319" s="32"/>
      <c r="NK319" s="32"/>
      <c r="NL319" s="32"/>
      <c r="NM319" s="32"/>
      <c r="NN319" s="32"/>
      <c r="NO319" s="32"/>
      <c r="NP319" s="32"/>
      <c r="NQ319" s="32"/>
      <c r="NR319" s="32"/>
      <c r="NS319" s="32"/>
      <c r="NT319" s="32"/>
      <c r="NU319" s="32"/>
      <c r="NV319" s="32"/>
      <c r="NW319" s="32"/>
      <c r="NX319" s="32"/>
      <c r="NY319" s="32"/>
      <c r="NZ319" s="32"/>
      <c r="OA319" s="32"/>
      <c r="OB319" s="32"/>
      <c r="OC319" s="32"/>
      <c r="OD319" s="32"/>
      <c r="OE319" s="32"/>
      <c r="OF319" s="32"/>
      <c r="OG319" s="32"/>
      <c r="OH319" s="32"/>
      <c r="OI319" s="32"/>
      <c r="OJ319" s="32"/>
      <c r="OK319" s="32"/>
      <c r="OL319" s="32"/>
      <c r="OM319" s="32"/>
      <c r="ON319" s="32"/>
      <c r="OO319" s="32"/>
      <c r="OP319" s="32"/>
      <c r="OQ319" s="32"/>
      <c r="OR319" s="32"/>
      <c r="OS319" s="32"/>
      <c r="OT319" s="32"/>
      <c r="OU319" s="32"/>
      <c r="OV319" s="32"/>
      <c r="OW319" s="32"/>
      <c r="OX319" s="32"/>
      <c r="OY319" s="32"/>
      <c r="OZ319" s="32"/>
      <c r="PA319" s="32"/>
      <c r="PB319" s="32"/>
      <c r="PC319" s="32"/>
      <c r="PD319" s="32"/>
      <c r="PE319" s="32"/>
      <c r="PF319" s="32"/>
      <c r="PG319" s="32"/>
      <c r="PH319" s="32"/>
      <c r="PI319" s="32"/>
      <c r="PJ319" s="32"/>
      <c r="PK319" s="32"/>
      <c r="PL319" s="32"/>
      <c r="PM319" s="32"/>
      <c r="PN319" s="32"/>
      <c r="PO319" s="32"/>
      <c r="PP319" s="32"/>
      <c r="PQ319" s="32"/>
      <c r="PR319" s="32"/>
      <c r="PS319" s="32"/>
      <c r="PT319" s="32"/>
      <c r="PU319" s="32"/>
      <c r="PV319" s="32"/>
      <c r="PW319" s="32"/>
      <c r="PX319" s="32"/>
      <c r="PY319" s="32"/>
      <c r="PZ319" s="32"/>
      <c r="QA319" s="32"/>
      <c r="QB319" s="32"/>
      <c r="QC319" s="32"/>
      <c r="QD319" s="32"/>
      <c r="QE319" s="32"/>
      <c r="QF319" s="32"/>
      <c r="QG319" s="32"/>
      <c r="QH319" s="32"/>
      <c r="QI319" s="32"/>
      <c r="QJ319" s="32"/>
      <c r="QK319" s="32"/>
      <c r="QL319" s="32"/>
      <c r="QM319" s="32"/>
      <c r="QN319" s="32"/>
      <c r="QO319" s="32"/>
      <c r="QP319" s="32"/>
      <c r="QQ319" s="32"/>
      <c r="QR319" s="32"/>
      <c r="QS319" s="32"/>
      <c r="QT319" s="32"/>
      <c r="QU319" s="32"/>
      <c r="QV319" s="32"/>
      <c r="QW319" s="32"/>
      <c r="QX319" s="32"/>
      <c r="QY319" s="32"/>
      <c r="QZ319" s="32"/>
      <c r="RA319" s="32"/>
      <c r="RB319" s="32"/>
      <c r="RC319" s="32"/>
      <c r="RD319" s="32"/>
      <c r="RE319" s="32"/>
      <c r="RF319" s="32"/>
      <c r="RG319" s="32"/>
      <c r="RH319" s="32"/>
      <c r="RI319" s="32"/>
      <c r="RJ319" s="32"/>
      <c r="RK319" s="32"/>
      <c r="RL319" s="32"/>
      <c r="RM319" s="32"/>
      <c r="RN319" s="32"/>
      <c r="RO319" s="32"/>
      <c r="RP319" s="32"/>
      <c r="RQ319" s="32"/>
      <c r="RR319" s="32"/>
      <c r="RS319" s="32"/>
      <c r="RT319" s="32"/>
      <c r="RU319" s="32"/>
      <c r="RV319" s="32"/>
      <c r="RW319" s="32"/>
      <c r="RX319" s="32"/>
      <c r="RY319" s="32"/>
      <c r="RZ319" s="32"/>
      <c r="SA319" s="32"/>
      <c r="SB319" s="32"/>
      <c r="SC319" s="32"/>
      <c r="SD319" s="32"/>
      <c r="SE319" s="32"/>
      <c r="SF319" s="32"/>
      <c r="SG319" s="32"/>
      <c r="SH319" s="32"/>
      <c r="SI319" s="32"/>
      <c r="SJ319" s="32"/>
      <c r="SK319" s="32"/>
      <c r="SL319" s="32"/>
      <c r="SM319" s="32"/>
      <c r="SN319" s="32"/>
      <c r="SO319" s="32"/>
      <c r="SP319" s="32"/>
      <c r="SQ319" s="32"/>
      <c r="SR319" s="32"/>
      <c r="SS319" s="32"/>
      <c r="ST319" s="32"/>
      <c r="SU319" s="32"/>
      <c r="SV319" s="32"/>
      <c r="SW319" s="32"/>
      <c r="SX319" s="32"/>
      <c r="SY319" s="32"/>
      <c r="SZ319" s="32"/>
      <c r="TA319" s="32"/>
      <c r="TB319" s="32"/>
      <c r="TC319" s="32"/>
      <c r="TD319" s="32"/>
      <c r="TE319" s="32"/>
      <c r="TF319" s="32"/>
      <c r="TG319" s="32"/>
    </row>
    <row r="320" spans="1:527" s="34" customFormat="1" ht="39.75" customHeight="1" x14ac:dyDescent="0.25">
      <c r="A320" s="119"/>
      <c r="B320" s="109"/>
      <c r="C320" s="97"/>
      <c r="D320" s="77" t="s">
        <v>401</v>
      </c>
      <c r="E320" s="98">
        <f t="shared" ref="E320:P320" si="182">E65+E72+E224+E225+E75+E133+E74</f>
        <v>485697135.60000002</v>
      </c>
      <c r="F320" s="98">
        <f t="shared" si="182"/>
        <v>485697135.60000002</v>
      </c>
      <c r="G320" s="98">
        <f t="shared" si="182"/>
        <v>395816000</v>
      </c>
      <c r="H320" s="98">
        <f t="shared" si="182"/>
        <v>0</v>
      </c>
      <c r="I320" s="98">
        <f t="shared" si="182"/>
        <v>0</v>
      </c>
      <c r="J320" s="98">
        <f t="shared" si="182"/>
        <v>30538873.18</v>
      </c>
      <c r="K320" s="98">
        <f t="shared" si="182"/>
        <v>27045923.18</v>
      </c>
      <c r="L320" s="98">
        <f t="shared" si="182"/>
        <v>0</v>
      </c>
      <c r="M320" s="98">
        <f t="shared" si="182"/>
        <v>0</v>
      </c>
      <c r="N320" s="98">
        <f t="shared" si="182"/>
        <v>0</v>
      </c>
      <c r="O320" s="98">
        <f t="shared" si="182"/>
        <v>30538873.18</v>
      </c>
      <c r="P320" s="98">
        <f t="shared" si="182"/>
        <v>516236008.77999997</v>
      </c>
      <c r="Q320" s="33"/>
      <c r="R320" s="32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  <c r="CH320" s="33"/>
      <c r="CI320" s="33"/>
      <c r="CJ320" s="33"/>
      <c r="CK320" s="33"/>
      <c r="CL320" s="33"/>
      <c r="CM320" s="33"/>
      <c r="CN320" s="33"/>
      <c r="CO320" s="33"/>
      <c r="CP320" s="33"/>
      <c r="CQ320" s="33"/>
      <c r="CR320" s="33"/>
      <c r="CS320" s="33"/>
      <c r="CT320" s="33"/>
      <c r="CU320" s="33"/>
      <c r="CV320" s="33"/>
      <c r="CW320" s="33"/>
      <c r="CX320" s="33"/>
      <c r="CY320" s="33"/>
      <c r="CZ320" s="33"/>
      <c r="DA320" s="33"/>
      <c r="DB320" s="33"/>
      <c r="DC320" s="33"/>
      <c r="DD320" s="33"/>
      <c r="DE320" s="33"/>
      <c r="DF320" s="33"/>
      <c r="DG320" s="33"/>
      <c r="DH320" s="33"/>
      <c r="DI320" s="33"/>
      <c r="DJ320" s="33"/>
      <c r="DK320" s="33"/>
      <c r="DL320" s="33"/>
      <c r="DM320" s="33"/>
      <c r="DN320" s="33"/>
      <c r="DO320" s="33"/>
      <c r="DP320" s="33"/>
      <c r="DQ320" s="33"/>
      <c r="DR320" s="33"/>
      <c r="DS320" s="33"/>
      <c r="DT320" s="33"/>
      <c r="DU320" s="33"/>
      <c r="DV320" s="33"/>
      <c r="DW320" s="33"/>
      <c r="DX320" s="33"/>
      <c r="DY320" s="33"/>
      <c r="DZ320" s="33"/>
      <c r="EA320" s="33"/>
      <c r="EB320" s="33"/>
      <c r="EC320" s="33"/>
      <c r="ED320" s="33"/>
      <c r="EE320" s="33"/>
      <c r="EF320" s="33"/>
      <c r="EG320" s="33"/>
      <c r="EH320" s="33"/>
      <c r="EI320" s="33"/>
      <c r="EJ320" s="33"/>
      <c r="EK320" s="33"/>
      <c r="EL320" s="33"/>
      <c r="EM320" s="33"/>
      <c r="EN320" s="33"/>
      <c r="EO320" s="33"/>
      <c r="EP320" s="33"/>
      <c r="EQ320" s="33"/>
      <c r="ER320" s="33"/>
      <c r="ES320" s="33"/>
      <c r="ET320" s="33"/>
      <c r="EU320" s="33"/>
      <c r="EV320" s="33"/>
      <c r="EW320" s="33"/>
      <c r="EX320" s="33"/>
      <c r="EY320" s="33"/>
      <c r="EZ320" s="33"/>
      <c r="FA320" s="33"/>
      <c r="FB320" s="33"/>
      <c r="FC320" s="33"/>
      <c r="FD320" s="33"/>
      <c r="FE320" s="33"/>
      <c r="FF320" s="33"/>
      <c r="FG320" s="33"/>
      <c r="FH320" s="33"/>
      <c r="FI320" s="33"/>
      <c r="FJ320" s="33"/>
      <c r="FK320" s="33"/>
      <c r="FL320" s="33"/>
      <c r="FM320" s="33"/>
      <c r="FN320" s="33"/>
      <c r="FO320" s="33"/>
      <c r="FP320" s="33"/>
      <c r="FQ320" s="33"/>
      <c r="FR320" s="33"/>
      <c r="FS320" s="33"/>
      <c r="FT320" s="33"/>
      <c r="FU320" s="33"/>
      <c r="FV320" s="33"/>
      <c r="FW320" s="33"/>
      <c r="FX320" s="33"/>
      <c r="FY320" s="33"/>
      <c r="FZ320" s="33"/>
      <c r="GA320" s="33"/>
      <c r="GB320" s="33"/>
      <c r="GC320" s="33"/>
      <c r="GD320" s="33"/>
      <c r="GE320" s="33"/>
      <c r="GF320" s="33"/>
      <c r="GG320" s="33"/>
      <c r="GH320" s="33"/>
      <c r="GI320" s="33"/>
      <c r="GJ320" s="33"/>
      <c r="GK320" s="33"/>
      <c r="GL320" s="33"/>
      <c r="GM320" s="33"/>
      <c r="GN320" s="33"/>
      <c r="GO320" s="33"/>
      <c r="GP320" s="33"/>
      <c r="GQ320" s="33"/>
      <c r="GR320" s="33"/>
      <c r="GS320" s="33"/>
      <c r="GT320" s="33"/>
      <c r="GU320" s="33"/>
      <c r="GV320" s="33"/>
      <c r="GW320" s="33"/>
      <c r="GX320" s="33"/>
      <c r="GY320" s="33"/>
      <c r="GZ320" s="33"/>
      <c r="HA320" s="33"/>
      <c r="HB320" s="33"/>
      <c r="HC320" s="33"/>
      <c r="HD320" s="33"/>
      <c r="HE320" s="33"/>
      <c r="HF320" s="33"/>
      <c r="HG320" s="33"/>
      <c r="HH320" s="33"/>
      <c r="HI320" s="33"/>
      <c r="HJ320" s="33"/>
      <c r="HK320" s="33"/>
      <c r="HL320" s="33"/>
      <c r="HM320" s="33"/>
      <c r="HN320" s="33"/>
      <c r="HO320" s="33"/>
      <c r="HP320" s="33"/>
      <c r="HQ320" s="33"/>
      <c r="HR320" s="33"/>
      <c r="HS320" s="33"/>
      <c r="HT320" s="33"/>
      <c r="HU320" s="33"/>
      <c r="HV320" s="33"/>
      <c r="HW320" s="33"/>
      <c r="HX320" s="33"/>
      <c r="HY320" s="33"/>
      <c r="HZ320" s="33"/>
      <c r="IA320" s="33"/>
      <c r="IB320" s="33"/>
      <c r="IC320" s="33"/>
      <c r="ID320" s="33"/>
      <c r="IE320" s="33"/>
      <c r="IF320" s="33"/>
      <c r="IG320" s="33"/>
      <c r="IH320" s="33"/>
      <c r="II320" s="33"/>
      <c r="IJ320" s="33"/>
      <c r="IK320" s="33"/>
      <c r="IL320" s="33"/>
      <c r="IM320" s="33"/>
      <c r="IN320" s="33"/>
      <c r="IO320" s="33"/>
      <c r="IP320" s="33"/>
      <c r="IQ320" s="33"/>
      <c r="IR320" s="33"/>
      <c r="IS320" s="33"/>
      <c r="IT320" s="33"/>
      <c r="IU320" s="33"/>
      <c r="IV320" s="33"/>
      <c r="IW320" s="33"/>
      <c r="IX320" s="33"/>
      <c r="IY320" s="33"/>
      <c r="IZ320" s="33"/>
      <c r="JA320" s="33"/>
      <c r="JB320" s="33"/>
      <c r="JC320" s="33"/>
      <c r="JD320" s="33"/>
      <c r="JE320" s="33"/>
      <c r="JF320" s="33"/>
      <c r="JG320" s="33"/>
      <c r="JH320" s="33"/>
      <c r="JI320" s="33"/>
      <c r="JJ320" s="33"/>
      <c r="JK320" s="33"/>
      <c r="JL320" s="33"/>
      <c r="JM320" s="33"/>
      <c r="JN320" s="33"/>
      <c r="JO320" s="33"/>
      <c r="JP320" s="33"/>
      <c r="JQ320" s="33"/>
      <c r="JR320" s="33"/>
      <c r="JS320" s="33"/>
      <c r="JT320" s="33"/>
      <c r="JU320" s="33"/>
      <c r="JV320" s="33"/>
      <c r="JW320" s="33"/>
      <c r="JX320" s="33"/>
      <c r="JY320" s="33"/>
      <c r="JZ320" s="33"/>
      <c r="KA320" s="33"/>
      <c r="KB320" s="33"/>
      <c r="KC320" s="33"/>
      <c r="KD320" s="33"/>
      <c r="KE320" s="33"/>
      <c r="KF320" s="33"/>
      <c r="KG320" s="33"/>
      <c r="KH320" s="33"/>
      <c r="KI320" s="33"/>
      <c r="KJ320" s="33"/>
      <c r="KK320" s="33"/>
      <c r="KL320" s="33"/>
      <c r="KM320" s="33"/>
      <c r="KN320" s="33"/>
      <c r="KO320" s="33"/>
      <c r="KP320" s="33"/>
      <c r="KQ320" s="33"/>
      <c r="KR320" s="33"/>
      <c r="KS320" s="33"/>
      <c r="KT320" s="33"/>
      <c r="KU320" s="33"/>
      <c r="KV320" s="33"/>
      <c r="KW320" s="33"/>
      <c r="KX320" s="33"/>
      <c r="KY320" s="33"/>
      <c r="KZ320" s="33"/>
      <c r="LA320" s="33"/>
      <c r="LB320" s="33"/>
      <c r="LC320" s="33"/>
      <c r="LD320" s="33"/>
      <c r="LE320" s="33"/>
      <c r="LF320" s="33"/>
      <c r="LG320" s="33"/>
      <c r="LH320" s="33"/>
      <c r="LI320" s="33"/>
      <c r="LJ320" s="33"/>
      <c r="LK320" s="33"/>
      <c r="LL320" s="33"/>
      <c r="LM320" s="33"/>
      <c r="LN320" s="33"/>
      <c r="LO320" s="33"/>
      <c r="LP320" s="33"/>
      <c r="LQ320" s="33"/>
      <c r="LR320" s="33"/>
      <c r="LS320" s="33"/>
      <c r="LT320" s="33"/>
      <c r="LU320" s="33"/>
      <c r="LV320" s="33"/>
      <c r="LW320" s="33"/>
      <c r="LX320" s="33"/>
      <c r="LY320" s="33"/>
      <c r="LZ320" s="33"/>
      <c r="MA320" s="33"/>
      <c r="MB320" s="33"/>
      <c r="MC320" s="33"/>
      <c r="MD320" s="33"/>
      <c r="ME320" s="33"/>
      <c r="MF320" s="33"/>
      <c r="MG320" s="33"/>
      <c r="MH320" s="33"/>
      <c r="MI320" s="33"/>
      <c r="MJ320" s="33"/>
      <c r="MK320" s="33"/>
      <c r="ML320" s="33"/>
      <c r="MM320" s="33"/>
      <c r="MN320" s="33"/>
      <c r="MO320" s="33"/>
      <c r="MP320" s="33"/>
      <c r="MQ320" s="33"/>
      <c r="MR320" s="33"/>
      <c r="MS320" s="33"/>
      <c r="MT320" s="33"/>
      <c r="MU320" s="33"/>
      <c r="MV320" s="33"/>
      <c r="MW320" s="33"/>
      <c r="MX320" s="33"/>
      <c r="MY320" s="33"/>
      <c r="MZ320" s="33"/>
      <c r="NA320" s="33"/>
      <c r="NB320" s="33"/>
      <c r="NC320" s="33"/>
      <c r="ND320" s="33"/>
      <c r="NE320" s="33"/>
      <c r="NF320" s="33"/>
      <c r="NG320" s="33"/>
      <c r="NH320" s="33"/>
      <c r="NI320" s="33"/>
      <c r="NJ320" s="33"/>
      <c r="NK320" s="33"/>
      <c r="NL320" s="33"/>
      <c r="NM320" s="33"/>
      <c r="NN320" s="33"/>
      <c r="NO320" s="33"/>
      <c r="NP320" s="33"/>
      <c r="NQ320" s="33"/>
      <c r="NR320" s="33"/>
      <c r="NS320" s="33"/>
      <c r="NT320" s="33"/>
      <c r="NU320" s="33"/>
      <c r="NV320" s="33"/>
      <c r="NW320" s="33"/>
      <c r="NX320" s="33"/>
      <c r="NY320" s="33"/>
      <c r="NZ320" s="33"/>
      <c r="OA320" s="33"/>
      <c r="OB320" s="33"/>
      <c r="OC320" s="33"/>
      <c r="OD320" s="33"/>
      <c r="OE320" s="33"/>
      <c r="OF320" s="33"/>
      <c r="OG320" s="33"/>
      <c r="OH320" s="33"/>
      <c r="OI320" s="33"/>
      <c r="OJ320" s="33"/>
      <c r="OK320" s="33"/>
      <c r="OL320" s="33"/>
      <c r="OM320" s="33"/>
      <c r="ON320" s="33"/>
      <c r="OO320" s="33"/>
      <c r="OP320" s="33"/>
      <c r="OQ320" s="33"/>
      <c r="OR320" s="33"/>
      <c r="OS320" s="33"/>
      <c r="OT320" s="33"/>
      <c r="OU320" s="33"/>
      <c r="OV320" s="33"/>
      <c r="OW320" s="33"/>
      <c r="OX320" s="33"/>
      <c r="OY320" s="33"/>
      <c r="OZ320" s="33"/>
      <c r="PA320" s="33"/>
      <c r="PB320" s="33"/>
      <c r="PC320" s="33"/>
      <c r="PD320" s="33"/>
      <c r="PE320" s="33"/>
      <c r="PF320" s="33"/>
      <c r="PG320" s="33"/>
      <c r="PH320" s="33"/>
      <c r="PI320" s="33"/>
      <c r="PJ320" s="33"/>
      <c r="PK320" s="33"/>
      <c r="PL320" s="33"/>
      <c r="PM320" s="33"/>
      <c r="PN320" s="33"/>
      <c r="PO320" s="33"/>
      <c r="PP320" s="33"/>
      <c r="PQ320" s="33"/>
      <c r="PR320" s="33"/>
      <c r="PS320" s="33"/>
      <c r="PT320" s="33"/>
      <c r="PU320" s="33"/>
      <c r="PV320" s="33"/>
      <c r="PW320" s="33"/>
      <c r="PX320" s="33"/>
      <c r="PY320" s="33"/>
      <c r="PZ320" s="33"/>
      <c r="QA320" s="33"/>
      <c r="QB320" s="33"/>
      <c r="QC320" s="33"/>
      <c r="QD320" s="33"/>
      <c r="QE320" s="33"/>
      <c r="QF320" s="33"/>
      <c r="QG320" s="33"/>
      <c r="QH320" s="33"/>
      <c r="QI320" s="33"/>
      <c r="QJ320" s="33"/>
      <c r="QK320" s="33"/>
      <c r="QL320" s="33"/>
      <c r="QM320" s="33"/>
      <c r="QN320" s="33"/>
      <c r="QO320" s="33"/>
      <c r="QP320" s="33"/>
      <c r="QQ320" s="33"/>
      <c r="QR320" s="33"/>
      <c r="QS320" s="33"/>
      <c r="QT320" s="33"/>
      <c r="QU320" s="33"/>
      <c r="QV320" s="33"/>
      <c r="QW320" s="33"/>
      <c r="QX320" s="33"/>
      <c r="QY320" s="33"/>
      <c r="QZ320" s="33"/>
      <c r="RA320" s="33"/>
      <c r="RB320" s="33"/>
      <c r="RC320" s="33"/>
      <c r="RD320" s="33"/>
      <c r="RE320" s="33"/>
      <c r="RF320" s="33"/>
      <c r="RG320" s="33"/>
      <c r="RH320" s="33"/>
      <c r="RI320" s="33"/>
      <c r="RJ320" s="33"/>
      <c r="RK320" s="33"/>
      <c r="RL320" s="33"/>
      <c r="RM320" s="33"/>
      <c r="RN320" s="33"/>
      <c r="RO320" s="33"/>
      <c r="RP320" s="33"/>
      <c r="RQ320" s="33"/>
      <c r="RR320" s="33"/>
      <c r="RS320" s="33"/>
      <c r="RT320" s="33"/>
      <c r="RU320" s="33"/>
      <c r="RV320" s="33"/>
      <c r="RW320" s="33"/>
      <c r="RX320" s="33"/>
      <c r="RY320" s="33"/>
      <c r="RZ320" s="33"/>
      <c r="SA320" s="33"/>
      <c r="SB320" s="33"/>
      <c r="SC320" s="33"/>
      <c r="SD320" s="33"/>
      <c r="SE320" s="33"/>
      <c r="SF320" s="33"/>
      <c r="SG320" s="33"/>
      <c r="SH320" s="33"/>
      <c r="SI320" s="33"/>
      <c r="SJ320" s="33"/>
      <c r="SK320" s="33"/>
      <c r="SL320" s="33"/>
      <c r="SM320" s="33"/>
      <c r="SN320" s="33"/>
      <c r="SO320" s="33"/>
      <c r="SP320" s="33"/>
      <c r="SQ320" s="33"/>
      <c r="SR320" s="33"/>
      <c r="SS320" s="33"/>
      <c r="ST320" s="33"/>
      <c r="SU320" s="33"/>
      <c r="SV320" s="33"/>
      <c r="SW320" s="33"/>
      <c r="SX320" s="33"/>
      <c r="SY320" s="33"/>
      <c r="SZ320" s="33"/>
      <c r="TA320" s="33"/>
      <c r="TB320" s="33"/>
      <c r="TC320" s="33"/>
      <c r="TD320" s="33"/>
      <c r="TE320" s="33"/>
      <c r="TF320" s="33"/>
      <c r="TG320" s="33"/>
    </row>
    <row r="321" spans="1:527" s="34" customFormat="1" ht="37.5" customHeight="1" x14ac:dyDescent="0.25">
      <c r="A321" s="119"/>
      <c r="B321" s="109"/>
      <c r="C321" s="97"/>
      <c r="D321" s="77" t="s">
        <v>402</v>
      </c>
      <c r="E321" s="98">
        <f t="shared" ref="E321:P321" si="183">E19+E68+E70+E165+E67+E71+E132+E73+E76+E134+E166+E167+E227+E204+E226</f>
        <v>32375819.030000001</v>
      </c>
      <c r="F321" s="98">
        <f t="shared" si="183"/>
        <v>32375819.030000001</v>
      </c>
      <c r="G321" s="98">
        <f t="shared" si="183"/>
        <v>4263524</v>
      </c>
      <c r="H321" s="98">
        <f t="shared" si="183"/>
        <v>0</v>
      </c>
      <c r="I321" s="98">
        <f t="shared" si="183"/>
        <v>0</v>
      </c>
      <c r="J321" s="98">
        <f t="shared" si="183"/>
        <v>20538071.050000001</v>
      </c>
      <c r="K321" s="98">
        <f t="shared" si="183"/>
        <v>20538071.050000001</v>
      </c>
      <c r="L321" s="98">
        <f t="shared" si="183"/>
        <v>0</v>
      </c>
      <c r="M321" s="98">
        <f t="shared" si="183"/>
        <v>0</v>
      </c>
      <c r="N321" s="98">
        <f t="shared" si="183"/>
        <v>0</v>
      </c>
      <c r="O321" s="98">
        <f t="shared" si="183"/>
        <v>20538071.050000001</v>
      </c>
      <c r="P321" s="98">
        <f t="shared" si="183"/>
        <v>52913890.080000006</v>
      </c>
      <c r="Q321" s="33"/>
      <c r="R321" s="32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  <c r="BZ321" s="33"/>
      <c r="CA321" s="33"/>
      <c r="CB321" s="33"/>
      <c r="CC321" s="33"/>
      <c r="CD321" s="33"/>
      <c r="CE321" s="33"/>
      <c r="CF321" s="33"/>
      <c r="CG321" s="33"/>
      <c r="CH321" s="33"/>
      <c r="CI321" s="33"/>
      <c r="CJ321" s="33"/>
      <c r="CK321" s="33"/>
      <c r="CL321" s="33"/>
      <c r="CM321" s="33"/>
      <c r="CN321" s="33"/>
      <c r="CO321" s="33"/>
      <c r="CP321" s="33"/>
      <c r="CQ321" s="33"/>
      <c r="CR321" s="33"/>
      <c r="CS321" s="33"/>
      <c r="CT321" s="33"/>
      <c r="CU321" s="33"/>
      <c r="CV321" s="33"/>
      <c r="CW321" s="33"/>
      <c r="CX321" s="33"/>
      <c r="CY321" s="33"/>
      <c r="CZ321" s="33"/>
      <c r="DA321" s="33"/>
      <c r="DB321" s="33"/>
      <c r="DC321" s="33"/>
      <c r="DD321" s="33"/>
      <c r="DE321" s="33"/>
      <c r="DF321" s="33"/>
      <c r="DG321" s="33"/>
      <c r="DH321" s="33"/>
      <c r="DI321" s="33"/>
      <c r="DJ321" s="33"/>
      <c r="DK321" s="33"/>
      <c r="DL321" s="33"/>
      <c r="DM321" s="33"/>
      <c r="DN321" s="33"/>
      <c r="DO321" s="33"/>
      <c r="DP321" s="33"/>
      <c r="DQ321" s="33"/>
      <c r="DR321" s="33"/>
      <c r="DS321" s="33"/>
      <c r="DT321" s="33"/>
      <c r="DU321" s="33"/>
      <c r="DV321" s="33"/>
      <c r="DW321" s="33"/>
      <c r="DX321" s="33"/>
      <c r="DY321" s="33"/>
      <c r="DZ321" s="33"/>
      <c r="EA321" s="33"/>
      <c r="EB321" s="33"/>
      <c r="EC321" s="33"/>
      <c r="ED321" s="33"/>
      <c r="EE321" s="33"/>
      <c r="EF321" s="33"/>
      <c r="EG321" s="33"/>
      <c r="EH321" s="33"/>
      <c r="EI321" s="33"/>
      <c r="EJ321" s="33"/>
      <c r="EK321" s="33"/>
      <c r="EL321" s="33"/>
      <c r="EM321" s="33"/>
      <c r="EN321" s="33"/>
      <c r="EO321" s="33"/>
      <c r="EP321" s="33"/>
      <c r="EQ321" s="33"/>
      <c r="ER321" s="33"/>
      <c r="ES321" s="33"/>
      <c r="ET321" s="33"/>
      <c r="EU321" s="33"/>
      <c r="EV321" s="33"/>
      <c r="EW321" s="33"/>
      <c r="EX321" s="33"/>
      <c r="EY321" s="33"/>
      <c r="EZ321" s="33"/>
      <c r="FA321" s="33"/>
      <c r="FB321" s="33"/>
      <c r="FC321" s="33"/>
      <c r="FD321" s="33"/>
      <c r="FE321" s="33"/>
      <c r="FF321" s="33"/>
      <c r="FG321" s="33"/>
      <c r="FH321" s="33"/>
      <c r="FI321" s="33"/>
      <c r="FJ321" s="33"/>
      <c r="FK321" s="33"/>
      <c r="FL321" s="33"/>
      <c r="FM321" s="33"/>
      <c r="FN321" s="33"/>
      <c r="FO321" s="33"/>
      <c r="FP321" s="33"/>
      <c r="FQ321" s="33"/>
      <c r="FR321" s="33"/>
      <c r="FS321" s="33"/>
      <c r="FT321" s="33"/>
      <c r="FU321" s="33"/>
      <c r="FV321" s="33"/>
      <c r="FW321" s="33"/>
      <c r="FX321" s="33"/>
      <c r="FY321" s="33"/>
      <c r="FZ321" s="33"/>
      <c r="GA321" s="33"/>
      <c r="GB321" s="33"/>
      <c r="GC321" s="33"/>
      <c r="GD321" s="33"/>
      <c r="GE321" s="33"/>
      <c r="GF321" s="33"/>
      <c r="GG321" s="33"/>
      <c r="GH321" s="33"/>
      <c r="GI321" s="33"/>
      <c r="GJ321" s="33"/>
      <c r="GK321" s="33"/>
      <c r="GL321" s="33"/>
      <c r="GM321" s="33"/>
      <c r="GN321" s="33"/>
      <c r="GO321" s="33"/>
      <c r="GP321" s="33"/>
      <c r="GQ321" s="33"/>
      <c r="GR321" s="33"/>
      <c r="GS321" s="33"/>
      <c r="GT321" s="33"/>
      <c r="GU321" s="33"/>
      <c r="GV321" s="33"/>
      <c r="GW321" s="33"/>
      <c r="GX321" s="33"/>
      <c r="GY321" s="33"/>
      <c r="GZ321" s="33"/>
      <c r="HA321" s="33"/>
      <c r="HB321" s="33"/>
      <c r="HC321" s="33"/>
      <c r="HD321" s="33"/>
      <c r="HE321" s="33"/>
      <c r="HF321" s="33"/>
      <c r="HG321" s="33"/>
      <c r="HH321" s="33"/>
      <c r="HI321" s="33"/>
      <c r="HJ321" s="33"/>
      <c r="HK321" s="33"/>
      <c r="HL321" s="33"/>
      <c r="HM321" s="33"/>
      <c r="HN321" s="33"/>
      <c r="HO321" s="33"/>
      <c r="HP321" s="33"/>
      <c r="HQ321" s="33"/>
      <c r="HR321" s="33"/>
      <c r="HS321" s="33"/>
      <c r="HT321" s="33"/>
      <c r="HU321" s="33"/>
      <c r="HV321" s="33"/>
      <c r="HW321" s="33"/>
      <c r="HX321" s="33"/>
      <c r="HY321" s="33"/>
      <c r="HZ321" s="33"/>
      <c r="IA321" s="33"/>
      <c r="IB321" s="33"/>
      <c r="IC321" s="33"/>
      <c r="ID321" s="33"/>
      <c r="IE321" s="33"/>
      <c r="IF321" s="33"/>
      <c r="IG321" s="33"/>
      <c r="IH321" s="33"/>
      <c r="II321" s="33"/>
      <c r="IJ321" s="33"/>
      <c r="IK321" s="33"/>
      <c r="IL321" s="33"/>
      <c r="IM321" s="33"/>
      <c r="IN321" s="33"/>
      <c r="IO321" s="33"/>
      <c r="IP321" s="33"/>
      <c r="IQ321" s="33"/>
      <c r="IR321" s="33"/>
      <c r="IS321" s="33"/>
      <c r="IT321" s="33"/>
      <c r="IU321" s="33"/>
      <c r="IV321" s="33"/>
      <c r="IW321" s="33"/>
      <c r="IX321" s="33"/>
      <c r="IY321" s="33"/>
      <c r="IZ321" s="33"/>
      <c r="JA321" s="33"/>
      <c r="JB321" s="33"/>
      <c r="JC321" s="33"/>
      <c r="JD321" s="33"/>
      <c r="JE321" s="33"/>
      <c r="JF321" s="33"/>
      <c r="JG321" s="33"/>
      <c r="JH321" s="33"/>
      <c r="JI321" s="33"/>
      <c r="JJ321" s="33"/>
      <c r="JK321" s="33"/>
      <c r="JL321" s="33"/>
      <c r="JM321" s="33"/>
      <c r="JN321" s="33"/>
      <c r="JO321" s="33"/>
      <c r="JP321" s="33"/>
      <c r="JQ321" s="33"/>
      <c r="JR321" s="33"/>
      <c r="JS321" s="33"/>
      <c r="JT321" s="33"/>
      <c r="JU321" s="33"/>
      <c r="JV321" s="33"/>
      <c r="JW321" s="33"/>
      <c r="JX321" s="33"/>
      <c r="JY321" s="33"/>
      <c r="JZ321" s="33"/>
      <c r="KA321" s="33"/>
      <c r="KB321" s="33"/>
      <c r="KC321" s="33"/>
      <c r="KD321" s="33"/>
      <c r="KE321" s="33"/>
      <c r="KF321" s="33"/>
      <c r="KG321" s="33"/>
      <c r="KH321" s="33"/>
      <c r="KI321" s="33"/>
      <c r="KJ321" s="33"/>
      <c r="KK321" s="33"/>
      <c r="KL321" s="33"/>
      <c r="KM321" s="33"/>
      <c r="KN321" s="33"/>
      <c r="KO321" s="33"/>
      <c r="KP321" s="33"/>
      <c r="KQ321" s="33"/>
      <c r="KR321" s="33"/>
      <c r="KS321" s="33"/>
      <c r="KT321" s="33"/>
      <c r="KU321" s="33"/>
      <c r="KV321" s="33"/>
      <c r="KW321" s="33"/>
      <c r="KX321" s="33"/>
      <c r="KY321" s="33"/>
      <c r="KZ321" s="33"/>
      <c r="LA321" s="33"/>
      <c r="LB321" s="33"/>
      <c r="LC321" s="33"/>
      <c r="LD321" s="33"/>
      <c r="LE321" s="33"/>
      <c r="LF321" s="33"/>
      <c r="LG321" s="33"/>
      <c r="LH321" s="33"/>
      <c r="LI321" s="33"/>
      <c r="LJ321" s="33"/>
      <c r="LK321" s="33"/>
      <c r="LL321" s="33"/>
      <c r="LM321" s="33"/>
      <c r="LN321" s="33"/>
      <c r="LO321" s="33"/>
      <c r="LP321" s="33"/>
      <c r="LQ321" s="33"/>
      <c r="LR321" s="33"/>
      <c r="LS321" s="33"/>
      <c r="LT321" s="33"/>
      <c r="LU321" s="33"/>
      <c r="LV321" s="33"/>
      <c r="LW321" s="33"/>
      <c r="LX321" s="33"/>
      <c r="LY321" s="33"/>
      <c r="LZ321" s="33"/>
      <c r="MA321" s="33"/>
      <c r="MB321" s="33"/>
      <c r="MC321" s="33"/>
      <c r="MD321" s="33"/>
      <c r="ME321" s="33"/>
      <c r="MF321" s="33"/>
      <c r="MG321" s="33"/>
      <c r="MH321" s="33"/>
      <c r="MI321" s="33"/>
      <c r="MJ321" s="33"/>
      <c r="MK321" s="33"/>
      <c r="ML321" s="33"/>
      <c r="MM321" s="33"/>
      <c r="MN321" s="33"/>
      <c r="MO321" s="33"/>
      <c r="MP321" s="33"/>
      <c r="MQ321" s="33"/>
      <c r="MR321" s="33"/>
      <c r="MS321" s="33"/>
      <c r="MT321" s="33"/>
      <c r="MU321" s="33"/>
      <c r="MV321" s="33"/>
      <c r="MW321" s="33"/>
      <c r="MX321" s="33"/>
      <c r="MY321" s="33"/>
      <c r="MZ321" s="33"/>
      <c r="NA321" s="33"/>
      <c r="NB321" s="33"/>
      <c r="NC321" s="33"/>
      <c r="ND321" s="33"/>
      <c r="NE321" s="33"/>
      <c r="NF321" s="33"/>
      <c r="NG321" s="33"/>
      <c r="NH321" s="33"/>
      <c r="NI321" s="33"/>
      <c r="NJ321" s="33"/>
      <c r="NK321" s="33"/>
      <c r="NL321" s="33"/>
      <c r="NM321" s="33"/>
      <c r="NN321" s="33"/>
      <c r="NO321" s="33"/>
      <c r="NP321" s="33"/>
      <c r="NQ321" s="33"/>
      <c r="NR321" s="33"/>
      <c r="NS321" s="33"/>
      <c r="NT321" s="33"/>
      <c r="NU321" s="33"/>
      <c r="NV321" s="33"/>
      <c r="NW321" s="33"/>
      <c r="NX321" s="33"/>
      <c r="NY321" s="33"/>
      <c r="NZ321" s="33"/>
      <c r="OA321" s="33"/>
      <c r="OB321" s="33"/>
      <c r="OC321" s="33"/>
      <c r="OD321" s="33"/>
      <c r="OE321" s="33"/>
      <c r="OF321" s="33"/>
      <c r="OG321" s="33"/>
      <c r="OH321" s="33"/>
      <c r="OI321" s="33"/>
      <c r="OJ321" s="33"/>
      <c r="OK321" s="33"/>
      <c r="OL321" s="33"/>
      <c r="OM321" s="33"/>
      <c r="ON321" s="33"/>
      <c r="OO321" s="33"/>
      <c r="OP321" s="33"/>
      <c r="OQ321" s="33"/>
      <c r="OR321" s="33"/>
      <c r="OS321" s="33"/>
      <c r="OT321" s="33"/>
      <c r="OU321" s="33"/>
      <c r="OV321" s="33"/>
      <c r="OW321" s="33"/>
      <c r="OX321" s="33"/>
      <c r="OY321" s="33"/>
      <c r="OZ321" s="33"/>
      <c r="PA321" s="33"/>
      <c r="PB321" s="33"/>
      <c r="PC321" s="33"/>
      <c r="PD321" s="33"/>
      <c r="PE321" s="33"/>
      <c r="PF321" s="33"/>
      <c r="PG321" s="33"/>
      <c r="PH321" s="33"/>
      <c r="PI321" s="33"/>
      <c r="PJ321" s="33"/>
      <c r="PK321" s="33"/>
      <c r="PL321" s="33"/>
      <c r="PM321" s="33"/>
      <c r="PN321" s="33"/>
      <c r="PO321" s="33"/>
      <c r="PP321" s="33"/>
      <c r="PQ321" s="33"/>
      <c r="PR321" s="33"/>
      <c r="PS321" s="33"/>
      <c r="PT321" s="33"/>
      <c r="PU321" s="33"/>
      <c r="PV321" s="33"/>
      <c r="PW321" s="33"/>
      <c r="PX321" s="33"/>
      <c r="PY321" s="33"/>
      <c r="PZ321" s="33"/>
      <c r="QA321" s="33"/>
      <c r="QB321" s="33"/>
      <c r="QC321" s="33"/>
      <c r="QD321" s="33"/>
      <c r="QE321" s="33"/>
      <c r="QF321" s="33"/>
      <c r="QG321" s="33"/>
      <c r="QH321" s="33"/>
      <c r="QI321" s="33"/>
      <c r="QJ321" s="33"/>
      <c r="QK321" s="33"/>
      <c r="QL321" s="33"/>
      <c r="QM321" s="33"/>
      <c r="QN321" s="33"/>
      <c r="QO321" s="33"/>
      <c r="QP321" s="33"/>
      <c r="QQ321" s="33"/>
      <c r="QR321" s="33"/>
      <c r="QS321" s="33"/>
      <c r="QT321" s="33"/>
      <c r="QU321" s="33"/>
      <c r="QV321" s="33"/>
      <c r="QW321" s="33"/>
      <c r="QX321" s="33"/>
      <c r="QY321" s="33"/>
      <c r="QZ321" s="33"/>
      <c r="RA321" s="33"/>
      <c r="RB321" s="33"/>
      <c r="RC321" s="33"/>
      <c r="RD321" s="33"/>
      <c r="RE321" s="33"/>
      <c r="RF321" s="33"/>
      <c r="RG321" s="33"/>
      <c r="RH321" s="33"/>
      <c r="RI321" s="33"/>
      <c r="RJ321" s="33"/>
      <c r="RK321" s="33"/>
      <c r="RL321" s="33"/>
      <c r="RM321" s="33"/>
      <c r="RN321" s="33"/>
      <c r="RO321" s="33"/>
      <c r="RP321" s="33"/>
      <c r="RQ321" s="33"/>
      <c r="RR321" s="33"/>
      <c r="RS321" s="33"/>
      <c r="RT321" s="33"/>
      <c r="RU321" s="33"/>
      <c r="RV321" s="33"/>
      <c r="RW321" s="33"/>
      <c r="RX321" s="33"/>
      <c r="RY321" s="33"/>
      <c r="RZ321" s="33"/>
      <c r="SA321" s="33"/>
      <c r="SB321" s="33"/>
      <c r="SC321" s="33"/>
      <c r="SD321" s="33"/>
      <c r="SE321" s="33"/>
      <c r="SF321" s="33"/>
      <c r="SG321" s="33"/>
      <c r="SH321" s="33"/>
      <c r="SI321" s="33"/>
      <c r="SJ321" s="33"/>
      <c r="SK321" s="33"/>
      <c r="SL321" s="33"/>
      <c r="SM321" s="33"/>
      <c r="SN321" s="33"/>
      <c r="SO321" s="33"/>
      <c r="SP321" s="33"/>
      <c r="SQ321" s="33"/>
      <c r="SR321" s="33"/>
      <c r="SS321" s="33"/>
      <c r="ST321" s="33"/>
      <c r="SU321" s="33"/>
      <c r="SV321" s="33"/>
      <c r="SW321" s="33"/>
      <c r="SX321" s="33"/>
      <c r="SY321" s="33"/>
      <c r="SZ321" s="33"/>
      <c r="TA321" s="33"/>
      <c r="TB321" s="33"/>
      <c r="TC321" s="33"/>
      <c r="TD321" s="33"/>
      <c r="TE321" s="33"/>
      <c r="TF321" s="33"/>
      <c r="TG321" s="33"/>
    </row>
    <row r="322" spans="1:527" s="34" customFormat="1" ht="26.25" customHeight="1" x14ac:dyDescent="0.25">
      <c r="A322" s="96"/>
      <c r="B322" s="109"/>
      <c r="C322" s="109"/>
      <c r="D322" s="83" t="s">
        <v>419</v>
      </c>
      <c r="E322" s="98">
        <f t="shared" ref="E322:P322" si="184">E135+E270+E228</f>
        <v>0</v>
      </c>
      <c r="F322" s="98">
        <f t="shared" si="184"/>
        <v>0</v>
      </c>
      <c r="G322" s="98">
        <f t="shared" si="184"/>
        <v>0</v>
      </c>
      <c r="H322" s="98">
        <f t="shared" si="184"/>
        <v>0</v>
      </c>
      <c r="I322" s="98">
        <f t="shared" si="184"/>
        <v>0</v>
      </c>
      <c r="J322" s="98">
        <f t="shared" si="184"/>
        <v>127771665.12</v>
      </c>
      <c r="K322" s="98">
        <f t="shared" si="184"/>
        <v>127771665.12</v>
      </c>
      <c r="L322" s="98">
        <f t="shared" si="184"/>
        <v>0</v>
      </c>
      <c r="M322" s="98">
        <f t="shared" si="184"/>
        <v>0</v>
      </c>
      <c r="N322" s="98">
        <f t="shared" si="184"/>
        <v>0</v>
      </c>
      <c r="O322" s="98">
        <f t="shared" si="184"/>
        <v>127771665.12</v>
      </c>
      <c r="P322" s="98">
        <f t="shared" si="184"/>
        <v>127771665.12</v>
      </c>
      <c r="Q322" s="33"/>
      <c r="R322" s="32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3"/>
      <c r="BN322" s="33"/>
      <c r="BO322" s="33"/>
      <c r="BP322" s="33"/>
      <c r="BQ322" s="33"/>
      <c r="BR322" s="33"/>
      <c r="BS322" s="33"/>
      <c r="BT322" s="33"/>
      <c r="BU322" s="33"/>
      <c r="BV322" s="33"/>
      <c r="BW322" s="33"/>
      <c r="BX322" s="33"/>
      <c r="BY322" s="33"/>
      <c r="BZ322" s="33"/>
      <c r="CA322" s="33"/>
      <c r="CB322" s="33"/>
      <c r="CC322" s="33"/>
      <c r="CD322" s="33"/>
      <c r="CE322" s="33"/>
      <c r="CF322" s="33"/>
      <c r="CG322" s="33"/>
      <c r="CH322" s="33"/>
      <c r="CI322" s="33"/>
      <c r="CJ322" s="33"/>
      <c r="CK322" s="33"/>
      <c r="CL322" s="33"/>
      <c r="CM322" s="33"/>
      <c r="CN322" s="33"/>
      <c r="CO322" s="33"/>
      <c r="CP322" s="33"/>
      <c r="CQ322" s="33"/>
      <c r="CR322" s="33"/>
      <c r="CS322" s="33"/>
      <c r="CT322" s="33"/>
      <c r="CU322" s="33"/>
      <c r="CV322" s="33"/>
      <c r="CW322" s="33"/>
      <c r="CX322" s="33"/>
      <c r="CY322" s="33"/>
      <c r="CZ322" s="33"/>
      <c r="DA322" s="33"/>
      <c r="DB322" s="33"/>
      <c r="DC322" s="33"/>
      <c r="DD322" s="33"/>
      <c r="DE322" s="33"/>
      <c r="DF322" s="33"/>
      <c r="DG322" s="33"/>
      <c r="DH322" s="33"/>
      <c r="DI322" s="33"/>
      <c r="DJ322" s="33"/>
      <c r="DK322" s="33"/>
      <c r="DL322" s="33"/>
      <c r="DM322" s="33"/>
      <c r="DN322" s="33"/>
      <c r="DO322" s="33"/>
      <c r="DP322" s="33"/>
      <c r="DQ322" s="33"/>
      <c r="DR322" s="33"/>
      <c r="DS322" s="33"/>
      <c r="DT322" s="33"/>
      <c r="DU322" s="33"/>
      <c r="DV322" s="33"/>
      <c r="DW322" s="33"/>
      <c r="DX322" s="33"/>
      <c r="DY322" s="33"/>
      <c r="DZ322" s="33"/>
      <c r="EA322" s="33"/>
      <c r="EB322" s="33"/>
      <c r="EC322" s="33"/>
      <c r="ED322" s="33"/>
      <c r="EE322" s="33"/>
      <c r="EF322" s="33"/>
      <c r="EG322" s="33"/>
      <c r="EH322" s="33"/>
      <c r="EI322" s="33"/>
      <c r="EJ322" s="33"/>
      <c r="EK322" s="33"/>
      <c r="EL322" s="33"/>
      <c r="EM322" s="33"/>
      <c r="EN322" s="33"/>
      <c r="EO322" s="33"/>
      <c r="EP322" s="33"/>
      <c r="EQ322" s="33"/>
      <c r="ER322" s="33"/>
      <c r="ES322" s="33"/>
      <c r="ET322" s="33"/>
      <c r="EU322" s="33"/>
      <c r="EV322" s="33"/>
      <c r="EW322" s="33"/>
      <c r="EX322" s="33"/>
      <c r="EY322" s="33"/>
      <c r="EZ322" s="33"/>
      <c r="FA322" s="33"/>
      <c r="FB322" s="33"/>
      <c r="FC322" s="33"/>
      <c r="FD322" s="33"/>
      <c r="FE322" s="33"/>
      <c r="FF322" s="33"/>
      <c r="FG322" s="33"/>
      <c r="FH322" s="33"/>
      <c r="FI322" s="33"/>
      <c r="FJ322" s="33"/>
      <c r="FK322" s="33"/>
      <c r="FL322" s="33"/>
      <c r="FM322" s="33"/>
      <c r="FN322" s="33"/>
      <c r="FO322" s="33"/>
      <c r="FP322" s="33"/>
      <c r="FQ322" s="33"/>
      <c r="FR322" s="33"/>
      <c r="FS322" s="33"/>
      <c r="FT322" s="33"/>
      <c r="FU322" s="33"/>
      <c r="FV322" s="33"/>
      <c r="FW322" s="33"/>
      <c r="FX322" s="33"/>
      <c r="FY322" s="33"/>
      <c r="FZ322" s="33"/>
      <c r="GA322" s="33"/>
      <c r="GB322" s="33"/>
      <c r="GC322" s="33"/>
      <c r="GD322" s="33"/>
      <c r="GE322" s="33"/>
      <c r="GF322" s="33"/>
      <c r="GG322" s="33"/>
      <c r="GH322" s="33"/>
      <c r="GI322" s="33"/>
      <c r="GJ322" s="33"/>
      <c r="GK322" s="33"/>
      <c r="GL322" s="33"/>
      <c r="GM322" s="33"/>
      <c r="GN322" s="33"/>
      <c r="GO322" s="33"/>
      <c r="GP322" s="33"/>
      <c r="GQ322" s="33"/>
      <c r="GR322" s="33"/>
      <c r="GS322" s="33"/>
      <c r="GT322" s="33"/>
      <c r="GU322" s="33"/>
      <c r="GV322" s="33"/>
      <c r="GW322" s="33"/>
      <c r="GX322" s="33"/>
      <c r="GY322" s="33"/>
      <c r="GZ322" s="33"/>
      <c r="HA322" s="33"/>
      <c r="HB322" s="33"/>
      <c r="HC322" s="33"/>
      <c r="HD322" s="33"/>
      <c r="HE322" s="33"/>
      <c r="HF322" s="33"/>
      <c r="HG322" s="33"/>
      <c r="HH322" s="33"/>
      <c r="HI322" s="33"/>
      <c r="HJ322" s="33"/>
      <c r="HK322" s="33"/>
      <c r="HL322" s="33"/>
      <c r="HM322" s="33"/>
      <c r="HN322" s="33"/>
      <c r="HO322" s="33"/>
      <c r="HP322" s="33"/>
      <c r="HQ322" s="33"/>
      <c r="HR322" s="33"/>
      <c r="HS322" s="33"/>
      <c r="HT322" s="33"/>
      <c r="HU322" s="33"/>
      <c r="HV322" s="33"/>
      <c r="HW322" s="33"/>
      <c r="HX322" s="33"/>
      <c r="HY322" s="33"/>
      <c r="HZ322" s="33"/>
      <c r="IA322" s="33"/>
      <c r="IB322" s="33"/>
      <c r="IC322" s="33"/>
      <c r="ID322" s="33"/>
      <c r="IE322" s="33"/>
      <c r="IF322" s="33"/>
      <c r="IG322" s="33"/>
      <c r="IH322" s="33"/>
      <c r="II322" s="33"/>
      <c r="IJ322" s="33"/>
      <c r="IK322" s="33"/>
      <c r="IL322" s="33"/>
      <c r="IM322" s="33"/>
      <c r="IN322" s="33"/>
      <c r="IO322" s="33"/>
      <c r="IP322" s="33"/>
      <c r="IQ322" s="33"/>
      <c r="IR322" s="33"/>
      <c r="IS322" s="33"/>
      <c r="IT322" s="33"/>
      <c r="IU322" s="33"/>
      <c r="IV322" s="33"/>
      <c r="IW322" s="33"/>
      <c r="IX322" s="33"/>
      <c r="IY322" s="33"/>
      <c r="IZ322" s="33"/>
      <c r="JA322" s="33"/>
      <c r="JB322" s="33"/>
      <c r="JC322" s="33"/>
      <c r="JD322" s="33"/>
      <c r="JE322" s="33"/>
      <c r="JF322" s="33"/>
      <c r="JG322" s="33"/>
      <c r="JH322" s="33"/>
      <c r="JI322" s="33"/>
      <c r="JJ322" s="33"/>
      <c r="JK322" s="33"/>
      <c r="JL322" s="33"/>
      <c r="JM322" s="33"/>
      <c r="JN322" s="33"/>
      <c r="JO322" s="33"/>
      <c r="JP322" s="33"/>
      <c r="JQ322" s="33"/>
      <c r="JR322" s="33"/>
      <c r="JS322" s="33"/>
      <c r="JT322" s="33"/>
      <c r="JU322" s="33"/>
      <c r="JV322" s="33"/>
      <c r="JW322" s="33"/>
      <c r="JX322" s="33"/>
      <c r="JY322" s="33"/>
      <c r="JZ322" s="33"/>
      <c r="KA322" s="33"/>
      <c r="KB322" s="33"/>
      <c r="KC322" s="33"/>
      <c r="KD322" s="33"/>
      <c r="KE322" s="33"/>
      <c r="KF322" s="33"/>
      <c r="KG322" s="33"/>
      <c r="KH322" s="33"/>
      <c r="KI322" s="33"/>
      <c r="KJ322" s="33"/>
      <c r="KK322" s="33"/>
      <c r="KL322" s="33"/>
      <c r="KM322" s="33"/>
      <c r="KN322" s="33"/>
      <c r="KO322" s="33"/>
      <c r="KP322" s="33"/>
      <c r="KQ322" s="33"/>
      <c r="KR322" s="33"/>
      <c r="KS322" s="33"/>
      <c r="KT322" s="33"/>
      <c r="KU322" s="33"/>
      <c r="KV322" s="33"/>
      <c r="KW322" s="33"/>
      <c r="KX322" s="33"/>
      <c r="KY322" s="33"/>
      <c r="KZ322" s="33"/>
      <c r="LA322" s="33"/>
      <c r="LB322" s="33"/>
      <c r="LC322" s="33"/>
      <c r="LD322" s="33"/>
      <c r="LE322" s="33"/>
      <c r="LF322" s="33"/>
      <c r="LG322" s="33"/>
      <c r="LH322" s="33"/>
      <c r="LI322" s="33"/>
      <c r="LJ322" s="33"/>
      <c r="LK322" s="33"/>
      <c r="LL322" s="33"/>
      <c r="LM322" s="33"/>
      <c r="LN322" s="33"/>
      <c r="LO322" s="33"/>
      <c r="LP322" s="33"/>
      <c r="LQ322" s="33"/>
      <c r="LR322" s="33"/>
      <c r="LS322" s="33"/>
      <c r="LT322" s="33"/>
      <c r="LU322" s="33"/>
      <c r="LV322" s="33"/>
      <c r="LW322" s="33"/>
      <c r="LX322" s="33"/>
      <c r="LY322" s="33"/>
      <c r="LZ322" s="33"/>
      <c r="MA322" s="33"/>
      <c r="MB322" s="33"/>
      <c r="MC322" s="33"/>
      <c r="MD322" s="33"/>
      <c r="ME322" s="33"/>
      <c r="MF322" s="33"/>
      <c r="MG322" s="33"/>
      <c r="MH322" s="33"/>
      <c r="MI322" s="33"/>
      <c r="MJ322" s="33"/>
      <c r="MK322" s="33"/>
      <c r="ML322" s="33"/>
      <c r="MM322" s="33"/>
      <c r="MN322" s="33"/>
      <c r="MO322" s="33"/>
      <c r="MP322" s="33"/>
      <c r="MQ322" s="33"/>
      <c r="MR322" s="33"/>
      <c r="MS322" s="33"/>
      <c r="MT322" s="33"/>
      <c r="MU322" s="33"/>
      <c r="MV322" s="33"/>
      <c r="MW322" s="33"/>
      <c r="MX322" s="33"/>
      <c r="MY322" s="33"/>
      <c r="MZ322" s="33"/>
      <c r="NA322" s="33"/>
      <c r="NB322" s="33"/>
      <c r="NC322" s="33"/>
      <c r="ND322" s="33"/>
      <c r="NE322" s="33"/>
      <c r="NF322" s="33"/>
      <c r="NG322" s="33"/>
      <c r="NH322" s="33"/>
      <c r="NI322" s="33"/>
      <c r="NJ322" s="33"/>
      <c r="NK322" s="33"/>
      <c r="NL322" s="33"/>
      <c r="NM322" s="33"/>
      <c r="NN322" s="33"/>
      <c r="NO322" s="33"/>
      <c r="NP322" s="33"/>
      <c r="NQ322" s="33"/>
      <c r="NR322" s="33"/>
      <c r="NS322" s="33"/>
      <c r="NT322" s="33"/>
      <c r="NU322" s="33"/>
      <c r="NV322" s="33"/>
      <c r="NW322" s="33"/>
      <c r="NX322" s="33"/>
      <c r="NY322" s="33"/>
      <c r="NZ322" s="33"/>
      <c r="OA322" s="33"/>
      <c r="OB322" s="33"/>
      <c r="OC322" s="33"/>
      <c r="OD322" s="33"/>
      <c r="OE322" s="33"/>
      <c r="OF322" s="33"/>
      <c r="OG322" s="33"/>
      <c r="OH322" s="33"/>
      <c r="OI322" s="33"/>
      <c r="OJ322" s="33"/>
      <c r="OK322" s="33"/>
      <c r="OL322" s="33"/>
      <c r="OM322" s="33"/>
      <c r="ON322" s="33"/>
      <c r="OO322" s="33"/>
      <c r="OP322" s="33"/>
      <c r="OQ322" s="33"/>
      <c r="OR322" s="33"/>
      <c r="OS322" s="33"/>
      <c r="OT322" s="33"/>
      <c r="OU322" s="33"/>
      <c r="OV322" s="33"/>
      <c r="OW322" s="33"/>
      <c r="OX322" s="33"/>
      <c r="OY322" s="33"/>
      <c r="OZ322" s="33"/>
      <c r="PA322" s="33"/>
      <c r="PB322" s="33"/>
      <c r="PC322" s="33"/>
      <c r="PD322" s="33"/>
      <c r="PE322" s="33"/>
      <c r="PF322" s="33"/>
      <c r="PG322" s="33"/>
      <c r="PH322" s="33"/>
      <c r="PI322" s="33"/>
      <c r="PJ322" s="33"/>
      <c r="PK322" s="33"/>
      <c r="PL322" s="33"/>
      <c r="PM322" s="33"/>
      <c r="PN322" s="33"/>
      <c r="PO322" s="33"/>
      <c r="PP322" s="33"/>
      <c r="PQ322" s="33"/>
      <c r="PR322" s="33"/>
      <c r="PS322" s="33"/>
      <c r="PT322" s="33"/>
      <c r="PU322" s="33"/>
      <c r="PV322" s="33"/>
      <c r="PW322" s="33"/>
      <c r="PX322" s="33"/>
      <c r="PY322" s="33"/>
      <c r="PZ322" s="33"/>
      <c r="QA322" s="33"/>
      <c r="QB322" s="33"/>
      <c r="QC322" s="33"/>
      <c r="QD322" s="33"/>
      <c r="QE322" s="33"/>
      <c r="QF322" s="33"/>
      <c r="QG322" s="33"/>
      <c r="QH322" s="33"/>
      <c r="QI322" s="33"/>
      <c r="QJ322" s="33"/>
      <c r="QK322" s="33"/>
      <c r="QL322" s="33"/>
      <c r="QM322" s="33"/>
      <c r="QN322" s="33"/>
      <c r="QO322" s="33"/>
      <c r="QP322" s="33"/>
      <c r="QQ322" s="33"/>
      <c r="QR322" s="33"/>
      <c r="QS322" s="33"/>
      <c r="QT322" s="33"/>
      <c r="QU322" s="33"/>
      <c r="QV322" s="33"/>
      <c r="QW322" s="33"/>
      <c r="QX322" s="33"/>
      <c r="QY322" s="33"/>
      <c r="QZ322" s="33"/>
      <c r="RA322" s="33"/>
      <c r="RB322" s="33"/>
      <c r="RC322" s="33"/>
      <c r="RD322" s="33"/>
      <c r="RE322" s="33"/>
      <c r="RF322" s="33"/>
      <c r="RG322" s="33"/>
      <c r="RH322" s="33"/>
      <c r="RI322" s="33"/>
      <c r="RJ322" s="33"/>
      <c r="RK322" s="33"/>
      <c r="RL322" s="33"/>
      <c r="RM322" s="33"/>
      <c r="RN322" s="33"/>
      <c r="RO322" s="33"/>
      <c r="RP322" s="33"/>
      <c r="RQ322" s="33"/>
      <c r="RR322" s="33"/>
      <c r="RS322" s="33"/>
      <c r="RT322" s="33"/>
      <c r="RU322" s="33"/>
      <c r="RV322" s="33"/>
      <c r="RW322" s="33"/>
      <c r="RX322" s="33"/>
      <c r="RY322" s="33"/>
      <c r="RZ322" s="33"/>
      <c r="SA322" s="33"/>
      <c r="SB322" s="33"/>
      <c r="SC322" s="33"/>
      <c r="SD322" s="33"/>
      <c r="SE322" s="33"/>
      <c r="SF322" s="33"/>
      <c r="SG322" s="33"/>
      <c r="SH322" s="33"/>
      <c r="SI322" s="33"/>
      <c r="SJ322" s="33"/>
      <c r="SK322" s="33"/>
      <c r="SL322" s="33"/>
      <c r="SM322" s="33"/>
      <c r="SN322" s="33"/>
      <c r="SO322" s="33"/>
      <c r="SP322" s="33"/>
      <c r="SQ322" s="33"/>
      <c r="SR322" s="33"/>
      <c r="SS322" s="33"/>
      <c r="ST322" s="33"/>
      <c r="SU322" s="33"/>
      <c r="SV322" s="33"/>
      <c r="SW322" s="33"/>
      <c r="SX322" s="33"/>
      <c r="SY322" s="33"/>
      <c r="SZ322" s="33"/>
      <c r="TA322" s="33"/>
      <c r="TB322" s="33"/>
      <c r="TC322" s="33"/>
      <c r="TD322" s="33"/>
      <c r="TE322" s="33"/>
      <c r="TF322" s="33"/>
      <c r="TG322" s="33"/>
    </row>
    <row r="323" spans="1:527" s="27" customFormat="1" ht="24.75" customHeight="1" x14ac:dyDescent="0.2">
      <c r="A323" s="66"/>
      <c r="B323" s="67"/>
      <c r="C323" s="68"/>
      <c r="D323" s="69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  <c r="CI323" s="32"/>
      <c r="CJ323" s="32"/>
      <c r="CK323" s="32"/>
      <c r="CL323" s="32"/>
      <c r="CM323" s="32"/>
      <c r="CN323" s="32"/>
      <c r="CO323" s="32"/>
      <c r="CP323" s="32"/>
      <c r="CQ323" s="32"/>
      <c r="CR323" s="32"/>
      <c r="CS323" s="32"/>
      <c r="CT323" s="32"/>
      <c r="CU323" s="32"/>
      <c r="CV323" s="32"/>
      <c r="CW323" s="32"/>
      <c r="CX323" s="32"/>
      <c r="CY323" s="32"/>
      <c r="CZ323" s="32"/>
      <c r="DA323" s="32"/>
      <c r="DB323" s="32"/>
      <c r="DC323" s="32"/>
      <c r="DD323" s="32"/>
      <c r="DE323" s="32"/>
      <c r="DF323" s="32"/>
      <c r="DG323" s="32"/>
      <c r="DH323" s="32"/>
      <c r="DI323" s="32"/>
      <c r="DJ323" s="32"/>
      <c r="DK323" s="32"/>
      <c r="DL323" s="32"/>
      <c r="DM323" s="32"/>
      <c r="DN323" s="32"/>
      <c r="DO323" s="32"/>
      <c r="DP323" s="32"/>
      <c r="DQ323" s="32"/>
      <c r="DR323" s="32"/>
      <c r="DS323" s="32"/>
      <c r="DT323" s="32"/>
      <c r="DU323" s="32"/>
      <c r="DV323" s="32"/>
      <c r="DW323" s="32"/>
      <c r="DX323" s="32"/>
      <c r="DY323" s="32"/>
      <c r="DZ323" s="32"/>
      <c r="EA323" s="32"/>
      <c r="EB323" s="32"/>
      <c r="EC323" s="32"/>
      <c r="ED323" s="32"/>
      <c r="EE323" s="32"/>
      <c r="EF323" s="32"/>
      <c r="EG323" s="32"/>
      <c r="EH323" s="32"/>
      <c r="EI323" s="32"/>
      <c r="EJ323" s="32"/>
      <c r="EK323" s="32"/>
      <c r="EL323" s="32"/>
      <c r="EM323" s="32"/>
      <c r="EN323" s="32"/>
      <c r="EO323" s="32"/>
      <c r="EP323" s="32"/>
      <c r="EQ323" s="32"/>
      <c r="ER323" s="32"/>
      <c r="ES323" s="32"/>
      <c r="ET323" s="32"/>
      <c r="EU323" s="32"/>
      <c r="EV323" s="32"/>
      <c r="EW323" s="32"/>
      <c r="EX323" s="32"/>
      <c r="EY323" s="32"/>
      <c r="EZ323" s="32"/>
      <c r="FA323" s="32"/>
      <c r="FB323" s="32"/>
      <c r="FC323" s="32"/>
      <c r="FD323" s="32"/>
      <c r="FE323" s="32"/>
      <c r="FF323" s="32"/>
      <c r="FG323" s="32"/>
      <c r="FH323" s="32"/>
      <c r="FI323" s="32"/>
      <c r="FJ323" s="32"/>
      <c r="FK323" s="32"/>
      <c r="FL323" s="32"/>
      <c r="FM323" s="32"/>
      <c r="FN323" s="32"/>
      <c r="FO323" s="32"/>
      <c r="FP323" s="32"/>
      <c r="FQ323" s="32"/>
      <c r="FR323" s="32"/>
      <c r="FS323" s="32"/>
      <c r="FT323" s="32"/>
      <c r="FU323" s="32"/>
      <c r="FV323" s="32"/>
      <c r="FW323" s="32"/>
      <c r="FX323" s="32"/>
      <c r="FY323" s="32"/>
      <c r="FZ323" s="32"/>
      <c r="GA323" s="32"/>
      <c r="GB323" s="32"/>
      <c r="GC323" s="32"/>
      <c r="GD323" s="32"/>
      <c r="GE323" s="32"/>
      <c r="GF323" s="32"/>
      <c r="GG323" s="32"/>
      <c r="GH323" s="32"/>
      <c r="GI323" s="32"/>
      <c r="GJ323" s="32"/>
      <c r="GK323" s="32"/>
      <c r="GL323" s="32"/>
      <c r="GM323" s="32"/>
      <c r="GN323" s="32"/>
      <c r="GO323" s="32"/>
      <c r="GP323" s="32"/>
      <c r="GQ323" s="32"/>
      <c r="GR323" s="32"/>
      <c r="GS323" s="32"/>
      <c r="GT323" s="32"/>
      <c r="GU323" s="32"/>
      <c r="GV323" s="32"/>
      <c r="GW323" s="32"/>
      <c r="GX323" s="32"/>
      <c r="GY323" s="32"/>
      <c r="GZ323" s="32"/>
      <c r="HA323" s="32"/>
      <c r="HB323" s="32"/>
      <c r="HC323" s="32"/>
      <c r="HD323" s="32"/>
      <c r="HE323" s="32"/>
      <c r="HF323" s="32"/>
      <c r="HG323" s="32"/>
      <c r="HH323" s="32"/>
      <c r="HI323" s="32"/>
      <c r="HJ323" s="32"/>
      <c r="HK323" s="32"/>
      <c r="HL323" s="32"/>
      <c r="HM323" s="32"/>
      <c r="HN323" s="32"/>
      <c r="HO323" s="32"/>
      <c r="HP323" s="32"/>
      <c r="HQ323" s="32"/>
      <c r="HR323" s="32"/>
      <c r="HS323" s="32"/>
      <c r="HT323" s="32"/>
      <c r="HU323" s="32"/>
      <c r="HV323" s="32"/>
      <c r="HW323" s="32"/>
      <c r="HX323" s="32"/>
      <c r="HY323" s="32"/>
      <c r="HZ323" s="32"/>
      <c r="IA323" s="32"/>
      <c r="IB323" s="32"/>
      <c r="IC323" s="32"/>
      <c r="ID323" s="32"/>
      <c r="IE323" s="32"/>
      <c r="IF323" s="32"/>
      <c r="IG323" s="32"/>
      <c r="IH323" s="32"/>
      <c r="II323" s="32"/>
      <c r="IJ323" s="32"/>
      <c r="IK323" s="32"/>
      <c r="IL323" s="32"/>
      <c r="IM323" s="32"/>
      <c r="IN323" s="32"/>
      <c r="IO323" s="32"/>
      <c r="IP323" s="32"/>
      <c r="IQ323" s="32"/>
      <c r="IR323" s="32"/>
      <c r="IS323" s="32"/>
      <c r="IT323" s="32"/>
      <c r="IU323" s="32"/>
      <c r="IV323" s="32"/>
      <c r="IW323" s="32"/>
      <c r="IX323" s="32"/>
      <c r="IY323" s="32"/>
      <c r="IZ323" s="32"/>
      <c r="JA323" s="32"/>
      <c r="JB323" s="32"/>
      <c r="JC323" s="32"/>
      <c r="JD323" s="32"/>
      <c r="JE323" s="32"/>
      <c r="JF323" s="32"/>
      <c r="JG323" s="32"/>
      <c r="JH323" s="32"/>
      <c r="JI323" s="32"/>
      <c r="JJ323" s="32"/>
      <c r="JK323" s="32"/>
      <c r="JL323" s="32"/>
      <c r="JM323" s="32"/>
      <c r="JN323" s="32"/>
      <c r="JO323" s="32"/>
      <c r="JP323" s="32"/>
      <c r="JQ323" s="32"/>
      <c r="JR323" s="32"/>
      <c r="JS323" s="32"/>
      <c r="JT323" s="32"/>
      <c r="JU323" s="32"/>
      <c r="JV323" s="32"/>
      <c r="JW323" s="32"/>
      <c r="JX323" s="32"/>
      <c r="JY323" s="32"/>
      <c r="JZ323" s="32"/>
      <c r="KA323" s="32"/>
      <c r="KB323" s="32"/>
      <c r="KC323" s="32"/>
      <c r="KD323" s="32"/>
      <c r="KE323" s="32"/>
      <c r="KF323" s="32"/>
      <c r="KG323" s="32"/>
      <c r="KH323" s="32"/>
      <c r="KI323" s="32"/>
      <c r="KJ323" s="32"/>
      <c r="KK323" s="32"/>
      <c r="KL323" s="32"/>
      <c r="KM323" s="32"/>
      <c r="KN323" s="32"/>
      <c r="KO323" s="32"/>
      <c r="KP323" s="32"/>
      <c r="KQ323" s="32"/>
      <c r="KR323" s="32"/>
      <c r="KS323" s="32"/>
      <c r="KT323" s="32"/>
      <c r="KU323" s="32"/>
      <c r="KV323" s="32"/>
      <c r="KW323" s="32"/>
      <c r="KX323" s="32"/>
      <c r="KY323" s="32"/>
      <c r="KZ323" s="32"/>
      <c r="LA323" s="32"/>
      <c r="LB323" s="32"/>
      <c r="LC323" s="32"/>
      <c r="LD323" s="32"/>
      <c r="LE323" s="32"/>
      <c r="LF323" s="32"/>
      <c r="LG323" s="32"/>
      <c r="LH323" s="32"/>
      <c r="LI323" s="32"/>
      <c r="LJ323" s="32"/>
      <c r="LK323" s="32"/>
      <c r="LL323" s="32"/>
      <c r="LM323" s="32"/>
      <c r="LN323" s="32"/>
      <c r="LO323" s="32"/>
      <c r="LP323" s="32"/>
      <c r="LQ323" s="32"/>
      <c r="LR323" s="32"/>
      <c r="LS323" s="32"/>
      <c r="LT323" s="32"/>
      <c r="LU323" s="32"/>
      <c r="LV323" s="32"/>
      <c r="LW323" s="32"/>
      <c r="LX323" s="32"/>
      <c r="LY323" s="32"/>
      <c r="LZ323" s="32"/>
      <c r="MA323" s="32"/>
      <c r="MB323" s="32"/>
      <c r="MC323" s="32"/>
      <c r="MD323" s="32"/>
      <c r="ME323" s="32"/>
      <c r="MF323" s="32"/>
      <c r="MG323" s="32"/>
      <c r="MH323" s="32"/>
      <c r="MI323" s="32"/>
      <c r="MJ323" s="32"/>
      <c r="MK323" s="32"/>
      <c r="ML323" s="32"/>
      <c r="MM323" s="32"/>
      <c r="MN323" s="32"/>
      <c r="MO323" s="32"/>
      <c r="MP323" s="32"/>
      <c r="MQ323" s="32"/>
      <c r="MR323" s="32"/>
      <c r="MS323" s="32"/>
      <c r="MT323" s="32"/>
      <c r="MU323" s="32"/>
      <c r="MV323" s="32"/>
      <c r="MW323" s="32"/>
      <c r="MX323" s="32"/>
      <c r="MY323" s="32"/>
      <c r="MZ323" s="32"/>
      <c r="NA323" s="32"/>
      <c r="NB323" s="32"/>
      <c r="NC323" s="32"/>
      <c r="ND323" s="32"/>
      <c r="NE323" s="32"/>
      <c r="NF323" s="32"/>
      <c r="NG323" s="32"/>
      <c r="NH323" s="32"/>
      <c r="NI323" s="32"/>
      <c r="NJ323" s="32"/>
      <c r="NK323" s="32"/>
      <c r="NL323" s="32"/>
      <c r="NM323" s="32"/>
      <c r="NN323" s="32"/>
      <c r="NO323" s="32"/>
      <c r="NP323" s="32"/>
      <c r="NQ323" s="32"/>
      <c r="NR323" s="32"/>
      <c r="NS323" s="32"/>
      <c r="NT323" s="32"/>
      <c r="NU323" s="32"/>
      <c r="NV323" s="32"/>
      <c r="NW323" s="32"/>
      <c r="NX323" s="32"/>
      <c r="NY323" s="32"/>
      <c r="NZ323" s="32"/>
      <c r="OA323" s="32"/>
      <c r="OB323" s="32"/>
      <c r="OC323" s="32"/>
      <c r="OD323" s="32"/>
      <c r="OE323" s="32"/>
      <c r="OF323" s="32"/>
      <c r="OG323" s="32"/>
      <c r="OH323" s="32"/>
      <c r="OI323" s="32"/>
      <c r="OJ323" s="32"/>
      <c r="OK323" s="32"/>
      <c r="OL323" s="32"/>
      <c r="OM323" s="32"/>
      <c r="ON323" s="32"/>
      <c r="OO323" s="32"/>
      <c r="OP323" s="32"/>
      <c r="OQ323" s="32"/>
      <c r="OR323" s="32"/>
      <c r="OS323" s="32"/>
      <c r="OT323" s="32"/>
      <c r="OU323" s="32"/>
      <c r="OV323" s="32"/>
      <c r="OW323" s="32"/>
      <c r="OX323" s="32"/>
      <c r="OY323" s="32"/>
      <c r="OZ323" s="32"/>
      <c r="PA323" s="32"/>
      <c r="PB323" s="32"/>
      <c r="PC323" s="32"/>
      <c r="PD323" s="32"/>
      <c r="PE323" s="32"/>
      <c r="PF323" s="32"/>
      <c r="PG323" s="32"/>
      <c r="PH323" s="32"/>
      <c r="PI323" s="32"/>
      <c r="PJ323" s="32"/>
      <c r="PK323" s="32"/>
      <c r="PL323" s="32"/>
      <c r="PM323" s="32"/>
      <c r="PN323" s="32"/>
      <c r="PO323" s="32"/>
      <c r="PP323" s="32"/>
      <c r="PQ323" s="32"/>
      <c r="PR323" s="32"/>
      <c r="PS323" s="32"/>
      <c r="PT323" s="32"/>
      <c r="PU323" s="32"/>
      <c r="PV323" s="32"/>
      <c r="PW323" s="32"/>
      <c r="PX323" s="32"/>
      <c r="PY323" s="32"/>
      <c r="PZ323" s="32"/>
      <c r="QA323" s="32"/>
      <c r="QB323" s="32"/>
      <c r="QC323" s="32"/>
      <c r="QD323" s="32"/>
      <c r="QE323" s="32"/>
      <c r="QF323" s="32"/>
      <c r="QG323" s="32"/>
      <c r="QH323" s="32"/>
      <c r="QI323" s="32"/>
      <c r="QJ323" s="32"/>
      <c r="QK323" s="32"/>
      <c r="QL323" s="32"/>
      <c r="QM323" s="32"/>
      <c r="QN323" s="32"/>
      <c r="QO323" s="32"/>
      <c r="QP323" s="32"/>
      <c r="QQ323" s="32"/>
      <c r="QR323" s="32"/>
      <c r="QS323" s="32"/>
      <c r="QT323" s="32"/>
      <c r="QU323" s="32"/>
      <c r="QV323" s="32"/>
      <c r="QW323" s="32"/>
      <c r="QX323" s="32"/>
      <c r="QY323" s="32"/>
      <c r="QZ323" s="32"/>
      <c r="RA323" s="32"/>
      <c r="RB323" s="32"/>
      <c r="RC323" s="32"/>
      <c r="RD323" s="32"/>
      <c r="RE323" s="32"/>
      <c r="RF323" s="32"/>
      <c r="RG323" s="32"/>
      <c r="RH323" s="32"/>
      <c r="RI323" s="32"/>
      <c r="RJ323" s="32"/>
      <c r="RK323" s="32"/>
      <c r="RL323" s="32"/>
      <c r="RM323" s="32"/>
      <c r="RN323" s="32"/>
      <c r="RO323" s="32"/>
      <c r="RP323" s="32"/>
      <c r="RQ323" s="32"/>
      <c r="RR323" s="32"/>
      <c r="RS323" s="32"/>
      <c r="RT323" s="32"/>
      <c r="RU323" s="32"/>
      <c r="RV323" s="32"/>
      <c r="RW323" s="32"/>
      <c r="RX323" s="32"/>
      <c r="RY323" s="32"/>
      <c r="RZ323" s="32"/>
      <c r="SA323" s="32"/>
      <c r="SB323" s="32"/>
      <c r="SC323" s="32"/>
      <c r="SD323" s="32"/>
      <c r="SE323" s="32"/>
      <c r="SF323" s="32"/>
      <c r="SG323" s="32"/>
      <c r="SH323" s="32"/>
      <c r="SI323" s="32"/>
      <c r="SJ323" s="32"/>
      <c r="SK323" s="32"/>
      <c r="SL323" s="32"/>
      <c r="SM323" s="32"/>
      <c r="SN323" s="32"/>
      <c r="SO323" s="32"/>
      <c r="SP323" s="32"/>
      <c r="SQ323" s="32"/>
      <c r="SR323" s="32"/>
      <c r="SS323" s="32"/>
      <c r="ST323" s="32"/>
      <c r="SU323" s="32"/>
      <c r="SV323" s="32"/>
      <c r="SW323" s="32"/>
      <c r="SX323" s="32"/>
      <c r="SY323" s="32"/>
      <c r="SZ323" s="32"/>
      <c r="TA323" s="32"/>
      <c r="TB323" s="32"/>
      <c r="TC323" s="32"/>
      <c r="TD323" s="32"/>
      <c r="TE323" s="32"/>
      <c r="TF323" s="32"/>
      <c r="TG323" s="32"/>
    </row>
    <row r="324" spans="1:527" s="27" customFormat="1" ht="25.5" customHeight="1" x14ac:dyDescent="0.25">
      <c r="A324" s="66"/>
      <c r="B324" s="67"/>
      <c r="C324" s="68"/>
      <c r="D324" s="69"/>
      <c r="E324" s="154">
        <f>E319-'дод 8'!D255</f>
        <v>0</v>
      </c>
      <c r="F324" s="154">
        <f>F319-'дод 8'!E255</f>
        <v>0</v>
      </c>
      <c r="G324" s="154">
        <f>G319-'дод 8'!F255</f>
        <v>0</v>
      </c>
      <c r="H324" s="154">
        <f>H319-'дод 8'!G255</f>
        <v>0</v>
      </c>
      <c r="I324" s="154">
        <f>I319-'дод 8'!H255</f>
        <v>0</v>
      </c>
      <c r="J324" s="154">
        <f>J319-'дод 8'!I255</f>
        <v>0</v>
      </c>
      <c r="K324" s="154">
        <f>K319-'дод 8'!J255</f>
        <v>0</v>
      </c>
      <c r="L324" s="154">
        <f>L319-'дод 8'!K255</f>
        <v>0</v>
      </c>
      <c r="M324" s="154">
        <f>M319-'дод 8'!L255</f>
        <v>0</v>
      </c>
      <c r="N324" s="154">
        <f>N319-'дод 8'!M255</f>
        <v>0</v>
      </c>
      <c r="O324" s="154">
        <f>O319-'дод 8'!N255</f>
        <v>0</v>
      </c>
      <c r="P324" s="154">
        <f>P319-'дод 8'!O255</f>
        <v>0</v>
      </c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/>
      <c r="CB324" s="32"/>
      <c r="CC324" s="32"/>
      <c r="CD324" s="32"/>
      <c r="CE324" s="32"/>
      <c r="CF324" s="32"/>
      <c r="CG324" s="32"/>
      <c r="CH324" s="32"/>
      <c r="CI324" s="32"/>
      <c r="CJ324" s="32"/>
      <c r="CK324" s="32"/>
      <c r="CL324" s="32"/>
      <c r="CM324" s="32"/>
      <c r="CN324" s="32"/>
      <c r="CO324" s="32"/>
      <c r="CP324" s="32"/>
      <c r="CQ324" s="32"/>
      <c r="CR324" s="32"/>
      <c r="CS324" s="32"/>
      <c r="CT324" s="32"/>
      <c r="CU324" s="32"/>
      <c r="CV324" s="32"/>
      <c r="CW324" s="32"/>
      <c r="CX324" s="32"/>
      <c r="CY324" s="32"/>
      <c r="CZ324" s="32"/>
      <c r="DA324" s="32"/>
      <c r="DB324" s="32"/>
      <c r="DC324" s="32"/>
      <c r="DD324" s="32"/>
      <c r="DE324" s="32"/>
      <c r="DF324" s="32"/>
      <c r="DG324" s="32"/>
      <c r="DH324" s="32"/>
      <c r="DI324" s="32"/>
      <c r="DJ324" s="32"/>
      <c r="DK324" s="32"/>
      <c r="DL324" s="32"/>
      <c r="DM324" s="32"/>
      <c r="DN324" s="32"/>
      <c r="DO324" s="32"/>
      <c r="DP324" s="32"/>
      <c r="DQ324" s="32"/>
      <c r="DR324" s="32"/>
      <c r="DS324" s="32"/>
      <c r="DT324" s="32"/>
      <c r="DU324" s="32"/>
      <c r="DV324" s="32"/>
      <c r="DW324" s="32"/>
      <c r="DX324" s="32"/>
      <c r="DY324" s="32"/>
      <c r="DZ324" s="32"/>
      <c r="EA324" s="32"/>
      <c r="EB324" s="32"/>
      <c r="EC324" s="32"/>
      <c r="ED324" s="32"/>
      <c r="EE324" s="32"/>
      <c r="EF324" s="32"/>
      <c r="EG324" s="32"/>
      <c r="EH324" s="32"/>
      <c r="EI324" s="32"/>
      <c r="EJ324" s="32"/>
      <c r="EK324" s="32"/>
      <c r="EL324" s="32"/>
      <c r="EM324" s="32"/>
      <c r="EN324" s="32"/>
      <c r="EO324" s="32"/>
      <c r="EP324" s="32"/>
      <c r="EQ324" s="32"/>
      <c r="ER324" s="32"/>
      <c r="ES324" s="32"/>
      <c r="ET324" s="32"/>
      <c r="EU324" s="32"/>
      <c r="EV324" s="32"/>
      <c r="EW324" s="32"/>
      <c r="EX324" s="32"/>
      <c r="EY324" s="32"/>
      <c r="EZ324" s="32"/>
      <c r="FA324" s="32"/>
      <c r="FB324" s="32"/>
      <c r="FC324" s="32"/>
      <c r="FD324" s="32"/>
      <c r="FE324" s="32"/>
      <c r="FF324" s="32"/>
      <c r="FG324" s="32"/>
      <c r="FH324" s="32"/>
      <c r="FI324" s="32"/>
      <c r="FJ324" s="32"/>
      <c r="FK324" s="32"/>
      <c r="FL324" s="32"/>
      <c r="FM324" s="32"/>
      <c r="FN324" s="32"/>
      <c r="FO324" s="32"/>
      <c r="FP324" s="32"/>
      <c r="FQ324" s="32"/>
      <c r="FR324" s="32"/>
      <c r="FS324" s="32"/>
      <c r="FT324" s="32"/>
      <c r="FU324" s="32"/>
      <c r="FV324" s="32"/>
      <c r="FW324" s="32"/>
      <c r="FX324" s="32"/>
      <c r="FY324" s="32"/>
      <c r="FZ324" s="32"/>
      <c r="GA324" s="32"/>
      <c r="GB324" s="32"/>
      <c r="GC324" s="32"/>
      <c r="GD324" s="32"/>
      <c r="GE324" s="32"/>
      <c r="GF324" s="32"/>
      <c r="GG324" s="32"/>
      <c r="GH324" s="32"/>
      <c r="GI324" s="32"/>
      <c r="GJ324" s="32"/>
      <c r="GK324" s="32"/>
      <c r="GL324" s="32"/>
      <c r="GM324" s="32"/>
      <c r="GN324" s="32"/>
      <c r="GO324" s="32"/>
      <c r="GP324" s="32"/>
      <c r="GQ324" s="32"/>
      <c r="GR324" s="32"/>
      <c r="GS324" s="32"/>
      <c r="GT324" s="32"/>
      <c r="GU324" s="32"/>
      <c r="GV324" s="32"/>
      <c r="GW324" s="32"/>
      <c r="GX324" s="32"/>
      <c r="GY324" s="32"/>
      <c r="GZ324" s="32"/>
      <c r="HA324" s="32"/>
      <c r="HB324" s="32"/>
      <c r="HC324" s="32"/>
      <c r="HD324" s="32"/>
      <c r="HE324" s="32"/>
      <c r="HF324" s="32"/>
      <c r="HG324" s="32"/>
      <c r="HH324" s="32"/>
      <c r="HI324" s="32"/>
      <c r="HJ324" s="32"/>
      <c r="HK324" s="32"/>
      <c r="HL324" s="32"/>
      <c r="HM324" s="32"/>
      <c r="HN324" s="32"/>
      <c r="HO324" s="32"/>
      <c r="HP324" s="32"/>
      <c r="HQ324" s="32"/>
      <c r="HR324" s="32"/>
      <c r="HS324" s="32"/>
      <c r="HT324" s="32"/>
      <c r="HU324" s="32"/>
      <c r="HV324" s="32"/>
      <c r="HW324" s="32"/>
      <c r="HX324" s="32"/>
      <c r="HY324" s="32"/>
      <c r="HZ324" s="32"/>
      <c r="IA324" s="32"/>
      <c r="IB324" s="32"/>
      <c r="IC324" s="32"/>
      <c r="ID324" s="32"/>
      <c r="IE324" s="32"/>
      <c r="IF324" s="32"/>
      <c r="IG324" s="32"/>
      <c r="IH324" s="32"/>
      <c r="II324" s="32"/>
      <c r="IJ324" s="32"/>
      <c r="IK324" s="32"/>
      <c r="IL324" s="32"/>
      <c r="IM324" s="32"/>
      <c r="IN324" s="32"/>
      <c r="IO324" s="32"/>
      <c r="IP324" s="32"/>
      <c r="IQ324" s="32"/>
      <c r="IR324" s="32"/>
      <c r="IS324" s="32"/>
      <c r="IT324" s="32"/>
      <c r="IU324" s="32"/>
      <c r="IV324" s="32"/>
      <c r="IW324" s="32"/>
      <c r="IX324" s="32"/>
      <c r="IY324" s="32"/>
      <c r="IZ324" s="32"/>
      <c r="JA324" s="32"/>
      <c r="JB324" s="32"/>
      <c r="JC324" s="32"/>
      <c r="JD324" s="32"/>
      <c r="JE324" s="32"/>
      <c r="JF324" s="32"/>
      <c r="JG324" s="32"/>
      <c r="JH324" s="32"/>
      <c r="JI324" s="32"/>
      <c r="JJ324" s="32"/>
      <c r="JK324" s="32"/>
      <c r="JL324" s="32"/>
      <c r="JM324" s="32"/>
      <c r="JN324" s="32"/>
      <c r="JO324" s="32"/>
      <c r="JP324" s="32"/>
      <c r="JQ324" s="32"/>
      <c r="JR324" s="32"/>
      <c r="JS324" s="32"/>
      <c r="JT324" s="32"/>
      <c r="JU324" s="32"/>
      <c r="JV324" s="32"/>
      <c r="JW324" s="32"/>
      <c r="JX324" s="32"/>
      <c r="JY324" s="32"/>
      <c r="JZ324" s="32"/>
      <c r="KA324" s="32"/>
      <c r="KB324" s="32"/>
      <c r="KC324" s="32"/>
      <c r="KD324" s="32"/>
      <c r="KE324" s="32"/>
      <c r="KF324" s="32"/>
      <c r="KG324" s="32"/>
      <c r="KH324" s="32"/>
      <c r="KI324" s="32"/>
      <c r="KJ324" s="32"/>
      <c r="KK324" s="32"/>
      <c r="KL324" s="32"/>
      <c r="KM324" s="32"/>
      <c r="KN324" s="32"/>
      <c r="KO324" s="32"/>
      <c r="KP324" s="32"/>
      <c r="KQ324" s="32"/>
      <c r="KR324" s="32"/>
      <c r="KS324" s="32"/>
      <c r="KT324" s="32"/>
      <c r="KU324" s="32"/>
      <c r="KV324" s="32"/>
      <c r="KW324" s="32"/>
      <c r="KX324" s="32"/>
      <c r="KY324" s="32"/>
      <c r="KZ324" s="32"/>
      <c r="LA324" s="32"/>
      <c r="LB324" s="32"/>
      <c r="LC324" s="32"/>
      <c r="LD324" s="32"/>
      <c r="LE324" s="32"/>
      <c r="LF324" s="32"/>
      <c r="LG324" s="32"/>
      <c r="LH324" s="32"/>
      <c r="LI324" s="32"/>
      <c r="LJ324" s="32"/>
      <c r="LK324" s="32"/>
      <c r="LL324" s="32"/>
      <c r="LM324" s="32"/>
      <c r="LN324" s="32"/>
      <c r="LO324" s="32"/>
      <c r="LP324" s="32"/>
      <c r="LQ324" s="32"/>
      <c r="LR324" s="32"/>
      <c r="LS324" s="32"/>
      <c r="LT324" s="32"/>
      <c r="LU324" s="32"/>
      <c r="LV324" s="32"/>
      <c r="LW324" s="32"/>
      <c r="LX324" s="32"/>
      <c r="LY324" s="32"/>
      <c r="LZ324" s="32"/>
      <c r="MA324" s="32"/>
      <c r="MB324" s="32"/>
      <c r="MC324" s="32"/>
      <c r="MD324" s="32"/>
      <c r="ME324" s="32"/>
      <c r="MF324" s="32"/>
      <c r="MG324" s="32"/>
      <c r="MH324" s="32"/>
      <c r="MI324" s="32"/>
      <c r="MJ324" s="32"/>
      <c r="MK324" s="32"/>
      <c r="ML324" s="32"/>
      <c r="MM324" s="32"/>
      <c r="MN324" s="32"/>
      <c r="MO324" s="32"/>
      <c r="MP324" s="32"/>
      <c r="MQ324" s="32"/>
      <c r="MR324" s="32"/>
      <c r="MS324" s="32"/>
      <c r="MT324" s="32"/>
      <c r="MU324" s="32"/>
      <c r="MV324" s="32"/>
      <c r="MW324" s="32"/>
      <c r="MX324" s="32"/>
      <c r="MY324" s="32"/>
      <c r="MZ324" s="32"/>
      <c r="NA324" s="32"/>
      <c r="NB324" s="32"/>
      <c r="NC324" s="32"/>
      <c r="ND324" s="32"/>
      <c r="NE324" s="32"/>
      <c r="NF324" s="32"/>
      <c r="NG324" s="32"/>
      <c r="NH324" s="32"/>
      <c r="NI324" s="32"/>
      <c r="NJ324" s="32"/>
      <c r="NK324" s="32"/>
      <c r="NL324" s="32"/>
      <c r="NM324" s="32"/>
      <c r="NN324" s="32"/>
      <c r="NO324" s="32"/>
      <c r="NP324" s="32"/>
      <c r="NQ324" s="32"/>
      <c r="NR324" s="32"/>
      <c r="NS324" s="32"/>
      <c r="NT324" s="32"/>
      <c r="NU324" s="32"/>
      <c r="NV324" s="32"/>
      <c r="NW324" s="32"/>
      <c r="NX324" s="32"/>
      <c r="NY324" s="32"/>
      <c r="NZ324" s="32"/>
      <c r="OA324" s="32"/>
      <c r="OB324" s="32"/>
      <c r="OC324" s="32"/>
      <c r="OD324" s="32"/>
      <c r="OE324" s="32"/>
      <c r="OF324" s="32"/>
      <c r="OG324" s="32"/>
      <c r="OH324" s="32"/>
      <c r="OI324" s="32"/>
      <c r="OJ324" s="32"/>
      <c r="OK324" s="32"/>
      <c r="OL324" s="32"/>
      <c r="OM324" s="32"/>
      <c r="ON324" s="32"/>
      <c r="OO324" s="32"/>
      <c r="OP324" s="32"/>
      <c r="OQ324" s="32"/>
      <c r="OR324" s="32"/>
      <c r="OS324" s="32"/>
      <c r="OT324" s="32"/>
      <c r="OU324" s="32"/>
      <c r="OV324" s="32"/>
      <c r="OW324" s="32"/>
      <c r="OX324" s="32"/>
      <c r="OY324" s="32"/>
      <c r="OZ324" s="32"/>
      <c r="PA324" s="32"/>
      <c r="PB324" s="32"/>
      <c r="PC324" s="32"/>
      <c r="PD324" s="32"/>
      <c r="PE324" s="32"/>
      <c r="PF324" s="32"/>
      <c r="PG324" s="32"/>
      <c r="PH324" s="32"/>
      <c r="PI324" s="32"/>
      <c r="PJ324" s="32"/>
      <c r="PK324" s="32"/>
      <c r="PL324" s="32"/>
      <c r="PM324" s="32"/>
      <c r="PN324" s="32"/>
      <c r="PO324" s="32"/>
      <c r="PP324" s="32"/>
      <c r="PQ324" s="32"/>
      <c r="PR324" s="32"/>
      <c r="PS324" s="32"/>
      <c r="PT324" s="32"/>
      <c r="PU324" s="32"/>
      <c r="PV324" s="32"/>
      <c r="PW324" s="32"/>
      <c r="PX324" s="32"/>
      <c r="PY324" s="32"/>
      <c r="PZ324" s="32"/>
      <c r="QA324" s="32"/>
      <c r="QB324" s="32"/>
      <c r="QC324" s="32"/>
      <c r="QD324" s="32"/>
      <c r="QE324" s="32"/>
      <c r="QF324" s="32"/>
      <c r="QG324" s="32"/>
      <c r="QH324" s="32"/>
      <c r="QI324" s="32"/>
      <c r="QJ324" s="32"/>
      <c r="QK324" s="32"/>
      <c r="QL324" s="32"/>
      <c r="QM324" s="32"/>
      <c r="QN324" s="32"/>
      <c r="QO324" s="32"/>
      <c r="QP324" s="32"/>
      <c r="QQ324" s="32"/>
      <c r="QR324" s="32"/>
      <c r="QS324" s="32"/>
      <c r="QT324" s="32"/>
      <c r="QU324" s="32"/>
      <c r="QV324" s="32"/>
      <c r="QW324" s="32"/>
      <c r="QX324" s="32"/>
      <c r="QY324" s="32"/>
      <c r="QZ324" s="32"/>
      <c r="RA324" s="32"/>
      <c r="RB324" s="32"/>
      <c r="RC324" s="32"/>
      <c r="RD324" s="32"/>
      <c r="RE324" s="32"/>
      <c r="RF324" s="32"/>
      <c r="RG324" s="32"/>
      <c r="RH324" s="32"/>
      <c r="RI324" s="32"/>
      <c r="RJ324" s="32"/>
      <c r="RK324" s="32"/>
      <c r="RL324" s="32"/>
      <c r="RM324" s="32"/>
      <c r="RN324" s="32"/>
      <c r="RO324" s="32"/>
      <c r="RP324" s="32"/>
      <c r="RQ324" s="32"/>
      <c r="RR324" s="32"/>
      <c r="RS324" s="32"/>
      <c r="RT324" s="32"/>
      <c r="RU324" s="32"/>
      <c r="RV324" s="32"/>
      <c r="RW324" s="32"/>
      <c r="RX324" s="32"/>
      <c r="RY324" s="32"/>
      <c r="RZ324" s="32"/>
      <c r="SA324" s="32"/>
      <c r="SB324" s="32"/>
      <c r="SC324" s="32"/>
      <c r="SD324" s="32"/>
      <c r="SE324" s="32"/>
      <c r="SF324" s="32"/>
      <c r="SG324" s="32"/>
      <c r="SH324" s="32"/>
      <c r="SI324" s="32"/>
      <c r="SJ324" s="32"/>
      <c r="SK324" s="32"/>
      <c r="SL324" s="32"/>
      <c r="SM324" s="32"/>
      <c r="SN324" s="32"/>
      <c r="SO324" s="32"/>
      <c r="SP324" s="32"/>
      <c r="SQ324" s="32"/>
      <c r="SR324" s="32"/>
      <c r="SS324" s="32"/>
      <c r="ST324" s="32"/>
      <c r="SU324" s="32"/>
      <c r="SV324" s="32"/>
      <c r="SW324" s="32"/>
      <c r="SX324" s="32"/>
      <c r="SY324" s="32"/>
      <c r="SZ324" s="32"/>
      <c r="TA324" s="32"/>
      <c r="TB324" s="32"/>
      <c r="TC324" s="32"/>
      <c r="TD324" s="32"/>
      <c r="TE324" s="32"/>
      <c r="TF324" s="32"/>
      <c r="TG324" s="32"/>
    </row>
    <row r="325" spans="1:527" s="27" customFormat="1" ht="22.5" customHeight="1" x14ac:dyDescent="0.25">
      <c r="A325" s="66"/>
      <c r="B325" s="67"/>
      <c r="C325" s="68"/>
      <c r="D325" s="69"/>
      <c r="E325" s="154">
        <f>E321-'дод 8'!D257</f>
        <v>0</v>
      </c>
      <c r="F325" s="154">
        <f>F321-'дод 8'!E257</f>
        <v>0</v>
      </c>
      <c r="G325" s="154">
        <f>G321-'дод 8'!F257</f>
        <v>0</v>
      </c>
      <c r="H325" s="154">
        <f>H321-'дод 8'!G257</f>
        <v>0</v>
      </c>
      <c r="I325" s="154">
        <f>I321-'дод 8'!H257</f>
        <v>0</v>
      </c>
      <c r="J325" s="154">
        <f>J321-'дод 8'!I257</f>
        <v>0</v>
      </c>
      <c r="K325" s="154">
        <f>K321-'дод 8'!J257</f>
        <v>0</v>
      </c>
      <c r="L325" s="154">
        <f>L321-'дод 8'!K257</f>
        <v>0</v>
      </c>
      <c r="M325" s="154">
        <f>M321-'дод 8'!L257</f>
        <v>0</v>
      </c>
      <c r="N325" s="154">
        <f>N321-'дод 8'!M257</f>
        <v>0</v>
      </c>
      <c r="O325" s="154">
        <f>O321-'дод 8'!N257</f>
        <v>0</v>
      </c>
      <c r="P325" s="154">
        <f>P321-'дод 8'!O257</f>
        <v>0</v>
      </c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  <c r="CI325" s="32"/>
      <c r="CJ325" s="32"/>
      <c r="CK325" s="32"/>
      <c r="CL325" s="32"/>
      <c r="CM325" s="32"/>
      <c r="CN325" s="32"/>
      <c r="CO325" s="32"/>
      <c r="CP325" s="32"/>
      <c r="CQ325" s="32"/>
      <c r="CR325" s="32"/>
      <c r="CS325" s="32"/>
      <c r="CT325" s="32"/>
      <c r="CU325" s="32"/>
      <c r="CV325" s="32"/>
      <c r="CW325" s="32"/>
      <c r="CX325" s="32"/>
      <c r="CY325" s="32"/>
      <c r="CZ325" s="32"/>
      <c r="DA325" s="32"/>
      <c r="DB325" s="32"/>
      <c r="DC325" s="32"/>
      <c r="DD325" s="32"/>
      <c r="DE325" s="32"/>
      <c r="DF325" s="32"/>
      <c r="DG325" s="32"/>
      <c r="DH325" s="32"/>
      <c r="DI325" s="32"/>
      <c r="DJ325" s="32"/>
      <c r="DK325" s="32"/>
      <c r="DL325" s="32"/>
      <c r="DM325" s="32"/>
      <c r="DN325" s="32"/>
      <c r="DO325" s="32"/>
      <c r="DP325" s="32"/>
      <c r="DQ325" s="32"/>
      <c r="DR325" s="32"/>
      <c r="DS325" s="32"/>
      <c r="DT325" s="32"/>
      <c r="DU325" s="32"/>
      <c r="DV325" s="32"/>
      <c r="DW325" s="32"/>
      <c r="DX325" s="32"/>
      <c r="DY325" s="32"/>
      <c r="DZ325" s="32"/>
      <c r="EA325" s="32"/>
      <c r="EB325" s="32"/>
      <c r="EC325" s="32"/>
      <c r="ED325" s="32"/>
      <c r="EE325" s="32"/>
      <c r="EF325" s="32"/>
      <c r="EG325" s="32"/>
      <c r="EH325" s="32"/>
      <c r="EI325" s="32"/>
      <c r="EJ325" s="32"/>
      <c r="EK325" s="32"/>
      <c r="EL325" s="32"/>
      <c r="EM325" s="32"/>
      <c r="EN325" s="32"/>
      <c r="EO325" s="32"/>
      <c r="EP325" s="32"/>
      <c r="EQ325" s="32"/>
      <c r="ER325" s="32"/>
      <c r="ES325" s="32"/>
      <c r="ET325" s="32"/>
      <c r="EU325" s="32"/>
      <c r="EV325" s="32"/>
      <c r="EW325" s="32"/>
      <c r="EX325" s="32"/>
      <c r="EY325" s="32"/>
      <c r="EZ325" s="32"/>
      <c r="FA325" s="32"/>
      <c r="FB325" s="32"/>
      <c r="FC325" s="32"/>
      <c r="FD325" s="32"/>
      <c r="FE325" s="32"/>
      <c r="FF325" s="32"/>
      <c r="FG325" s="32"/>
      <c r="FH325" s="32"/>
      <c r="FI325" s="32"/>
      <c r="FJ325" s="32"/>
      <c r="FK325" s="32"/>
      <c r="FL325" s="32"/>
      <c r="FM325" s="32"/>
      <c r="FN325" s="32"/>
      <c r="FO325" s="32"/>
      <c r="FP325" s="32"/>
      <c r="FQ325" s="32"/>
      <c r="FR325" s="32"/>
      <c r="FS325" s="32"/>
      <c r="FT325" s="32"/>
      <c r="FU325" s="32"/>
      <c r="FV325" s="32"/>
      <c r="FW325" s="32"/>
      <c r="FX325" s="32"/>
      <c r="FY325" s="32"/>
      <c r="FZ325" s="32"/>
      <c r="GA325" s="32"/>
      <c r="GB325" s="32"/>
      <c r="GC325" s="32"/>
      <c r="GD325" s="32"/>
      <c r="GE325" s="32"/>
      <c r="GF325" s="32"/>
      <c r="GG325" s="32"/>
      <c r="GH325" s="32"/>
      <c r="GI325" s="32"/>
      <c r="GJ325" s="32"/>
      <c r="GK325" s="32"/>
      <c r="GL325" s="32"/>
      <c r="GM325" s="32"/>
      <c r="GN325" s="32"/>
      <c r="GO325" s="32"/>
      <c r="GP325" s="32"/>
      <c r="GQ325" s="32"/>
      <c r="GR325" s="32"/>
      <c r="GS325" s="32"/>
      <c r="GT325" s="32"/>
      <c r="GU325" s="32"/>
      <c r="GV325" s="32"/>
      <c r="GW325" s="32"/>
      <c r="GX325" s="32"/>
      <c r="GY325" s="32"/>
      <c r="GZ325" s="32"/>
      <c r="HA325" s="32"/>
      <c r="HB325" s="32"/>
      <c r="HC325" s="32"/>
      <c r="HD325" s="32"/>
      <c r="HE325" s="32"/>
      <c r="HF325" s="32"/>
      <c r="HG325" s="32"/>
      <c r="HH325" s="32"/>
      <c r="HI325" s="32"/>
      <c r="HJ325" s="32"/>
      <c r="HK325" s="32"/>
      <c r="HL325" s="32"/>
      <c r="HM325" s="32"/>
      <c r="HN325" s="32"/>
      <c r="HO325" s="32"/>
      <c r="HP325" s="32"/>
      <c r="HQ325" s="32"/>
      <c r="HR325" s="32"/>
      <c r="HS325" s="32"/>
      <c r="HT325" s="32"/>
      <c r="HU325" s="32"/>
      <c r="HV325" s="32"/>
      <c r="HW325" s="32"/>
      <c r="HX325" s="32"/>
      <c r="HY325" s="32"/>
      <c r="HZ325" s="32"/>
      <c r="IA325" s="32"/>
      <c r="IB325" s="32"/>
      <c r="IC325" s="32"/>
      <c r="ID325" s="32"/>
      <c r="IE325" s="32"/>
      <c r="IF325" s="32"/>
      <c r="IG325" s="32"/>
      <c r="IH325" s="32"/>
      <c r="II325" s="32"/>
      <c r="IJ325" s="32"/>
      <c r="IK325" s="32"/>
      <c r="IL325" s="32"/>
      <c r="IM325" s="32"/>
      <c r="IN325" s="32"/>
      <c r="IO325" s="32"/>
      <c r="IP325" s="32"/>
      <c r="IQ325" s="32"/>
      <c r="IR325" s="32"/>
      <c r="IS325" s="32"/>
      <c r="IT325" s="32"/>
      <c r="IU325" s="32"/>
      <c r="IV325" s="32"/>
      <c r="IW325" s="32"/>
      <c r="IX325" s="32"/>
      <c r="IY325" s="32"/>
      <c r="IZ325" s="32"/>
      <c r="JA325" s="32"/>
      <c r="JB325" s="32"/>
      <c r="JC325" s="32"/>
      <c r="JD325" s="32"/>
      <c r="JE325" s="32"/>
      <c r="JF325" s="32"/>
      <c r="JG325" s="32"/>
      <c r="JH325" s="32"/>
      <c r="JI325" s="32"/>
      <c r="JJ325" s="32"/>
      <c r="JK325" s="32"/>
      <c r="JL325" s="32"/>
      <c r="JM325" s="32"/>
      <c r="JN325" s="32"/>
      <c r="JO325" s="32"/>
      <c r="JP325" s="32"/>
      <c r="JQ325" s="32"/>
      <c r="JR325" s="32"/>
      <c r="JS325" s="32"/>
      <c r="JT325" s="32"/>
      <c r="JU325" s="32"/>
      <c r="JV325" s="32"/>
      <c r="JW325" s="32"/>
      <c r="JX325" s="32"/>
      <c r="JY325" s="32"/>
      <c r="JZ325" s="32"/>
      <c r="KA325" s="32"/>
      <c r="KB325" s="32"/>
      <c r="KC325" s="32"/>
      <c r="KD325" s="32"/>
      <c r="KE325" s="32"/>
      <c r="KF325" s="32"/>
      <c r="KG325" s="32"/>
      <c r="KH325" s="32"/>
      <c r="KI325" s="32"/>
      <c r="KJ325" s="32"/>
      <c r="KK325" s="32"/>
      <c r="KL325" s="32"/>
      <c r="KM325" s="32"/>
      <c r="KN325" s="32"/>
      <c r="KO325" s="32"/>
      <c r="KP325" s="32"/>
      <c r="KQ325" s="32"/>
      <c r="KR325" s="32"/>
      <c r="KS325" s="32"/>
      <c r="KT325" s="32"/>
      <c r="KU325" s="32"/>
      <c r="KV325" s="32"/>
      <c r="KW325" s="32"/>
      <c r="KX325" s="32"/>
      <c r="KY325" s="32"/>
      <c r="KZ325" s="32"/>
      <c r="LA325" s="32"/>
      <c r="LB325" s="32"/>
      <c r="LC325" s="32"/>
      <c r="LD325" s="32"/>
      <c r="LE325" s="32"/>
      <c r="LF325" s="32"/>
      <c r="LG325" s="32"/>
      <c r="LH325" s="32"/>
      <c r="LI325" s="32"/>
      <c r="LJ325" s="32"/>
      <c r="LK325" s="32"/>
      <c r="LL325" s="32"/>
      <c r="LM325" s="32"/>
      <c r="LN325" s="32"/>
      <c r="LO325" s="32"/>
      <c r="LP325" s="32"/>
      <c r="LQ325" s="32"/>
      <c r="LR325" s="32"/>
      <c r="LS325" s="32"/>
      <c r="LT325" s="32"/>
      <c r="LU325" s="32"/>
      <c r="LV325" s="32"/>
      <c r="LW325" s="32"/>
      <c r="LX325" s="32"/>
      <c r="LY325" s="32"/>
      <c r="LZ325" s="32"/>
      <c r="MA325" s="32"/>
      <c r="MB325" s="32"/>
      <c r="MC325" s="32"/>
      <c r="MD325" s="32"/>
      <c r="ME325" s="32"/>
      <c r="MF325" s="32"/>
      <c r="MG325" s="32"/>
      <c r="MH325" s="32"/>
      <c r="MI325" s="32"/>
      <c r="MJ325" s="32"/>
      <c r="MK325" s="32"/>
      <c r="ML325" s="32"/>
      <c r="MM325" s="32"/>
      <c r="MN325" s="32"/>
      <c r="MO325" s="32"/>
      <c r="MP325" s="32"/>
      <c r="MQ325" s="32"/>
      <c r="MR325" s="32"/>
      <c r="MS325" s="32"/>
      <c r="MT325" s="32"/>
      <c r="MU325" s="32"/>
      <c r="MV325" s="32"/>
      <c r="MW325" s="32"/>
      <c r="MX325" s="32"/>
      <c r="MY325" s="32"/>
      <c r="MZ325" s="32"/>
      <c r="NA325" s="32"/>
      <c r="NB325" s="32"/>
      <c r="NC325" s="32"/>
      <c r="ND325" s="32"/>
      <c r="NE325" s="32"/>
      <c r="NF325" s="32"/>
      <c r="NG325" s="32"/>
      <c r="NH325" s="32"/>
      <c r="NI325" s="32"/>
      <c r="NJ325" s="32"/>
      <c r="NK325" s="32"/>
      <c r="NL325" s="32"/>
      <c r="NM325" s="32"/>
      <c r="NN325" s="32"/>
      <c r="NO325" s="32"/>
      <c r="NP325" s="32"/>
      <c r="NQ325" s="32"/>
      <c r="NR325" s="32"/>
      <c r="NS325" s="32"/>
      <c r="NT325" s="32"/>
      <c r="NU325" s="32"/>
      <c r="NV325" s="32"/>
      <c r="NW325" s="32"/>
      <c r="NX325" s="32"/>
      <c r="NY325" s="32"/>
      <c r="NZ325" s="32"/>
      <c r="OA325" s="32"/>
      <c r="OB325" s="32"/>
      <c r="OC325" s="32"/>
      <c r="OD325" s="32"/>
      <c r="OE325" s="32"/>
      <c r="OF325" s="32"/>
      <c r="OG325" s="32"/>
      <c r="OH325" s="32"/>
      <c r="OI325" s="32"/>
      <c r="OJ325" s="32"/>
      <c r="OK325" s="32"/>
      <c r="OL325" s="32"/>
      <c r="OM325" s="32"/>
      <c r="ON325" s="32"/>
      <c r="OO325" s="32"/>
      <c r="OP325" s="32"/>
      <c r="OQ325" s="32"/>
      <c r="OR325" s="32"/>
      <c r="OS325" s="32"/>
      <c r="OT325" s="32"/>
      <c r="OU325" s="32"/>
      <c r="OV325" s="32"/>
      <c r="OW325" s="32"/>
      <c r="OX325" s="32"/>
      <c r="OY325" s="32"/>
      <c r="OZ325" s="32"/>
      <c r="PA325" s="32"/>
      <c r="PB325" s="32"/>
      <c r="PC325" s="32"/>
      <c r="PD325" s="32"/>
      <c r="PE325" s="32"/>
      <c r="PF325" s="32"/>
      <c r="PG325" s="32"/>
      <c r="PH325" s="32"/>
      <c r="PI325" s="32"/>
      <c r="PJ325" s="32"/>
      <c r="PK325" s="32"/>
      <c r="PL325" s="32"/>
      <c r="PM325" s="32"/>
      <c r="PN325" s="32"/>
      <c r="PO325" s="32"/>
      <c r="PP325" s="32"/>
      <c r="PQ325" s="32"/>
      <c r="PR325" s="32"/>
      <c r="PS325" s="32"/>
      <c r="PT325" s="32"/>
      <c r="PU325" s="32"/>
      <c r="PV325" s="32"/>
      <c r="PW325" s="32"/>
      <c r="PX325" s="32"/>
      <c r="PY325" s="32"/>
      <c r="PZ325" s="32"/>
      <c r="QA325" s="32"/>
      <c r="QB325" s="32"/>
      <c r="QC325" s="32"/>
      <c r="QD325" s="32"/>
      <c r="QE325" s="32"/>
      <c r="QF325" s="32"/>
      <c r="QG325" s="32"/>
      <c r="QH325" s="32"/>
      <c r="QI325" s="32"/>
      <c r="QJ325" s="32"/>
      <c r="QK325" s="32"/>
      <c r="QL325" s="32"/>
      <c r="QM325" s="32"/>
      <c r="QN325" s="32"/>
      <c r="QO325" s="32"/>
      <c r="QP325" s="32"/>
      <c r="QQ325" s="32"/>
      <c r="QR325" s="32"/>
      <c r="QS325" s="32"/>
      <c r="QT325" s="32"/>
      <c r="QU325" s="32"/>
      <c r="QV325" s="32"/>
      <c r="QW325" s="32"/>
      <c r="QX325" s="32"/>
      <c r="QY325" s="32"/>
      <c r="QZ325" s="32"/>
      <c r="RA325" s="32"/>
      <c r="RB325" s="32"/>
      <c r="RC325" s="32"/>
      <c r="RD325" s="32"/>
      <c r="RE325" s="32"/>
      <c r="RF325" s="32"/>
      <c r="RG325" s="32"/>
      <c r="RH325" s="32"/>
      <c r="RI325" s="32"/>
      <c r="RJ325" s="32"/>
      <c r="RK325" s="32"/>
      <c r="RL325" s="32"/>
      <c r="RM325" s="32"/>
      <c r="RN325" s="32"/>
      <c r="RO325" s="32"/>
      <c r="RP325" s="32"/>
      <c r="RQ325" s="32"/>
      <c r="RR325" s="32"/>
      <c r="RS325" s="32"/>
      <c r="RT325" s="32"/>
      <c r="RU325" s="32"/>
      <c r="RV325" s="32"/>
      <c r="RW325" s="32"/>
      <c r="RX325" s="32"/>
      <c r="RY325" s="32"/>
      <c r="RZ325" s="32"/>
      <c r="SA325" s="32"/>
      <c r="SB325" s="32"/>
      <c r="SC325" s="32"/>
      <c r="SD325" s="32"/>
      <c r="SE325" s="32"/>
      <c r="SF325" s="32"/>
      <c r="SG325" s="32"/>
      <c r="SH325" s="32"/>
      <c r="SI325" s="32"/>
      <c r="SJ325" s="32"/>
      <c r="SK325" s="32"/>
      <c r="SL325" s="32"/>
      <c r="SM325" s="32"/>
      <c r="SN325" s="32"/>
      <c r="SO325" s="32"/>
      <c r="SP325" s="32"/>
      <c r="SQ325" s="32"/>
      <c r="SR325" s="32"/>
      <c r="SS325" s="32"/>
      <c r="ST325" s="32"/>
      <c r="SU325" s="32"/>
      <c r="SV325" s="32"/>
      <c r="SW325" s="32"/>
      <c r="SX325" s="32"/>
      <c r="SY325" s="32"/>
      <c r="SZ325" s="32"/>
      <c r="TA325" s="32"/>
      <c r="TB325" s="32"/>
      <c r="TC325" s="32"/>
      <c r="TD325" s="32"/>
      <c r="TE325" s="32"/>
      <c r="TF325" s="32"/>
      <c r="TG325" s="32"/>
    </row>
    <row r="326" spans="1:527" s="146" customFormat="1" ht="54" customHeight="1" x14ac:dyDescent="0.55000000000000004">
      <c r="A326" s="143" t="s">
        <v>622</v>
      </c>
      <c r="B326" s="144"/>
      <c r="C326" s="145"/>
      <c r="D326" s="135"/>
      <c r="E326" s="154">
        <f>E322-'дод 8'!D258</f>
        <v>0</v>
      </c>
      <c r="F326" s="135"/>
      <c r="G326" s="135"/>
      <c r="H326" s="135"/>
      <c r="I326" s="135"/>
      <c r="J326" s="135"/>
      <c r="M326" s="135"/>
      <c r="N326" s="135" t="s">
        <v>626</v>
      </c>
      <c r="O326" s="136"/>
      <c r="P326" s="136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7"/>
      <c r="AE326" s="147"/>
      <c r="AF326" s="147"/>
      <c r="AG326" s="147"/>
      <c r="AH326" s="147"/>
      <c r="AI326" s="147"/>
      <c r="AJ326" s="147"/>
      <c r="AK326" s="147"/>
      <c r="AL326" s="147"/>
      <c r="AM326" s="147"/>
      <c r="AN326" s="147"/>
      <c r="AO326" s="147"/>
      <c r="AP326" s="147"/>
      <c r="AQ326" s="147"/>
      <c r="AR326" s="147"/>
      <c r="AS326" s="147"/>
      <c r="AT326" s="147"/>
      <c r="AU326" s="147"/>
      <c r="AV326" s="147"/>
      <c r="AW326" s="147"/>
      <c r="AX326" s="147"/>
      <c r="AY326" s="147"/>
      <c r="AZ326" s="147"/>
      <c r="BA326" s="147"/>
      <c r="BB326" s="147"/>
      <c r="BC326" s="147"/>
      <c r="BD326" s="147"/>
      <c r="BE326" s="147"/>
      <c r="BF326" s="147"/>
      <c r="BG326" s="147"/>
      <c r="BH326" s="147"/>
      <c r="BI326" s="147"/>
      <c r="BJ326" s="147"/>
      <c r="BK326" s="147"/>
      <c r="BL326" s="147"/>
      <c r="BM326" s="147"/>
      <c r="BN326" s="147"/>
      <c r="BO326" s="147"/>
      <c r="BP326" s="147"/>
      <c r="BQ326" s="147"/>
      <c r="BR326" s="147"/>
      <c r="BS326" s="147"/>
      <c r="BT326" s="147"/>
      <c r="BU326" s="147"/>
      <c r="BV326" s="147"/>
      <c r="BW326" s="147"/>
      <c r="BX326" s="147"/>
      <c r="BY326" s="147"/>
      <c r="BZ326" s="147"/>
      <c r="CA326" s="147"/>
      <c r="CB326" s="147"/>
      <c r="CC326" s="147"/>
      <c r="CD326" s="147"/>
      <c r="CE326" s="147"/>
      <c r="CF326" s="147"/>
      <c r="CG326" s="147"/>
      <c r="CH326" s="147"/>
      <c r="CI326" s="147"/>
      <c r="CJ326" s="147"/>
      <c r="CK326" s="147"/>
      <c r="CL326" s="147"/>
      <c r="CM326" s="147"/>
      <c r="CN326" s="147"/>
      <c r="CO326" s="147"/>
      <c r="CP326" s="147"/>
      <c r="CQ326" s="147"/>
      <c r="CR326" s="147"/>
      <c r="CS326" s="147"/>
      <c r="CT326" s="147"/>
      <c r="CU326" s="147"/>
      <c r="CV326" s="147"/>
      <c r="CW326" s="147"/>
      <c r="CX326" s="147"/>
      <c r="CY326" s="147"/>
      <c r="CZ326" s="147"/>
      <c r="DA326" s="147"/>
      <c r="DB326" s="147"/>
      <c r="DC326" s="147"/>
      <c r="DD326" s="147"/>
      <c r="DE326" s="147"/>
      <c r="DF326" s="147"/>
      <c r="DG326" s="147"/>
      <c r="DH326" s="147"/>
      <c r="DI326" s="147"/>
      <c r="DJ326" s="147"/>
      <c r="DK326" s="147"/>
      <c r="DL326" s="147"/>
      <c r="DM326" s="147"/>
      <c r="DN326" s="147"/>
      <c r="DO326" s="147"/>
      <c r="DP326" s="147"/>
      <c r="DQ326" s="147"/>
      <c r="DR326" s="147"/>
      <c r="DS326" s="147"/>
      <c r="DT326" s="147"/>
      <c r="DU326" s="147"/>
      <c r="DV326" s="147"/>
      <c r="DW326" s="147"/>
      <c r="DX326" s="147"/>
      <c r="DY326" s="147"/>
      <c r="DZ326" s="147"/>
      <c r="EA326" s="147"/>
      <c r="EB326" s="147"/>
      <c r="EC326" s="147"/>
      <c r="ED326" s="147"/>
      <c r="EE326" s="147"/>
      <c r="EF326" s="147"/>
      <c r="EG326" s="147"/>
      <c r="EH326" s="147"/>
      <c r="EI326" s="147"/>
      <c r="EJ326" s="147"/>
      <c r="EK326" s="147"/>
      <c r="EL326" s="147"/>
      <c r="EM326" s="147"/>
      <c r="EN326" s="147"/>
      <c r="EO326" s="147"/>
      <c r="EP326" s="147"/>
      <c r="EQ326" s="147"/>
      <c r="ER326" s="147"/>
      <c r="ES326" s="147"/>
      <c r="ET326" s="147"/>
      <c r="EU326" s="147"/>
      <c r="EV326" s="147"/>
      <c r="EW326" s="147"/>
      <c r="EX326" s="147"/>
      <c r="EY326" s="147"/>
      <c r="EZ326" s="147"/>
      <c r="FA326" s="147"/>
      <c r="FB326" s="147"/>
      <c r="FC326" s="147"/>
      <c r="FD326" s="147"/>
      <c r="FE326" s="147"/>
      <c r="FF326" s="147"/>
      <c r="FG326" s="147"/>
      <c r="FH326" s="147"/>
      <c r="FI326" s="147"/>
      <c r="FJ326" s="147"/>
      <c r="FK326" s="147"/>
      <c r="FL326" s="147"/>
      <c r="FM326" s="147"/>
      <c r="FN326" s="147"/>
      <c r="FO326" s="147"/>
      <c r="FP326" s="147"/>
      <c r="FQ326" s="147"/>
      <c r="FR326" s="147"/>
      <c r="FS326" s="147"/>
      <c r="FT326" s="147"/>
      <c r="FU326" s="147"/>
      <c r="FV326" s="147"/>
      <c r="FW326" s="147"/>
      <c r="FX326" s="147"/>
      <c r="FY326" s="147"/>
      <c r="FZ326" s="147"/>
      <c r="GA326" s="147"/>
      <c r="GB326" s="147"/>
      <c r="GC326" s="147"/>
      <c r="GD326" s="147"/>
      <c r="GE326" s="147"/>
      <c r="GF326" s="147"/>
      <c r="GG326" s="147"/>
      <c r="GH326" s="147"/>
      <c r="GI326" s="147"/>
      <c r="GJ326" s="147"/>
      <c r="GK326" s="147"/>
      <c r="GL326" s="147"/>
      <c r="GM326" s="147"/>
      <c r="GN326" s="147"/>
      <c r="GO326" s="147"/>
      <c r="GP326" s="147"/>
      <c r="GQ326" s="147"/>
      <c r="GR326" s="147"/>
      <c r="GS326" s="147"/>
      <c r="GT326" s="147"/>
      <c r="GU326" s="147"/>
      <c r="GV326" s="147"/>
      <c r="GW326" s="147"/>
      <c r="GX326" s="147"/>
      <c r="GY326" s="147"/>
      <c r="GZ326" s="147"/>
      <c r="HA326" s="147"/>
      <c r="HB326" s="147"/>
      <c r="HC326" s="147"/>
      <c r="HD326" s="147"/>
      <c r="HE326" s="147"/>
      <c r="HF326" s="147"/>
      <c r="HG326" s="147"/>
      <c r="HH326" s="147"/>
      <c r="HI326" s="147"/>
      <c r="HJ326" s="147"/>
      <c r="HK326" s="147"/>
      <c r="HL326" s="147"/>
      <c r="HM326" s="147"/>
      <c r="HN326" s="147"/>
      <c r="HO326" s="147"/>
      <c r="HP326" s="147"/>
      <c r="HQ326" s="147"/>
      <c r="HR326" s="147"/>
      <c r="HS326" s="147"/>
      <c r="HT326" s="147"/>
      <c r="HU326" s="147"/>
      <c r="HV326" s="147"/>
      <c r="HW326" s="147"/>
      <c r="HX326" s="147"/>
      <c r="HY326" s="147"/>
      <c r="HZ326" s="147"/>
      <c r="IA326" s="147"/>
      <c r="IB326" s="147"/>
      <c r="IC326" s="147"/>
      <c r="ID326" s="147"/>
      <c r="IE326" s="147"/>
      <c r="IF326" s="147"/>
      <c r="IG326" s="147"/>
      <c r="IH326" s="147"/>
      <c r="II326" s="147"/>
      <c r="IJ326" s="147"/>
      <c r="IK326" s="147"/>
      <c r="IL326" s="147"/>
      <c r="IM326" s="147"/>
      <c r="IN326" s="147"/>
      <c r="IO326" s="147"/>
      <c r="IP326" s="147"/>
      <c r="IQ326" s="147"/>
      <c r="IR326" s="147"/>
      <c r="IS326" s="147"/>
      <c r="IT326" s="147"/>
      <c r="IU326" s="147"/>
      <c r="IV326" s="147"/>
      <c r="IW326" s="147"/>
      <c r="IX326" s="147"/>
      <c r="IY326" s="147"/>
      <c r="IZ326" s="147"/>
      <c r="JA326" s="147"/>
      <c r="JB326" s="147"/>
      <c r="JC326" s="147"/>
      <c r="JD326" s="147"/>
      <c r="JE326" s="147"/>
      <c r="JF326" s="147"/>
      <c r="JG326" s="147"/>
      <c r="JH326" s="147"/>
      <c r="JI326" s="147"/>
      <c r="JJ326" s="147"/>
      <c r="JK326" s="147"/>
      <c r="JL326" s="147"/>
      <c r="JM326" s="147"/>
      <c r="JN326" s="147"/>
      <c r="JO326" s="147"/>
      <c r="JP326" s="147"/>
      <c r="JQ326" s="147"/>
      <c r="JR326" s="147"/>
      <c r="JS326" s="147"/>
      <c r="JT326" s="147"/>
      <c r="JU326" s="147"/>
      <c r="JV326" s="147"/>
      <c r="JW326" s="147"/>
      <c r="JX326" s="147"/>
      <c r="JY326" s="147"/>
      <c r="JZ326" s="147"/>
      <c r="KA326" s="147"/>
      <c r="KB326" s="147"/>
      <c r="KC326" s="147"/>
      <c r="KD326" s="147"/>
      <c r="KE326" s="147"/>
      <c r="KF326" s="147"/>
      <c r="KG326" s="147"/>
      <c r="KH326" s="147"/>
      <c r="KI326" s="147"/>
      <c r="KJ326" s="147"/>
      <c r="KK326" s="147"/>
      <c r="KL326" s="147"/>
      <c r="KM326" s="147"/>
      <c r="KN326" s="147"/>
      <c r="KO326" s="147"/>
      <c r="KP326" s="147"/>
      <c r="KQ326" s="147"/>
      <c r="KR326" s="147"/>
      <c r="KS326" s="147"/>
      <c r="KT326" s="147"/>
      <c r="KU326" s="147"/>
      <c r="KV326" s="147"/>
      <c r="KW326" s="147"/>
      <c r="KX326" s="147"/>
      <c r="KY326" s="147"/>
      <c r="KZ326" s="147"/>
      <c r="LA326" s="147"/>
      <c r="LB326" s="147"/>
      <c r="LC326" s="147"/>
      <c r="LD326" s="147"/>
      <c r="LE326" s="147"/>
      <c r="LF326" s="147"/>
      <c r="LG326" s="147"/>
      <c r="LH326" s="147"/>
      <c r="LI326" s="147"/>
      <c r="LJ326" s="147"/>
      <c r="LK326" s="147"/>
      <c r="LL326" s="147"/>
      <c r="LM326" s="147"/>
      <c r="LN326" s="147"/>
      <c r="LO326" s="147"/>
      <c r="LP326" s="147"/>
      <c r="LQ326" s="147"/>
      <c r="LR326" s="147"/>
      <c r="LS326" s="147"/>
      <c r="LT326" s="147"/>
      <c r="LU326" s="147"/>
      <c r="LV326" s="147"/>
      <c r="LW326" s="147"/>
      <c r="LX326" s="147"/>
      <c r="LY326" s="147"/>
      <c r="LZ326" s="147"/>
      <c r="MA326" s="147"/>
      <c r="MB326" s="147"/>
      <c r="MC326" s="147"/>
      <c r="MD326" s="147"/>
      <c r="ME326" s="147"/>
      <c r="MF326" s="147"/>
      <c r="MG326" s="147"/>
      <c r="MH326" s="147"/>
      <c r="MI326" s="147"/>
      <c r="MJ326" s="147"/>
      <c r="MK326" s="147"/>
      <c r="ML326" s="147"/>
      <c r="MM326" s="147"/>
      <c r="MN326" s="147"/>
      <c r="MO326" s="147"/>
      <c r="MP326" s="147"/>
      <c r="MQ326" s="147"/>
      <c r="MR326" s="147"/>
      <c r="MS326" s="147"/>
      <c r="MT326" s="147"/>
      <c r="MU326" s="147"/>
      <c r="MV326" s="147"/>
      <c r="MW326" s="147"/>
      <c r="MX326" s="147"/>
      <c r="MY326" s="147"/>
      <c r="MZ326" s="147"/>
      <c r="NA326" s="147"/>
      <c r="NB326" s="147"/>
      <c r="NC326" s="147"/>
      <c r="ND326" s="147"/>
      <c r="NE326" s="147"/>
      <c r="NF326" s="147"/>
      <c r="NG326" s="147"/>
      <c r="NH326" s="147"/>
      <c r="NI326" s="147"/>
      <c r="NJ326" s="147"/>
      <c r="NK326" s="147"/>
      <c r="NL326" s="147"/>
      <c r="NM326" s="147"/>
      <c r="NN326" s="147"/>
      <c r="NO326" s="147"/>
      <c r="NP326" s="147"/>
      <c r="NQ326" s="147"/>
      <c r="NR326" s="147"/>
      <c r="NS326" s="147"/>
      <c r="NT326" s="147"/>
      <c r="NU326" s="147"/>
      <c r="NV326" s="147"/>
      <c r="NW326" s="147"/>
      <c r="NX326" s="147"/>
      <c r="NY326" s="147"/>
      <c r="NZ326" s="147"/>
      <c r="OA326" s="147"/>
      <c r="OB326" s="147"/>
      <c r="OC326" s="147"/>
      <c r="OD326" s="147"/>
      <c r="OE326" s="147"/>
      <c r="OF326" s="147"/>
      <c r="OG326" s="147"/>
      <c r="OH326" s="147"/>
      <c r="OI326" s="147"/>
      <c r="OJ326" s="147"/>
      <c r="OK326" s="147"/>
      <c r="OL326" s="147"/>
      <c r="OM326" s="147"/>
      <c r="ON326" s="147"/>
      <c r="OO326" s="147"/>
      <c r="OP326" s="147"/>
      <c r="OQ326" s="147"/>
      <c r="OR326" s="147"/>
      <c r="OS326" s="147"/>
      <c r="OT326" s="147"/>
      <c r="OU326" s="147"/>
      <c r="OV326" s="147"/>
      <c r="OW326" s="147"/>
      <c r="OX326" s="147"/>
      <c r="OY326" s="147"/>
      <c r="OZ326" s="147"/>
      <c r="PA326" s="147"/>
      <c r="PB326" s="147"/>
      <c r="PC326" s="147"/>
      <c r="PD326" s="147"/>
      <c r="PE326" s="147"/>
      <c r="PF326" s="147"/>
      <c r="PG326" s="147"/>
      <c r="PH326" s="147"/>
      <c r="PI326" s="147"/>
      <c r="PJ326" s="147"/>
      <c r="PK326" s="147"/>
      <c r="PL326" s="147"/>
      <c r="PM326" s="147"/>
      <c r="PN326" s="147"/>
      <c r="PO326" s="147"/>
      <c r="PP326" s="147"/>
      <c r="PQ326" s="147"/>
      <c r="PR326" s="147"/>
      <c r="PS326" s="147"/>
      <c r="PT326" s="147"/>
      <c r="PU326" s="147"/>
      <c r="PV326" s="147"/>
      <c r="PW326" s="147"/>
      <c r="PX326" s="147"/>
      <c r="PY326" s="147"/>
      <c r="PZ326" s="147"/>
      <c r="QA326" s="147"/>
      <c r="QB326" s="147"/>
      <c r="QC326" s="147"/>
      <c r="QD326" s="147"/>
      <c r="QE326" s="147"/>
      <c r="QF326" s="147"/>
      <c r="QG326" s="147"/>
      <c r="QH326" s="147"/>
      <c r="QI326" s="147"/>
      <c r="QJ326" s="147"/>
      <c r="QK326" s="147"/>
      <c r="QL326" s="147"/>
      <c r="QM326" s="147"/>
      <c r="QN326" s="147"/>
      <c r="QO326" s="147"/>
      <c r="QP326" s="147"/>
      <c r="QQ326" s="147"/>
      <c r="QR326" s="147"/>
      <c r="QS326" s="147"/>
      <c r="QT326" s="147"/>
      <c r="QU326" s="147"/>
      <c r="QV326" s="147"/>
      <c r="QW326" s="147"/>
      <c r="QX326" s="147"/>
      <c r="QY326" s="147"/>
      <c r="QZ326" s="147"/>
      <c r="RA326" s="147"/>
      <c r="RB326" s="147"/>
      <c r="RC326" s="147"/>
      <c r="RD326" s="147"/>
      <c r="RE326" s="147"/>
      <c r="RF326" s="147"/>
      <c r="RG326" s="147"/>
      <c r="RH326" s="147"/>
      <c r="RI326" s="147"/>
      <c r="RJ326" s="147"/>
      <c r="RK326" s="147"/>
      <c r="RL326" s="147"/>
      <c r="RM326" s="147"/>
      <c r="RN326" s="147"/>
      <c r="RO326" s="147"/>
      <c r="RP326" s="147"/>
      <c r="RQ326" s="147"/>
      <c r="RR326" s="147"/>
      <c r="RS326" s="147"/>
      <c r="RT326" s="147"/>
      <c r="RU326" s="147"/>
      <c r="RV326" s="147"/>
      <c r="RW326" s="147"/>
      <c r="RX326" s="147"/>
      <c r="RY326" s="147"/>
      <c r="RZ326" s="147"/>
      <c r="SA326" s="147"/>
      <c r="SB326" s="147"/>
      <c r="SC326" s="147"/>
      <c r="SD326" s="147"/>
      <c r="SE326" s="147"/>
      <c r="SF326" s="147"/>
      <c r="SG326" s="147"/>
      <c r="SH326" s="147"/>
      <c r="SI326" s="147"/>
      <c r="SJ326" s="147"/>
      <c r="SK326" s="147"/>
      <c r="SL326" s="147"/>
      <c r="SM326" s="147"/>
      <c r="SN326" s="147"/>
      <c r="SO326" s="147"/>
      <c r="SP326" s="147"/>
      <c r="SQ326" s="147"/>
      <c r="SR326" s="147"/>
      <c r="SS326" s="147"/>
      <c r="ST326" s="147"/>
      <c r="SU326" s="147"/>
      <c r="SV326" s="147"/>
      <c r="SW326" s="147"/>
      <c r="SX326" s="147"/>
      <c r="SY326" s="147"/>
      <c r="SZ326" s="147"/>
      <c r="TA326" s="147"/>
      <c r="TB326" s="147"/>
      <c r="TC326" s="147"/>
      <c r="TD326" s="147"/>
      <c r="TE326" s="147"/>
      <c r="TF326" s="147"/>
      <c r="TG326" s="147"/>
    </row>
    <row r="327" spans="1:527" s="28" customFormat="1" ht="34.5" customHeight="1" x14ac:dyDescent="0.25">
      <c r="A327" s="56"/>
      <c r="B327" s="61"/>
      <c r="C327" s="61"/>
      <c r="D327" s="35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155"/>
    </row>
    <row r="328" spans="1:527" s="139" customFormat="1" ht="41.25" customHeight="1" x14ac:dyDescent="0.45">
      <c r="A328" s="137" t="s">
        <v>620</v>
      </c>
      <c r="B328" s="137"/>
      <c r="C328" s="137"/>
      <c r="D328" s="137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</row>
    <row r="329" spans="1:527" s="126" customFormat="1" ht="39.75" customHeight="1" x14ac:dyDescent="0.4">
      <c r="A329" s="163" t="s">
        <v>618</v>
      </c>
      <c r="B329" s="163"/>
      <c r="C329" s="163"/>
      <c r="D329" s="163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</row>
    <row r="330" spans="1:527" s="126" customFormat="1" ht="26.25" x14ac:dyDescent="0.4">
      <c r="A330" s="127"/>
      <c r="B330" s="128"/>
      <c r="C330" s="128"/>
      <c r="D330" s="129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</row>
    <row r="331" spans="1:527" s="28" customFormat="1" x14ac:dyDescent="0.25">
      <c r="A331" s="56"/>
      <c r="B331" s="61"/>
      <c r="C331" s="61"/>
      <c r="D331" s="35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</row>
    <row r="332" spans="1:527" s="28" customFormat="1" x14ac:dyDescent="0.25">
      <c r="A332" s="56"/>
      <c r="B332" s="61"/>
      <c r="C332" s="61"/>
      <c r="D332" s="35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</row>
    <row r="333" spans="1:527" s="28" customFormat="1" x14ac:dyDescent="0.25">
      <c r="A333" s="56"/>
      <c r="B333" s="61"/>
      <c r="C333" s="61"/>
      <c r="D333" s="35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</row>
    <row r="334" spans="1:527" s="28" customFormat="1" x14ac:dyDescent="0.25">
      <c r="A334" s="56"/>
      <c r="B334" s="61"/>
      <c r="C334" s="61"/>
      <c r="D334" s="35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</row>
    <row r="335" spans="1:527" s="28" customFormat="1" x14ac:dyDescent="0.25">
      <c r="A335" s="56"/>
      <c r="B335" s="61"/>
      <c r="C335" s="61"/>
      <c r="D335" s="35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155"/>
    </row>
    <row r="336" spans="1:527" s="28" customFormat="1" x14ac:dyDescent="0.25">
      <c r="A336" s="56"/>
      <c r="B336" s="61"/>
      <c r="C336" s="61"/>
      <c r="D336" s="35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155"/>
    </row>
    <row r="337" spans="1:16" s="28" customFormat="1" x14ac:dyDescent="0.25">
      <c r="A337" s="56"/>
      <c r="B337" s="61"/>
      <c r="C337" s="61"/>
      <c r="D337" s="35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155"/>
    </row>
    <row r="338" spans="1:16" s="28" customFormat="1" x14ac:dyDescent="0.25">
      <c r="A338" s="56"/>
      <c r="B338" s="61"/>
      <c r="C338" s="61"/>
      <c r="D338" s="35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155"/>
    </row>
    <row r="339" spans="1:16" s="28" customFormat="1" x14ac:dyDescent="0.25">
      <c r="A339" s="56"/>
      <c r="B339" s="61"/>
      <c r="C339" s="61"/>
      <c r="D339" s="35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155"/>
    </row>
    <row r="340" spans="1:16" s="28" customFormat="1" x14ac:dyDescent="0.25">
      <c r="A340" s="56"/>
      <c r="B340" s="61"/>
      <c r="C340" s="61"/>
      <c r="D340" s="35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155"/>
    </row>
    <row r="341" spans="1:16" s="28" customFormat="1" x14ac:dyDescent="0.25">
      <c r="A341" s="56"/>
      <c r="B341" s="61"/>
      <c r="C341" s="61"/>
      <c r="D341" s="35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155"/>
    </row>
    <row r="342" spans="1:16" s="28" customFormat="1" x14ac:dyDescent="0.25">
      <c r="A342" s="56"/>
      <c r="B342" s="61"/>
      <c r="C342" s="61"/>
      <c r="D342" s="35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155"/>
    </row>
    <row r="343" spans="1:16" s="28" customFormat="1" x14ac:dyDescent="0.25">
      <c r="A343" s="56"/>
      <c r="B343" s="61"/>
      <c r="C343" s="61"/>
      <c r="D343" s="35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155"/>
    </row>
    <row r="344" spans="1:16" s="28" customFormat="1" x14ac:dyDescent="0.25">
      <c r="A344" s="56"/>
      <c r="B344" s="61"/>
      <c r="C344" s="61"/>
      <c r="D344" s="35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155"/>
    </row>
    <row r="345" spans="1:16" s="28" customFormat="1" x14ac:dyDescent="0.25">
      <c r="A345" s="56"/>
      <c r="B345" s="61"/>
      <c r="C345" s="61"/>
      <c r="D345" s="35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155"/>
    </row>
    <row r="346" spans="1:16" s="28" customFormat="1" x14ac:dyDescent="0.25">
      <c r="A346" s="56"/>
      <c r="B346" s="61"/>
      <c r="C346" s="61"/>
      <c r="D346" s="3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155"/>
    </row>
    <row r="347" spans="1:16" s="28" customFormat="1" x14ac:dyDescent="0.25">
      <c r="A347" s="56"/>
      <c r="B347" s="61"/>
      <c r="C347" s="61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155"/>
    </row>
    <row r="348" spans="1:16" s="28" customFormat="1" x14ac:dyDescent="0.25">
      <c r="A348" s="56"/>
      <c r="B348" s="61"/>
      <c r="C348" s="61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155"/>
    </row>
    <row r="349" spans="1:16" s="28" customFormat="1" x14ac:dyDescent="0.25">
      <c r="A349" s="56"/>
      <c r="B349" s="61"/>
      <c r="C349" s="61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155"/>
    </row>
    <row r="350" spans="1:16" s="28" customFormat="1" x14ac:dyDescent="0.25">
      <c r="A350" s="56"/>
      <c r="B350" s="61"/>
      <c r="C350" s="61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155"/>
    </row>
    <row r="351" spans="1:16" s="28" customFormat="1" x14ac:dyDescent="0.25">
      <c r="A351" s="56"/>
      <c r="B351" s="61"/>
      <c r="C351" s="61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155"/>
    </row>
    <row r="352" spans="1:16" s="28" customFormat="1" x14ac:dyDescent="0.25">
      <c r="A352" s="56"/>
      <c r="B352" s="61"/>
      <c r="C352" s="61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155"/>
    </row>
    <row r="353" spans="1:16" s="28" customFormat="1" x14ac:dyDescent="0.25">
      <c r="A353" s="56"/>
      <c r="B353" s="61"/>
      <c r="C353" s="61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155"/>
    </row>
    <row r="354" spans="1:16" s="28" customFormat="1" x14ac:dyDescent="0.25">
      <c r="A354" s="56"/>
      <c r="B354" s="61"/>
      <c r="C354" s="61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155"/>
    </row>
    <row r="355" spans="1:16" s="28" customFormat="1" x14ac:dyDescent="0.25">
      <c r="A355" s="56"/>
      <c r="B355" s="61"/>
      <c r="C355" s="61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155"/>
    </row>
    <row r="356" spans="1:16" s="28" customFormat="1" x14ac:dyDescent="0.25">
      <c r="A356" s="56"/>
      <c r="B356" s="61"/>
      <c r="C356" s="61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155"/>
    </row>
    <row r="357" spans="1:16" s="28" customFormat="1" x14ac:dyDescent="0.25">
      <c r="A357" s="56"/>
      <c r="B357" s="61"/>
      <c r="C357" s="61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155"/>
    </row>
    <row r="358" spans="1:16" s="28" customFormat="1" x14ac:dyDescent="0.25">
      <c r="A358" s="56"/>
      <c r="B358" s="61"/>
      <c r="C358" s="61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155"/>
    </row>
    <row r="359" spans="1:16" s="28" customFormat="1" x14ac:dyDescent="0.25">
      <c r="A359" s="56"/>
      <c r="B359" s="61"/>
      <c r="C359" s="61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155"/>
    </row>
    <row r="360" spans="1:16" s="28" customFormat="1" x14ac:dyDescent="0.25">
      <c r="A360" s="56"/>
      <c r="B360" s="61"/>
      <c r="C360" s="61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155"/>
    </row>
    <row r="361" spans="1:16" s="28" customFormat="1" x14ac:dyDescent="0.25">
      <c r="A361" s="56"/>
      <c r="B361" s="61"/>
      <c r="C361" s="61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155"/>
    </row>
    <row r="362" spans="1:16" s="28" customFormat="1" x14ac:dyDescent="0.25">
      <c r="A362" s="56"/>
      <c r="B362" s="61"/>
      <c r="C362" s="61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155"/>
    </row>
    <row r="363" spans="1:16" s="28" customFormat="1" x14ac:dyDescent="0.25">
      <c r="A363" s="56"/>
      <c r="B363" s="61"/>
      <c r="C363" s="61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155"/>
    </row>
    <row r="364" spans="1:16" s="28" customFormat="1" x14ac:dyDescent="0.25">
      <c r="A364" s="56"/>
      <c r="B364" s="61"/>
      <c r="C364" s="61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155"/>
    </row>
    <row r="365" spans="1:16" s="28" customFormat="1" x14ac:dyDescent="0.25">
      <c r="A365" s="56"/>
      <c r="B365" s="61"/>
      <c r="C365" s="61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155"/>
    </row>
    <row r="366" spans="1:16" s="28" customFormat="1" x14ac:dyDescent="0.25">
      <c r="A366" s="56"/>
      <c r="B366" s="61"/>
      <c r="C366" s="61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155"/>
    </row>
    <row r="367" spans="1:16" s="28" customFormat="1" x14ac:dyDescent="0.25">
      <c r="A367" s="56"/>
      <c r="B367" s="61"/>
      <c r="C367" s="61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155"/>
    </row>
    <row r="368" spans="1:16" s="28" customFormat="1" x14ac:dyDescent="0.25">
      <c r="A368" s="56"/>
      <c r="B368" s="61"/>
      <c r="C368" s="61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155"/>
    </row>
    <row r="369" spans="1:16" s="28" customFormat="1" x14ac:dyDescent="0.25">
      <c r="A369" s="56"/>
      <c r="B369" s="61"/>
      <c r="C369" s="61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155"/>
    </row>
    <row r="370" spans="1:16" s="28" customFormat="1" x14ac:dyDescent="0.25">
      <c r="A370" s="56"/>
      <c r="B370" s="61"/>
      <c r="C370" s="61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155"/>
    </row>
    <row r="371" spans="1:16" s="28" customFormat="1" x14ac:dyDescent="0.25">
      <c r="A371" s="56"/>
      <c r="B371" s="61"/>
      <c r="C371" s="61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155"/>
    </row>
    <row r="372" spans="1:16" s="28" customFormat="1" x14ac:dyDescent="0.25">
      <c r="A372" s="56"/>
      <c r="B372" s="61"/>
      <c r="C372" s="61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155"/>
    </row>
    <row r="373" spans="1:16" s="28" customFormat="1" x14ac:dyDescent="0.25">
      <c r="A373" s="56"/>
      <c r="B373" s="61"/>
      <c r="C373" s="61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155"/>
    </row>
    <row r="374" spans="1:16" s="28" customFormat="1" x14ac:dyDescent="0.25">
      <c r="A374" s="56"/>
      <c r="B374" s="61"/>
      <c r="C374" s="61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155"/>
    </row>
    <row r="375" spans="1:16" s="28" customFormat="1" x14ac:dyDescent="0.25">
      <c r="A375" s="56"/>
      <c r="B375" s="61"/>
      <c r="C375" s="61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155"/>
    </row>
    <row r="376" spans="1:16" s="28" customFormat="1" x14ac:dyDescent="0.25">
      <c r="A376" s="56"/>
      <c r="B376" s="61"/>
      <c r="C376" s="61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155"/>
    </row>
    <row r="377" spans="1:16" s="28" customFormat="1" x14ac:dyDescent="0.25">
      <c r="A377" s="56"/>
      <c r="B377" s="61"/>
      <c r="C377" s="61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155"/>
    </row>
    <row r="378" spans="1:16" s="28" customFormat="1" x14ac:dyDescent="0.25">
      <c r="A378" s="56"/>
      <c r="B378" s="61"/>
      <c r="C378" s="61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155"/>
    </row>
    <row r="379" spans="1:16" s="28" customFormat="1" x14ac:dyDescent="0.25">
      <c r="A379" s="56"/>
      <c r="B379" s="61"/>
      <c r="C379" s="61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155"/>
    </row>
    <row r="380" spans="1:16" s="28" customFormat="1" x14ac:dyDescent="0.25">
      <c r="A380" s="56"/>
      <c r="B380" s="61"/>
      <c r="C380" s="61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155"/>
    </row>
    <row r="381" spans="1:16" s="28" customFormat="1" x14ac:dyDescent="0.25">
      <c r="A381" s="56"/>
      <c r="B381" s="61"/>
      <c r="C381" s="61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155"/>
    </row>
    <row r="382" spans="1:16" s="28" customFormat="1" x14ac:dyDescent="0.25">
      <c r="A382" s="56"/>
      <c r="B382" s="61"/>
      <c r="C382" s="61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155"/>
    </row>
    <row r="383" spans="1:16" s="28" customFormat="1" x14ac:dyDescent="0.25">
      <c r="A383" s="56"/>
      <c r="B383" s="61"/>
      <c r="C383" s="61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155"/>
    </row>
    <row r="384" spans="1:16" s="28" customFormat="1" x14ac:dyDescent="0.25">
      <c r="A384" s="56"/>
      <c r="B384" s="61"/>
      <c r="C384" s="61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155"/>
    </row>
    <row r="385" spans="1:16" s="28" customFormat="1" x14ac:dyDescent="0.25">
      <c r="A385" s="56"/>
      <c r="B385" s="61"/>
      <c r="C385" s="61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155"/>
    </row>
    <row r="386" spans="1:16" s="28" customFormat="1" x14ac:dyDescent="0.25">
      <c r="A386" s="56"/>
      <c r="B386" s="61"/>
      <c r="C386" s="61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155"/>
    </row>
    <row r="387" spans="1:16" s="28" customFormat="1" x14ac:dyDescent="0.25">
      <c r="A387" s="56"/>
      <c r="B387" s="61"/>
      <c r="C387" s="61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155"/>
    </row>
    <row r="388" spans="1:16" s="28" customFormat="1" x14ac:dyDescent="0.25">
      <c r="A388" s="56"/>
      <c r="B388" s="61"/>
      <c r="C388" s="61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155"/>
    </row>
    <row r="389" spans="1:16" s="28" customFormat="1" x14ac:dyDescent="0.25">
      <c r="A389" s="56"/>
      <c r="B389" s="61"/>
      <c r="C389" s="61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155"/>
    </row>
    <row r="390" spans="1:16" s="28" customFormat="1" x14ac:dyDescent="0.25">
      <c r="A390" s="56"/>
      <c r="B390" s="61"/>
      <c r="C390" s="61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155"/>
    </row>
    <row r="391" spans="1:16" s="28" customFormat="1" x14ac:dyDescent="0.25">
      <c r="A391" s="56"/>
      <c r="B391" s="61"/>
      <c r="C391" s="61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155"/>
    </row>
    <row r="392" spans="1:16" s="28" customFormat="1" x14ac:dyDescent="0.25">
      <c r="A392" s="56"/>
      <c r="B392" s="61"/>
      <c r="C392" s="61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155"/>
    </row>
    <row r="393" spans="1:16" s="28" customFormat="1" x14ac:dyDescent="0.25">
      <c r="A393" s="56"/>
      <c r="B393" s="61"/>
      <c r="C393" s="61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155"/>
    </row>
    <row r="394" spans="1:16" s="28" customFormat="1" x14ac:dyDescent="0.25">
      <c r="A394" s="56"/>
      <c r="B394" s="61"/>
      <c r="C394" s="61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155"/>
    </row>
    <row r="395" spans="1:16" s="28" customFormat="1" x14ac:dyDescent="0.25">
      <c r="A395" s="56"/>
      <c r="B395" s="61"/>
      <c r="C395" s="61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155"/>
    </row>
    <row r="396" spans="1:16" s="28" customFormat="1" x14ac:dyDescent="0.25">
      <c r="A396" s="56"/>
      <c r="B396" s="61"/>
      <c r="C396" s="61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155"/>
    </row>
    <row r="397" spans="1:16" s="28" customFormat="1" x14ac:dyDescent="0.25">
      <c r="A397" s="56"/>
      <c r="B397" s="61"/>
      <c r="C397" s="61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155"/>
    </row>
    <row r="398" spans="1:16" s="28" customFormat="1" x14ac:dyDescent="0.25">
      <c r="A398" s="56"/>
      <c r="B398" s="61"/>
      <c r="C398" s="61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155"/>
    </row>
    <row r="399" spans="1:16" s="28" customFormat="1" x14ac:dyDescent="0.25">
      <c r="A399" s="56"/>
      <c r="B399" s="61"/>
      <c r="C399" s="61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155"/>
    </row>
    <row r="400" spans="1:16" s="28" customFormat="1" x14ac:dyDescent="0.25">
      <c r="A400" s="56"/>
      <c r="B400" s="61"/>
      <c r="C400" s="61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155"/>
    </row>
    <row r="401" spans="1:16" s="28" customFormat="1" x14ac:dyDescent="0.25">
      <c r="A401" s="56"/>
      <c r="B401" s="61"/>
      <c r="C401" s="61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155"/>
    </row>
    <row r="402" spans="1:16" s="28" customFormat="1" x14ac:dyDescent="0.25">
      <c r="A402" s="56"/>
      <c r="B402" s="61"/>
      <c r="C402" s="61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155"/>
    </row>
    <row r="403" spans="1:16" s="28" customFormat="1" x14ac:dyDescent="0.25">
      <c r="A403" s="56"/>
      <c r="B403" s="61"/>
      <c r="C403" s="61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155"/>
    </row>
    <row r="404" spans="1:16" s="28" customFormat="1" x14ac:dyDescent="0.25">
      <c r="A404" s="56"/>
      <c r="B404" s="61"/>
      <c r="C404" s="61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155"/>
    </row>
    <row r="405" spans="1:16" s="28" customFormat="1" x14ac:dyDescent="0.25">
      <c r="A405" s="56"/>
      <c r="B405" s="61"/>
      <c r="C405" s="61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155"/>
    </row>
    <row r="406" spans="1:16" s="28" customFormat="1" x14ac:dyDescent="0.25">
      <c r="A406" s="56"/>
      <c r="B406" s="61"/>
      <c r="C406" s="61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155"/>
    </row>
    <row r="407" spans="1:16" s="28" customFormat="1" x14ac:dyDescent="0.25">
      <c r="A407" s="56"/>
      <c r="B407" s="61"/>
      <c r="C407" s="61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155"/>
    </row>
    <row r="408" spans="1:16" s="28" customFormat="1" x14ac:dyDescent="0.25">
      <c r="A408" s="56"/>
      <c r="B408" s="61"/>
      <c r="C408" s="61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155"/>
    </row>
    <row r="409" spans="1:16" s="28" customFormat="1" x14ac:dyDescent="0.25">
      <c r="A409" s="56"/>
      <c r="B409" s="61"/>
      <c r="C409" s="61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155"/>
    </row>
    <row r="410" spans="1:16" s="28" customFormat="1" x14ac:dyDescent="0.25">
      <c r="A410" s="56"/>
      <c r="B410" s="61"/>
      <c r="C410" s="61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155"/>
    </row>
    <row r="411" spans="1:16" s="28" customFormat="1" x14ac:dyDescent="0.25">
      <c r="A411" s="56"/>
      <c r="B411" s="61"/>
      <c r="C411" s="61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155"/>
    </row>
    <row r="412" spans="1:16" s="28" customFormat="1" x14ac:dyDescent="0.25">
      <c r="A412" s="56"/>
      <c r="B412" s="61"/>
      <c r="C412" s="61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155"/>
    </row>
    <row r="413" spans="1:16" s="28" customFormat="1" x14ac:dyDescent="0.25">
      <c r="A413" s="56"/>
      <c r="B413" s="61"/>
      <c r="C413" s="61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155"/>
    </row>
    <row r="414" spans="1:16" s="28" customFormat="1" x14ac:dyDescent="0.25">
      <c r="A414" s="56"/>
      <c r="B414" s="61"/>
      <c r="C414" s="61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155"/>
    </row>
    <row r="415" spans="1:16" s="28" customFormat="1" x14ac:dyDescent="0.25">
      <c r="A415" s="56"/>
      <c r="B415" s="61"/>
      <c r="C415" s="61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155"/>
    </row>
    <row r="416" spans="1:16" s="28" customFormat="1" x14ac:dyDescent="0.25">
      <c r="A416" s="56"/>
      <c r="B416" s="61"/>
      <c r="C416" s="61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155"/>
    </row>
    <row r="417" spans="1:16" s="28" customFormat="1" x14ac:dyDescent="0.25">
      <c r="A417" s="56"/>
      <c r="B417" s="61"/>
      <c r="C417" s="61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155"/>
    </row>
    <row r="418" spans="1:16" s="28" customFormat="1" x14ac:dyDescent="0.25">
      <c r="A418" s="56"/>
      <c r="B418" s="61"/>
      <c r="C418" s="61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155"/>
    </row>
    <row r="419" spans="1:16" s="28" customFormat="1" x14ac:dyDescent="0.25">
      <c r="A419" s="56"/>
      <c r="B419" s="61"/>
      <c r="C419" s="61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155"/>
    </row>
    <row r="420" spans="1:16" s="28" customFormat="1" x14ac:dyDescent="0.25">
      <c r="A420" s="56"/>
      <c r="B420" s="61"/>
      <c r="C420" s="61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155"/>
    </row>
    <row r="421" spans="1:16" s="28" customFormat="1" x14ac:dyDescent="0.25">
      <c r="A421" s="56"/>
      <c r="B421" s="61"/>
      <c r="C421" s="61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155"/>
    </row>
    <row r="422" spans="1:16" s="28" customFormat="1" x14ac:dyDescent="0.25">
      <c r="A422" s="56"/>
      <c r="B422" s="61"/>
      <c r="C422" s="61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155"/>
    </row>
    <row r="423" spans="1:16" s="28" customFormat="1" x14ac:dyDescent="0.25">
      <c r="A423" s="56"/>
      <c r="B423" s="61"/>
      <c r="C423" s="61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155"/>
    </row>
    <row r="424" spans="1:16" s="28" customFormat="1" x14ac:dyDescent="0.25">
      <c r="A424" s="56"/>
      <c r="B424" s="61"/>
      <c r="C424" s="61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155"/>
    </row>
    <row r="425" spans="1:16" s="28" customFormat="1" x14ac:dyDescent="0.25">
      <c r="A425" s="56"/>
      <c r="B425" s="61"/>
      <c r="C425" s="61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155"/>
    </row>
    <row r="426" spans="1:16" s="28" customFormat="1" x14ac:dyDescent="0.25">
      <c r="A426" s="56"/>
      <c r="B426" s="61"/>
      <c r="C426" s="61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155"/>
    </row>
    <row r="427" spans="1:16" s="28" customFormat="1" x14ac:dyDescent="0.25">
      <c r="A427" s="56"/>
      <c r="B427" s="61"/>
      <c r="C427" s="61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155"/>
    </row>
    <row r="428" spans="1:16" s="28" customFormat="1" x14ac:dyDescent="0.25">
      <c r="A428" s="56"/>
      <c r="B428" s="61"/>
      <c r="C428" s="61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155"/>
    </row>
    <row r="429" spans="1:16" s="28" customFormat="1" x14ac:dyDescent="0.25">
      <c r="A429" s="56"/>
      <c r="B429" s="61"/>
      <c r="C429" s="61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155"/>
    </row>
    <row r="430" spans="1:16" s="28" customFormat="1" x14ac:dyDescent="0.25">
      <c r="A430" s="56"/>
      <c r="B430" s="61"/>
      <c r="C430" s="61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155"/>
    </row>
    <row r="431" spans="1:16" s="28" customFormat="1" x14ac:dyDescent="0.25">
      <c r="A431" s="56"/>
      <c r="B431" s="61"/>
      <c r="C431" s="61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155"/>
    </row>
    <row r="432" spans="1:16" s="28" customFormat="1" x14ac:dyDescent="0.25">
      <c r="A432" s="56"/>
      <c r="B432" s="61"/>
      <c r="C432" s="61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155"/>
    </row>
    <row r="433" spans="1:16" s="28" customFormat="1" x14ac:dyDescent="0.25">
      <c r="A433" s="56"/>
      <c r="B433" s="61"/>
      <c r="C433" s="61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155"/>
    </row>
    <row r="434" spans="1:16" s="28" customFormat="1" x14ac:dyDescent="0.25">
      <c r="A434" s="56"/>
      <c r="B434" s="61"/>
      <c r="C434" s="61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155"/>
    </row>
    <row r="435" spans="1:16" s="28" customFormat="1" x14ac:dyDescent="0.25">
      <c r="A435" s="56"/>
      <c r="B435" s="61"/>
      <c r="C435" s="61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155"/>
    </row>
    <row r="436" spans="1:16" s="28" customFormat="1" x14ac:dyDescent="0.25">
      <c r="A436" s="56"/>
      <c r="B436" s="61"/>
      <c r="C436" s="61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155"/>
    </row>
    <row r="437" spans="1:16" s="28" customFormat="1" x14ac:dyDescent="0.25">
      <c r="A437" s="56"/>
      <c r="B437" s="61"/>
      <c r="C437" s="61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155"/>
    </row>
    <row r="438" spans="1:16" s="28" customFormat="1" x14ac:dyDescent="0.25">
      <c r="A438" s="56"/>
      <c r="B438" s="61"/>
      <c r="C438" s="61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155"/>
    </row>
    <row r="439" spans="1:16" s="28" customFormat="1" x14ac:dyDescent="0.25">
      <c r="A439" s="56"/>
      <c r="B439" s="61"/>
      <c r="C439" s="61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155"/>
    </row>
    <row r="440" spans="1:16" s="28" customFormat="1" x14ac:dyDescent="0.25">
      <c r="A440" s="56"/>
      <c r="B440" s="61"/>
      <c r="C440" s="61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155"/>
    </row>
    <row r="441" spans="1:16" s="28" customFormat="1" x14ac:dyDescent="0.25">
      <c r="A441" s="56"/>
      <c r="B441" s="61"/>
      <c r="C441" s="61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155"/>
    </row>
    <row r="442" spans="1:16" s="28" customFormat="1" x14ac:dyDescent="0.25">
      <c r="A442" s="56"/>
      <c r="B442" s="61"/>
      <c r="C442" s="61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155"/>
    </row>
    <row r="443" spans="1:16" s="28" customFormat="1" x14ac:dyDescent="0.25">
      <c r="A443" s="56"/>
      <c r="B443" s="61"/>
      <c r="C443" s="61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155"/>
    </row>
    <row r="444" spans="1:16" s="28" customFormat="1" x14ac:dyDescent="0.25">
      <c r="A444" s="56"/>
      <c r="B444" s="61"/>
      <c r="C444" s="61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155"/>
    </row>
    <row r="445" spans="1:16" s="28" customFormat="1" x14ac:dyDescent="0.25">
      <c r="A445" s="56"/>
      <c r="B445" s="61"/>
      <c r="C445" s="61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155"/>
    </row>
    <row r="446" spans="1:16" s="28" customFormat="1" x14ac:dyDescent="0.25">
      <c r="A446" s="56"/>
      <c r="B446" s="61"/>
      <c r="C446" s="61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155"/>
    </row>
    <row r="447" spans="1:16" s="28" customFormat="1" x14ac:dyDescent="0.25">
      <c r="A447" s="56"/>
      <c r="B447" s="61"/>
      <c r="C447" s="61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155"/>
    </row>
    <row r="448" spans="1:16" s="28" customFormat="1" x14ac:dyDescent="0.25">
      <c r="A448" s="56"/>
      <c r="B448" s="61"/>
      <c r="C448" s="61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155"/>
    </row>
    <row r="449" spans="1:16" s="28" customFormat="1" x14ac:dyDescent="0.25">
      <c r="A449" s="56"/>
      <c r="B449" s="61"/>
      <c r="C449" s="61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155"/>
    </row>
    <row r="450" spans="1:16" s="28" customFormat="1" x14ac:dyDescent="0.25">
      <c r="A450" s="56"/>
      <c r="B450" s="61"/>
      <c r="C450" s="61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155"/>
    </row>
    <row r="451" spans="1:16" s="28" customFormat="1" x14ac:dyDescent="0.25">
      <c r="A451" s="56"/>
      <c r="B451" s="61"/>
      <c r="C451" s="61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155"/>
    </row>
    <row r="452" spans="1:16" s="28" customFormat="1" x14ac:dyDescent="0.25">
      <c r="A452" s="56"/>
      <c r="B452" s="61"/>
      <c r="C452" s="61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155"/>
    </row>
    <row r="453" spans="1:16" s="28" customFormat="1" x14ac:dyDescent="0.25">
      <c r="A453" s="56"/>
      <c r="B453" s="61"/>
      <c r="C453" s="61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155"/>
    </row>
    <row r="454" spans="1:16" s="28" customFormat="1" x14ac:dyDescent="0.25">
      <c r="A454" s="56"/>
      <c r="B454" s="61"/>
      <c r="C454" s="61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155"/>
    </row>
    <row r="455" spans="1:16" s="28" customFormat="1" x14ac:dyDescent="0.25">
      <c r="A455" s="56"/>
      <c r="B455" s="61"/>
      <c r="C455" s="61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155"/>
    </row>
    <row r="456" spans="1:16" s="28" customFormat="1" x14ac:dyDescent="0.25">
      <c r="A456" s="56"/>
      <c r="B456" s="61"/>
      <c r="C456" s="61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155"/>
    </row>
    <row r="457" spans="1:16" s="28" customFormat="1" x14ac:dyDescent="0.25">
      <c r="A457" s="56"/>
      <c r="B457" s="61"/>
      <c r="C457" s="61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155"/>
    </row>
    <row r="458" spans="1:16" s="28" customFormat="1" x14ac:dyDescent="0.25">
      <c r="A458" s="56"/>
      <c r="B458" s="61"/>
      <c r="C458" s="61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155"/>
    </row>
    <row r="459" spans="1:16" s="28" customFormat="1" x14ac:dyDescent="0.25">
      <c r="A459" s="56"/>
      <c r="B459" s="61"/>
      <c r="C459" s="61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155"/>
    </row>
    <row r="460" spans="1:16" s="28" customFormat="1" x14ac:dyDescent="0.25">
      <c r="A460" s="56"/>
      <c r="B460" s="61"/>
      <c r="C460" s="61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155"/>
    </row>
    <row r="461" spans="1:16" s="28" customFormat="1" x14ac:dyDescent="0.25">
      <c r="A461" s="56"/>
      <c r="B461" s="61"/>
      <c r="C461" s="61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155"/>
    </row>
    <row r="462" spans="1:16" s="28" customFormat="1" x14ac:dyDescent="0.25">
      <c r="A462" s="56"/>
      <c r="B462" s="61"/>
      <c r="C462" s="61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155"/>
    </row>
    <row r="463" spans="1:16" s="28" customFormat="1" x14ac:dyDescent="0.25">
      <c r="A463" s="56"/>
      <c r="B463" s="61"/>
      <c r="C463" s="61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155"/>
    </row>
    <row r="464" spans="1:16" s="28" customFormat="1" x14ac:dyDescent="0.25">
      <c r="A464" s="56"/>
      <c r="B464" s="61"/>
      <c r="C464" s="61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155"/>
    </row>
    <row r="465" spans="1:16" s="28" customFormat="1" x14ac:dyDescent="0.25">
      <c r="A465" s="56"/>
      <c r="B465" s="61"/>
      <c r="C465" s="61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155"/>
    </row>
    <row r="466" spans="1:16" s="28" customFormat="1" x14ac:dyDescent="0.25">
      <c r="A466" s="56"/>
      <c r="B466" s="61"/>
      <c r="C466" s="61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155"/>
    </row>
    <row r="467" spans="1:16" s="28" customFormat="1" x14ac:dyDescent="0.25">
      <c r="A467" s="56"/>
      <c r="B467" s="61"/>
      <c r="C467" s="61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155"/>
    </row>
    <row r="468" spans="1:16" s="28" customFormat="1" x14ac:dyDescent="0.25">
      <c r="A468" s="56"/>
      <c r="B468" s="61"/>
      <c r="C468" s="61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155"/>
    </row>
    <row r="469" spans="1:16" s="28" customFormat="1" x14ac:dyDescent="0.25">
      <c r="A469" s="56"/>
      <c r="B469" s="61"/>
      <c r="C469" s="61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155"/>
    </row>
    <row r="470" spans="1:16" s="28" customFormat="1" x14ac:dyDescent="0.25">
      <c r="A470" s="56"/>
      <c r="B470" s="61"/>
      <c r="C470" s="61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155"/>
    </row>
    <row r="471" spans="1:16" s="28" customFormat="1" x14ac:dyDescent="0.25">
      <c r="A471" s="56"/>
      <c r="B471" s="61"/>
      <c r="C471" s="61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155"/>
    </row>
    <row r="472" spans="1:16" s="28" customFormat="1" x14ac:dyDescent="0.25">
      <c r="A472" s="56"/>
      <c r="B472" s="61"/>
      <c r="C472" s="61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155"/>
    </row>
    <row r="473" spans="1:16" s="28" customFormat="1" x14ac:dyDescent="0.25">
      <c r="A473" s="56"/>
      <c r="B473" s="61"/>
      <c r="C473" s="61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155"/>
    </row>
    <row r="474" spans="1:16" s="28" customFormat="1" x14ac:dyDescent="0.25">
      <c r="A474" s="56"/>
      <c r="B474" s="61"/>
      <c r="C474" s="61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155"/>
    </row>
    <row r="475" spans="1:16" s="28" customFormat="1" x14ac:dyDescent="0.25">
      <c r="A475" s="56"/>
      <c r="B475" s="61"/>
      <c r="C475" s="61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155"/>
    </row>
    <row r="476" spans="1:16" s="28" customFormat="1" x14ac:dyDescent="0.25">
      <c r="A476" s="56"/>
      <c r="B476" s="61"/>
      <c r="C476" s="61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155"/>
    </row>
    <row r="477" spans="1:16" s="28" customFormat="1" x14ac:dyDescent="0.25">
      <c r="A477" s="56"/>
      <c r="B477" s="61"/>
      <c r="C477" s="61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155"/>
    </row>
    <row r="478" spans="1:16" s="28" customFormat="1" x14ac:dyDescent="0.25">
      <c r="A478" s="56"/>
      <c r="B478" s="61"/>
      <c r="C478" s="61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155"/>
    </row>
    <row r="479" spans="1:16" s="28" customFormat="1" x14ac:dyDescent="0.25">
      <c r="A479" s="56"/>
      <c r="B479" s="61"/>
      <c r="C479" s="61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155"/>
    </row>
    <row r="480" spans="1:16" s="28" customFormat="1" x14ac:dyDescent="0.25">
      <c r="A480" s="56"/>
      <c r="B480" s="61"/>
      <c r="C480" s="61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155"/>
    </row>
    <row r="481" spans="1:16" s="28" customFormat="1" x14ac:dyDescent="0.25">
      <c r="A481" s="56"/>
      <c r="B481" s="61"/>
      <c r="C481" s="61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155"/>
    </row>
    <row r="482" spans="1:16" s="28" customFormat="1" x14ac:dyDescent="0.25">
      <c r="A482" s="56"/>
      <c r="B482" s="61"/>
      <c r="C482" s="61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155"/>
    </row>
    <row r="483" spans="1:16" s="28" customFormat="1" x14ac:dyDescent="0.25">
      <c r="A483" s="56"/>
      <c r="B483" s="61"/>
      <c r="C483" s="61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155"/>
    </row>
    <row r="484" spans="1:16" s="28" customFormat="1" x14ac:dyDescent="0.25">
      <c r="A484" s="56"/>
      <c r="B484" s="61"/>
      <c r="C484" s="61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155"/>
    </row>
    <row r="485" spans="1:16" s="28" customFormat="1" x14ac:dyDescent="0.25">
      <c r="A485" s="56"/>
      <c r="B485" s="61"/>
      <c r="C485" s="61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155"/>
    </row>
    <row r="486" spans="1:16" s="28" customFormat="1" x14ac:dyDescent="0.25">
      <c r="A486" s="56"/>
      <c r="B486" s="61"/>
      <c r="C486" s="61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155"/>
    </row>
    <row r="487" spans="1:16" s="28" customFormat="1" x14ac:dyDescent="0.25">
      <c r="A487" s="56"/>
      <c r="B487" s="61"/>
      <c r="C487" s="61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155"/>
    </row>
    <row r="488" spans="1:16" s="28" customFormat="1" x14ac:dyDescent="0.25">
      <c r="A488" s="56"/>
      <c r="B488" s="61"/>
      <c r="C488" s="61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155"/>
    </row>
    <row r="489" spans="1:16" s="28" customFormat="1" x14ac:dyDescent="0.25">
      <c r="A489" s="56"/>
      <c r="B489" s="61"/>
      <c r="C489" s="61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155"/>
    </row>
    <row r="490" spans="1:16" s="28" customFormat="1" x14ac:dyDescent="0.25">
      <c r="A490" s="56"/>
      <c r="B490" s="61"/>
      <c r="C490" s="61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155"/>
    </row>
    <row r="491" spans="1:16" s="28" customFormat="1" x14ac:dyDescent="0.25">
      <c r="A491" s="56"/>
      <c r="B491" s="61"/>
      <c r="C491" s="61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155"/>
    </row>
    <row r="492" spans="1:16" s="28" customFormat="1" x14ac:dyDescent="0.25">
      <c r="A492" s="56"/>
      <c r="B492" s="61"/>
      <c r="C492" s="61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155"/>
    </row>
    <row r="493" spans="1:16" s="28" customFormat="1" x14ac:dyDescent="0.25">
      <c r="A493" s="56"/>
      <c r="B493" s="61"/>
      <c r="C493" s="61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155"/>
    </row>
    <row r="494" spans="1:16" s="28" customFormat="1" x14ac:dyDescent="0.25">
      <c r="A494" s="56"/>
      <c r="B494" s="61"/>
      <c r="C494" s="61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155"/>
    </row>
    <row r="495" spans="1:16" s="28" customFormat="1" x14ac:dyDescent="0.25">
      <c r="A495" s="56"/>
      <c r="B495" s="61"/>
      <c r="C495" s="61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155"/>
    </row>
    <row r="496" spans="1:16" s="28" customFormat="1" x14ac:dyDescent="0.25">
      <c r="A496" s="56"/>
      <c r="B496" s="61"/>
      <c r="C496" s="61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155"/>
    </row>
    <row r="497" spans="1:16" s="28" customFormat="1" x14ac:dyDescent="0.25">
      <c r="A497" s="56"/>
      <c r="B497" s="61"/>
      <c r="C497" s="61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155"/>
    </row>
    <row r="498" spans="1:16" s="28" customFormat="1" x14ac:dyDescent="0.25">
      <c r="A498" s="56"/>
      <c r="B498" s="61"/>
      <c r="C498" s="61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155"/>
    </row>
    <row r="499" spans="1:16" s="28" customFormat="1" x14ac:dyDescent="0.25">
      <c r="A499" s="56"/>
      <c r="B499" s="61"/>
      <c r="C499" s="61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155"/>
    </row>
    <row r="500" spans="1:16" s="28" customFormat="1" x14ac:dyDescent="0.25">
      <c r="A500" s="56"/>
      <c r="B500" s="61"/>
      <c r="C500" s="61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155"/>
    </row>
    <row r="501" spans="1:16" s="28" customFormat="1" x14ac:dyDescent="0.25">
      <c r="A501" s="56"/>
      <c r="B501" s="61"/>
      <c r="C501" s="61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155"/>
    </row>
    <row r="502" spans="1:16" s="28" customFormat="1" x14ac:dyDescent="0.25">
      <c r="A502" s="56"/>
      <c r="B502" s="61"/>
      <c r="C502" s="61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155"/>
    </row>
    <row r="503" spans="1:16" s="28" customFormat="1" x14ac:dyDescent="0.25">
      <c r="A503" s="56"/>
      <c r="B503" s="61"/>
      <c r="C503" s="61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155"/>
    </row>
    <row r="504" spans="1:16" s="28" customFormat="1" x14ac:dyDescent="0.25">
      <c r="A504" s="56"/>
      <c r="B504" s="61"/>
      <c r="C504" s="61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155"/>
    </row>
    <row r="505" spans="1:16" s="28" customFormat="1" x14ac:dyDescent="0.25">
      <c r="A505" s="56"/>
      <c r="B505" s="61"/>
      <c r="C505" s="61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155"/>
    </row>
    <row r="506" spans="1:16" s="28" customFormat="1" x14ac:dyDescent="0.25">
      <c r="A506" s="56"/>
      <c r="B506" s="61"/>
      <c r="C506" s="61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155"/>
    </row>
    <row r="507" spans="1:16" s="28" customFormat="1" x14ac:dyDescent="0.25">
      <c r="A507" s="56"/>
      <c r="B507" s="61"/>
      <c r="C507" s="61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155"/>
    </row>
    <row r="508" spans="1:16" s="28" customFormat="1" x14ac:dyDescent="0.25">
      <c r="A508" s="56"/>
      <c r="B508" s="61"/>
      <c r="C508" s="61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155"/>
    </row>
    <row r="509" spans="1:16" s="28" customFormat="1" x14ac:dyDescent="0.25">
      <c r="A509" s="56"/>
      <c r="B509" s="61"/>
      <c r="C509" s="61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155"/>
    </row>
    <row r="510" spans="1:16" s="28" customFormat="1" x14ac:dyDescent="0.25">
      <c r="A510" s="56"/>
      <c r="B510" s="61"/>
      <c r="C510" s="61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155"/>
    </row>
    <row r="511" spans="1:16" s="28" customFormat="1" x14ac:dyDescent="0.25">
      <c r="A511" s="56"/>
      <c r="B511" s="61"/>
      <c r="C511" s="61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155"/>
    </row>
    <row r="512" spans="1:16" s="28" customFormat="1" x14ac:dyDescent="0.25">
      <c r="A512" s="56"/>
      <c r="B512" s="61"/>
      <c r="C512" s="61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155"/>
    </row>
    <row r="513" spans="1:16" s="28" customFormat="1" x14ac:dyDescent="0.25">
      <c r="A513" s="56"/>
      <c r="B513" s="61"/>
      <c r="C513" s="61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155"/>
    </row>
    <row r="514" spans="1:16" s="28" customFormat="1" x14ac:dyDescent="0.25">
      <c r="A514" s="56"/>
      <c r="B514" s="61"/>
      <c r="C514" s="61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155"/>
    </row>
    <row r="515" spans="1:16" s="28" customFormat="1" x14ac:dyDescent="0.25">
      <c r="A515" s="56"/>
      <c r="B515" s="61"/>
      <c r="C515" s="61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155"/>
    </row>
    <row r="516" spans="1:16" s="28" customFormat="1" x14ac:dyDescent="0.25">
      <c r="A516" s="56"/>
      <c r="B516" s="61"/>
      <c r="C516" s="61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155"/>
    </row>
    <row r="517" spans="1:16" s="28" customFormat="1" x14ac:dyDescent="0.25">
      <c r="A517" s="56"/>
      <c r="B517" s="61"/>
      <c r="C517" s="61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155"/>
    </row>
    <row r="518" spans="1:16" s="28" customFormat="1" x14ac:dyDescent="0.25">
      <c r="A518" s="56"/>
      <c r="B518" s="61"/>
      <c r="C518" s="61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155"/>
    </row>
    <row r="519" spans="1:16" s="28" customFormat="1" x14ac:dyDescent="0.25">
      <c r="A519" s="56"/>
      <c r="B519" s="61"/>
      <c r="C519" s="61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155"/>
    </row>
    <row r="520" spans="1:16" s="28" customFormat="1" x14ac:dyDescent="0.25">
      <c r="A520" s="56"/>
      <c r="B520" s="61"/>
      <c r="C520" s="61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155"/>
    </row>
    <row r="521" spans="1:16" s="28" customFormat="1" x14ac:dyDescent="0.25">
      <c r="A521" s="56"/>
      <c r="B521" s="61"/>
      <c r="C521" s="61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155"/>
    </row>
    <row r="522" spans="1:16" s="28" customFormat="1" x14ac:dyDescent="0.25">
      <c r="A522" s="56"/>
      <c r="B522" s="61"/>
      <c r="C522" s="61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155"/>
    </row>
    <row r="523" spans="1:16" s="28" customFormat="1" x14ac:dyDescent="0.25">
      <c r="A523" s="56"/>
      <c r="B523" s="61"/>
      <c r="C523" s="61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155"/>
    </row>
    <row r="524" spans="1:16" s="28" customFormat="1" x14ac:dyDescent="0.25">
      <c r="A524" s="56"/>
      <c r="B524" s="61"/>
      <c r="C524" s="61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155"/>
    </row>
    <row r="525" spans="1:16" s="28" customFormat="1" x14ac:dyDescent="0.25">
      <c r="A525" s="56"/>
      <c r="B525" s="61"/>
      <c r="C525" s="61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155"/>
    </row>
    <row r="526" spans="1:16" s="28" customFormat="1" x14ac:dyDescent="0.25">
      <c r="A526" s="56"/>
      <c r="B526" s="61"/>
      <c r="C526" s="61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155"/>
    </row>
    <row r="527" spans="1:16" s="28" customFormat="1" x14ac:dyDescent="0.25">
      <c r="A527" s="56"/>
      <c r="B527" s="61"/>
      <c r="C527" s="61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155"/>
    </row>
    <row r="528" spans="1:16" s="28" customFormat="1" x14ac:dyDescent="0.25">
      <c r="A528" s="56"/>
      <c r="B528" s="61"/>
      <c r="C528" s="61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155"/>
    </row>
    <row r="529" spans="1:16" s="28" customFormat="1" x14ac:dyDescent="0.25">
      <c r="A529" s="56"/>
      <c r="B529" s="61"/>
      <c r="C529" s="61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155"/>
    </row>
    <row r="530" spans="1:16" s="28" customFormat="1" x14ac:dyDescent="0.25">
      <c r="A530" s="56"/>
      <c r="B530" s="61"/>
      <c r="C530" s="61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155"/>
    </row>
    <row r="531" spans="1:16" s="28" customFormat="1" x14ac:dyDescent="0.25">
      <c r="A531" s="56"/>
      <c r="B531" s="61"/>
      <c r="C531" s="61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155"/>
    </row>
    <row r="532" spans="1:16" s="28" customFormat="1" x14ac:dyDescent="0.25">
      <c r="A532" s="56"/>
      <c r="B532" s="61"/>
      <c r="C532" s="61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155"/>
    </row>
    <row r="533" spans="1:16" s="28" customFormat="1" x14ac:dyDescent="0.25">
      <c r="A533" s="56"/>
      <c r="B533" s="61"/>
      <c r="C533" s="61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155"/>
    </row>
    <row r="534" spans="1:16" s="28" customFormat="1" x14ac:dyDescent="0.25">
      <c r="A534" s="56"/>
      <c r="B534" s="61"/>
      <c r="C534" s="61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155"/>
    </row>
    <row r="535" spans="1:16" s="28" customFormat="1" x14ac:dyDescent="0.25">
      <c r="A535" s="56"/>
      <c r="B535" s="61"/>
      <c r="C535" s="61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155"/>
    </row>
    <row r="536" spans="1:16" s="28" customFormat="1" x14ac:dyDescent="0.25">
      <c r="A536" s="56"/>
      <c r="B536" s="61"/>
      <c r="C536" s="61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155"/>
    </row>
    <row r="537" spans="1:16" s="28" customFormat="1" x14ac:dyDescent="0.25">
      <c r="A537" s="56"/>
      <c r="B537" s="61"/>
      <c r="C537" s="61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155"/>
    </row>
    <row r="538" spans="1:16" s="28" customFormat="1" x14ac:dyDescent="0.25">
      <c r="A538" s="56"/>
      <c r="B538" s="61"/>
      <c r="C538" s="61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155"/>
    </row>
    <row r="539" spans="1:16" s="28" customFormat="1" x14ac:dyDescent="0.25">
      <c r="A539" s="56"/>
      <c r="B539" s="61"/>
      <c r="C539" s="61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155"/>
    </row>
    <row r="540" spans="1:16" s="28" customFormat="1" x14ac:dyDescent="0.25">
      <c r="A540" s="56"/>
      <c r="B540" s="61"/>
      <c r="C540" s="61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155"/>
    </row>
    <row r="541" spans="1:16" s="28" customFormat="1" x14ac:dyDescent="0.25">
      <c r="A541" s="56"/>
      <c r="B541" s="61"/>
      <c r="C541" s="61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155"/>
    </row>
    <row r="542" spans="1:16" s="28" customFormat="1" x14ac:dyDescent="0.25">
      <c r="A542" s="56"/>
      <c r="B542" s="61"/>
      <c r="C542" s="61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155"/>
    </row>
    <row r="543" spans="1:16" s="28" customFormat="1" x14ac:dyDescent="0.25">
      <c r="A543" s="56"/>
      <c r="B543" s="61"/>
      <c r="C543" s="61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155"/>
    </row>
    <row r="544" spans="1:16" s="28" customFormat="1" x14ac:dyDescent="0.25">
      <c r="A544" s="56"/>
      <c r="B544" s="61"/>
      <c r="C544" s="61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155"/>
    </row>
    <row r="545" spans="1:16" s="28" customFormat="1" x14ac:dyDescent="0.25">
      <c r="A545" s="56"/>
      <c r="B545" s="61"/>
      <c r="C545" s="61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155"/>
    </row>
    <row r="546" spans="1:16" s="28" customFormat="1" x14ac:dyDescent="0.25">
      <c r="A546" s="56"/>
      <c r="B546" s="61"/>
      <c r="C546" s="61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155"/>
    </row>
    <row r="547" spans="1:16" s="28" customFormat="1" x14ac:dyDescent="0.25">
      <c r="A547" s="56"/>
      <c r="B547" s="61"/>
      <c r="C547" s="61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155"/>
    </row>
    <row r="548" spans="1:16" s="28" customFormat="1" x14ac:dyDescent="0.25">
      <c r="A548" s="56"/>
      <c r="B548" s="61"/>
      <c r="C548" s="61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155"/>
    </row>
    <row r="549" spans="1:16" s="28" customFormat="1" x14ac:dyDescent="0.25">
      <c r="A549" s="56"/>
      <c r="B549" s="61"/>
      <c r="C549" s="61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155"/>
    </row>
    <row r="550" spans="1:16" s="28" customFormat="1" x14ac:dyDescent="0.25">
      <c r="A550" s="56"/>
      <c r="B550" s="61"/>
      <c r="C550" s="61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155"/>
    </row>
    <row r="551" spans="1:16" s="28" customFormat="1" x14ac:dyDescent="0.25">
      <c r="A551" s="56"/>
      <c r="B551" s="61"/>
      <c r="C551" s="61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155"/>
    </row>
    <row r="552" spans="1:16" s="28" customFormat="1" x14ac:dyDescent="0.25">
      <c r="A552" s="56"/>
      <c r="B552" s="61"/>
      <c r="C552" s="61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155"/>
    </row>
    <row r="553" spans="1:16" s="28" customFormat="1" x14ac:dyDescent="0.25">
      <c r="A553" s="56"/>
      <c r="B553" s="61"/>
      <c r="C553" s="61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155"/>
    </row>
    <row r="554" spans="1:16" s="28" customFormat="1" x14ac:dyDescent="0.25">
      <c r="A554" s="56"/>
      <c r="B554" s="61"/>
      <c r="C554" s="61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155"/>
    </row>
    <row r="555" spans="1:16" s="28" customFormat="1" x14ac:dyDescent="0.25">
      <c r="A555" s="56"/>
      <c r="B555" s="61"/>
      <c r="C555" s="61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155"/>
    </row>
    <row r="556" spans="1:16" s="28" customFormat="1" x14ac:dyDescent="0.25">
      <c r="A556" s="56"/>
      <c r="B556" s="61"/>
      <c r="C556" s="61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155"/>
    </row>
    <row r="557" spans="1:16" s="28" customFormat="1" x14ac:dyDescent="0.25">
      <c r="A557" s="56"/>
      <c r="B557" s="61"/>
      <c r="C557" s="61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155"/>
    </row>
    <row r="558" spans="1:16" s="28" customFormat="1" x14ac:dyDescent="0.25">
      <c r="A558" s="56"/>
      <c r="B558" s="61"/>
      <c r="C558" s="61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155"/>
    </row>
    <row r="559" spans="1:16" s="28" customFormat="1" x14ac:dyDescent="0.25">
      <c r="A559" s="56"/>
      <c r="B559" s="61"/>
      <c r="C559" s="61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155"/>
    </row>
    <row r="560" spans="1:16" s="28" customFormat="1" x14ac:dyDescent="0.25">
      <c r="A560" s="56"/>
      <c r="B560" s="61"/>
      <c r="C560" s="61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155"/>
    </row>
    <row r="561" spans="1:16" s="28" customFormat="1" x14ac:dyDescent="0.25">
      <c r="A561" s="56"/>
      <c r="B561" s="61"/>
      <c r="C561" s="61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155"/>
    </row>
    <row r="562" spans="1:16" s="28" customFormat="1" x14ac:dyDescent="0.25">
      <c r="A562" s="56"/>
      <c r="B562" s="61"/>
      <c r="C562" s="61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155"/>
    </row>
    <row r="563" spans="1:16" s="28" customFormat="1" x14ac:dyDescent="0.25">
      <c r="A563" s="56"/>
      <c r="B563" s="61"/>
      <c r="C563" s="61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155"/>
    </row>
    <row r="564" spans="1:16" s="28" customFormat="1" x14ac:dyDescent="0.25">
      <c r="A564" s="56"/>
      <c r="B564" s="61"/>
      <c r="C564" s="61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155"/>
    </row>
    <row r="565" spans="1:16" s="28" customFormat="1" x14ac:dyDescent="0.25">
      <c r="A565" s="56"/>
      <c r="B565" s="61"/>
      <c r="C565" s="61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155"/>
    </row>
    <row r="566" spans="1:16" s="28" customFormat="1" x14ac:dyDescent="0.25">
      <c r="A566" s="56"/>
      <c r="B566" s="61"/>
      <c r="C566" s="61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155"/>
    </row>
    <row r="567" spans="1:16" s="28" customFormat="1" x14ac:dyDescent="0.25">
      <c r="A567" s="56"/>
      <c r="B567" s="61"/>
      <c r="C567" s="61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155"/>
    </row>
    <row r="568" spans="1:16" s="28" customFormat="1" x14ac:dyDescent="0.25">
      <c r="A568" s="56"/>
      <c r="B568" s="61"/>
      <c r="C568" s="61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155"/>
    </row>
    <row r="569" spans="1:16" s="28" customFormat="1" x14ac:dyDescent="0.25">
      <c r="A569" s="56"/>
      <c r="B569" s="61"/>
      <c r="C569" s="61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155"/>
    </row>
    <row r="570" spans="1:16" s="28" customFormat="1" x14ac:dyDescent="0.25">
      <c r="A570" s="56"/>
      <c r="B570" s="61"/>
      <c r="C570" s="61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155"/>
    </row>
    <row r="571" spans="1:16" s="28" customFormat="1" x14ac:dyDescent="0.25">
      <c r="A571" s="56"/>
      <c r="B571" s="61"/>
      <c r="C571" s="61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155"/>
    </row>
    <row r="572" spans="1:16" s="28" customFormat="1" x14ac:dyDescent="0.25">
      <c r="A572" s="56"/>
      <c r="B572" s="61"/>
      <c r="C572" s="61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155"/>
    </row>
    <row r="573" spans="1:16" s="28" customFormat="1" x14ac:dyDescent="0.25">
      <c r="A573" s="56"/>
      <c r="B573" s="61"/>
      <c r="C573" s="61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155"/>
    </row>
    <row r="574" spans="1:16" s="28" customFormat="1" x14ac:dyDescent="0.25">
      <c r="A574" s="56"/>
      <c r="B574" s="61"/>
      <c r="C574" s="61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155"/>
    </row>
    <row r="575" spans="1:16" s="28" customFormat="1" x14ac:dyDescent="0.25">
      <c r="A575" s="56"/>
      <c r="B575" s="61"/>
      <c r="C575" s="61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155"/>
    </row>
    <row r="576" spans="1:16" s="28" customFormat="1" x14ac:dyDescent="0.25">
      <c r="A576" s="56"/>
      <c r="B576" s="61"/>
      <c r="C576" s="61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155"/>
    </row>
    <row r="577" spans="1:16" s="28" customFormat="1" x14ac:dyDescent="0.25">
      <c r="A577" s="56"/>
      <c r="B577" s="61"/>
      <c r="C577" s="61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155"/>
    </row>
    <row r="578" spans="1:16" s="28" customFormat="1" x14ac:dyDescent="0.25">
      <c r="A578" s="56"/>
      <c r="B578" s="61"/>
      <c r="C578" s="61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155"/>
    </row>
    <row r="579" spans="1:16" s="28" customFormat="1" x14ac:dyDescent="0.25">
      <c r="A579" s="56"/>
      <c r="B579" s="61"/>
      <c r="C579" s="61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155"/>
    </row>
    <row r="580" spans="1:16" s="28" customFormat="1" x14ac:dyDescent="0.25">
      <c r="A580" s="56"/>
      <c r="B580" s="61"/>
      <c r="C580" s="61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155"/>
    </row>
    <row r="581" spans="1:16" s="28" customFormat="1" x14ac:dyDescent="0.25">
      <c r="A581" s="56"/>
      <c r="B581" s="61"/>
      <c r="C581" s="61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155"/>
    </row>
    <row r="582" spans="1:16" s="28" customFormat="1" x14ac:dyDescent="0.25">
      <c r="A582" s="56"/>
      <c r="B582" s="61"/>
      <c r="C582" s="61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155"/>
    </row>
    <row r="583" spans="1:16" s="28" customFormat="1" x14ac:dyDescent="0.25">
      <c r="A583" s="56"/>
      <c r="B583" s="61"/>
      <c r="C583" s="61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155"/>
    </row>
    <row r="584" spans="1:16" s="28" customFormat="1" x14ac:dyDescent="0.25">
      <c r="A584" s="56"/>
      <c r="B584" s="61"/>
      <c r="C584" s="61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155"/>
    </row>
    <row r="585" spans="1:16" s="28" customFormat="1" x14ac:dyDescent="0.25">
      <c r="A585" s="56"/>
      <c r="B585" s="61"/>
      <c r="C585" s="61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155"/>
    </row>
    <row r="586" spans="1:16" s="28" customFormat="1" x14ac:dyDescent="0.25">
      <c r="A586" s="56"/>
      <c r="B586" s="61"/>
      <c r="C586" s="61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155"/>
    </row>
    <row r="587" spans="1:16" s="28" customFormat="1" x14ac:dyDescent="0.25">
      <c r="A587" s="56"/>
      <c r="B587" s="61"/>
      <c r="C587" s="61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155"/>
    </row>
    <row r="588" spans="1:16" s="28" customFormat="1" x14ac:dyDescent="0.25">
      <c r="A588" s="56"/>
      <c r="B588" s="61"/>
      <c r="C588" s="61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155"/>
    </row>
    <row r="589" spans="1:16" s="28" customFormat="1" x14ac:dyDescent="0.25">
      <c r="A589" s="56"/>
      <c r="B589" s="61"/>
      <c r="C589" s="61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155"/>
    </row>
    <row r="590" spans="1:16" s="28" customFormat="1" x14ac:dyDescent="0.25">
      <c r="A590" s="56"/>
      <c r="B590" s="61"/>
      <c r="C590" s="61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155"/>
    </row>
    <row r="591" spans="1:16" s="28" customFormat="1" x14ac:dyDescent="0.25">
      <c r="A591" s="56"/>
      <c r="B591" s="61"/>
      <c r="C591" s="61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155"/>
    </row>
    <row r="592" spans="1:16" s="28" customFormat="1" x14ac:dyDescent="0.25">
      <c r="A592" s="56"/>
      <c r="B592" s="61"/>
      <c r="C592" s="61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155"/>
    </row>
    <row r="593" spans="1:16" s="28" customFormat="1" x14ac:dyDescent="0.25">
      <c r="A593" s="56"/>
      <c r="B593" s="61"/>
      <c r="C593" s="61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155"/>
    </row>
    <row r="594" spans="1:16" s="28" customFormat="1" x14ac:dyDescent="0.25">
      <c r="A594" s="56"/>
      <c r="B594" s="61"/>
      <c r="C594" s="61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155"/>
    </row>
    <row r="595" spans="1:16" s="28" customFormat="1" x14ac:dyDescent="0.25">
      <c r="A595" s="56"/>
      <c r="B595" s="61"/>
      <c r="C595" s="61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155"/>
    </row>
    <row r="596" spans="1:16" s="28" customFormat="1" x14ac:dyDescent="0.25">
      <c r="A596" s="56"/>
      <c r="B596" s="61"/>
      <c r="C596" s="61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155"/>
    </row>
    <row r="597" spans="1:16" s="28" customFormat="1" x14ac:dyDescent="0.25">
      <c r="A597" s="56"/>
      <c r="B597" s="61"/>
      <c r="C597" s="61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155"/>
    </row>
    <row r="598" spans="1:16" s="28" customFormat="1" x14ac:dyDescent="0.25">
      <c r="A598" s="56"/>
      <c r="B598" s="61"/>
      <c r="C598" s="61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155"/>
    </row>
    <row r="599" spans="1:16" s="28" customFormat="1" x14ac:dyDescent="0.25">
      <c r="A599" s="56"/>
      <c r="B599" s="61"/>
      <c r="C599" s="61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155"/>
    </row>
    <row r="600" spans="1:16" s="28" customFormat="1" x14ac:dyDescent="0.25">
      <c r="A600" s="56"/>
      <c r="B600" s="61"/>
      <c r="C600" s="61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155"/>
    </row>
    <row r="601" spans="1:16" s="28" customFormat="1" x14ac:dyDescent="0.25">
      <c r="A601" s="56"/>
      <c r="B601" s="61"/>
      <c r="C601" s="61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155"/>
    </row>
    <row r="602" spans="1:16" s="28" customFormat="1" x14ac:dyDescent="0.25">
      <c r="A602" s="56"/>
      <c r="B602" s="61"/>
      <c r="C602" s="61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155"/>
    </row>
    <row r="603" spans="1:16" s="28" customFormat="1" x14ac:dyDescent="0.25">
      <c r="A603" s="56"/>
      <c r="B603" s="61"/>
      <c r="C603" s="61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155"/>
    </row>
    <row r="604" spans="1:16" s="28" customFormat="1" x14ac:dyDescent="0.25">
      <c r="A604" s="56"/>
      <c r="B604" s="61"/>
      <c r="C604" s="61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155"/>
    </row>
    <row r="605" spans="1:16" s="28" customFormat="1" x14ac:dyDescent="0.25">
      <c r="A605" s="56"/>
      <c r="B605" s="61"/>
      <c r="C605" s="61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155"/>
    </row>
    <row r="606" spans="1:16" s="28" customFormat="1" x14ac:dyDescent="0.25">
      <c r="A606" s="56"/>
      <c r="B606" s="61"/>
      <c r="C606" s="61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155"/>
    </row>
    <row r="607" spans="1:16" s="28" customFormat="1" x14ac:dyDescent="0.25">
      <c r="A607" s="56"/>
      <c r="B607" s="61"/>
      <c r="C607" s="61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155"/>
    </row>
    <row r="608" spans="1:16" s="28" customFormat="1" x14ac:dyDescent="0.25">
      <c r="A608" s="56"/>
      <c r="B608" s="61"/>
      <c r="C608" s="61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155"/>
    </row>
    <row r="609" spans="1:16" s="28" customFormat="1" x14ac:dyDescent="0.25">
      <c r="A609" s="56"/>
      <c r="B609" s="61"/>
      <c r="C609" s="61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155"/>
    </row>
    <row r="610" spans="1:16" s="28" customFormat="1" x14ac:dyDescent="0.25">
      <c r="A610" s="56"/>
      <c r="B610" s="61"/>
      <c r="C610" s="61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155"/>
    </row>
    <row r="611" spans="1:16" s="28" customFormat="1" x14ac:dyDescent="0.25">
      <c r="A611" s="56"/>
      <c r="B611" s="61"/>
      <c r="C611" s="61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155"/>
    </row>
    <row r="612" spans="1:16" s="28" customFormat="1" x14ac:dyDescent="0.25">
      <c r="A612" s="56"/>
      <c r="B612" s="61"/>
      <c r="C612" s="61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155"/>
    </row>
    <row r="613" spans="1:16" s="28" customFormat="1" x14ac:dyDescent="0.25">
      <c r="A613" s="56"/>
      <c r="B613" s="61"/>
      <c r="C613" s="61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155"/>
    </row>
    <row r="614" spans="1:16" s="28" customFormat="1" x14ac:dyDescent="0.25">
      <c r="A614" s="56"/>
      <c r="B614" s="61"/>
      <c r="C614" s="61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155"/>
    </row>
    <row r="615" spans="1:16" s="28" customFormat="1" x14ac:dyDescent="0.25">
      <c r="A615" s="56"/>
      <c r="B615" s="61"/>
      <c r="C615" s="61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155"/>
    </row>
    <row r="616" spans="1:16" s="28" customFormat="1" x14ac:dyDescent="0.25">
      <c r="A616" s="56"/>
      <c r="B616" s="61"/>
      <c r="C616" s="61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155"/>
    </row>
    <row r="617" spans="1:16" s="28" customFormat="1" x14ac:dyDescent="0.25">
      <c r="A617" s="56"/>
      <c r="B617" s="61"/>
      <c r="C617" s="61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155"/>
    </row>
    <row r="618" spans="1:16" s="28" customFormat="1" x14ac:dyDescent="0.25">
      <c r="A618" s="56"/>
      <c r="B618" s="61"/>
      <c r="C618" s="61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155"/>
    </row>
    <row r="619" spans="1:16" s="28" customFormat="1" x14ac:dyDescent="0.25">
      <c r="A619" s="56"/>
      <c r="B619" s="61"/>
      <c r="C619" s="61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155"/>
    </row>
    <row r="620" spans="1:16" s="28" customFormat="1" x14ac:dyDescent="0.25">
      <c r="A620" s="56"/>
      <c r="B620" s="61"/>
      <c r="C620" s="61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155"/>
    </row>
    <row r="621" spans="1:16" s="28" customFormat="1" x14ac:dyDescent="0.25">
      <c r="A621" s="56"/>
      <c r="B621" s="61"/>
      <c r="C621" s="61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155"/>
    </row>
    <row r="622" spans="1:16" s="28" customFormat="1" x14ac:dyDescent="0.25">
      <c r="A622" s="56"/>
      <c r="B622" s="61"/>
      <c r="C622" s="61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155"/>
    </row>
    <row r="623" spans="1:16" s="28" customFormat="1" x14ac:dyDescent="0.25">
      <c r="A623" s="56"/>
      <c r="B623" s="61"/>
      <c r="C623" s="61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155"/>
    </row>
    <row r="624" spans="1:16" s="28" customFormat="1" x14ac:dyDescent="0.25">
      <c r="A624" s="56"/>
      <c r="B624" s="61"/>
      <c r="C624" s="61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155"/>
    </row>
    <row r="625" spans="1:16" s="28" customFormat="1" x14ac:dyDescent="0.25">
      <c r="A625" s="56"/>
      <c r="B625" s="61"/>
      <c r="C625" s="61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155"/>
    </row>
    <row r="626" spans="1:16" s="28" customFormat="1" x14ac:dyDescent="0.25">
      <c r="A626" s="56"/>
      <c r="B626" s="61"/>
      <c r="C626" s="61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155"/>
    </row>
    <row r="627" spans="1:16" s="28" customFormat="1" x14ac:dyDescent="0.25">
      <c r="A627" s="56"/>
      <c r="B627" s="61"/>
      <c r="C627" s="61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155"/>
    </row>
    <row r="628" spans="1:16" s="28" customFormat="1" x14ac:dyDescent="0.25">
      <c r="A628" s="56"/>
      <c r="B628" s="61"/>
      <c r="C628" s="61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155"/>
    </row>
    <row r="629" spans="1:16" s="28" customFormat="1" x14ac:dyDescent="0.25">
      <c r="A629" s="56"/>
      <c r="B629" s="61"/>
      <c r="C629" s="61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155"/>
    </row>
    <row r="630" spans="1:16" s="28" customFormat="1" x14ac:dyDescent="0.25">
      <c r="A630" s="56"/>
      <c r="B630" s="61"/>
      <c r="C630" s="61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155"/>
    </row>
    <row r="631" spans="1:16" s="28" customFormat="1" x14ac:dyDescent="0.25">
      <c r="A631" s="56"/>
      <c r="B631" s="61"/>
      <c r="C631" s="61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155"/>
    </row>
    <row r="632" spans="1:16" s="28" customFormat="1" x14ac:dyDescent="0.25">
      <c r="A632" s="56"/>
      <c r="B632" s="61"/>
      <c r="C632" s="61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155"/>
    </row>
    <row r="633" spans="1:16" s="28" customFormat="1" x14ac:dyDescent="0.25">
      <c r="A633" s="56"/>
      <c r="B633" s="61"/>
      <c r="C633" s="61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155"/>
    </row>
    <row r="634" spans="1:16" s="28" customFormat="1" x14ac:dyDescent="0.25">
      <c r="A634" s="56"/>
      <c r="B634" s="61"/>
      <c r="C634" s="61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155"/>
    </row>
    <row r="635" spans="1:16" s="28" customFormat="1" x14ac:dyDescent="0.25">
      <c r="A635" s="56"/>
      <c r="B635" s="61"/>
      <c r="C635" s="61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155"/>
    </row>
    <row r="636" spans="1:16" s="28" customFormat="1" x14ac:dyDescent="0.25">
      <c r="A636" s="56"/>
      <c r="B636" s="61"/>
      <c r="C636" s="61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155"/>
    </row>
    <row r="637" spans="1:16" s="28" customFormat="1" x14ac:dyDescent="0.25">
      <c r="A637" s="56"/>
      <c r="B637" s="61"/>
      <c r="C637" s="61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155"/>
    </row>
    <row r="638" spans="1:16" s="28" customFormat="1" x14ac:dyDescent="0.25">
      <c r="A638" s="56"/>
      <c r="B638" s="61"/>
      <c r="C638" s="61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155"/>
    </row>
    <row r="639" spans="1:16" s="28" customFormat="1" x14ac:dyDescent="0.25">
      <c r="A639" s="56"/>
      <c r="B639" s="61"/>
      <c r="C639" s="61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155"/>
    </row>
    <row r="640" spans="1:16" s="28" customFormat="1" x14ac:dyDescent="0.25">
      <c r="A640" s="56"/>
      <c r="B640" s="61"/>
      <c r="C640" s="61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155"/>
    </row>
    <row r="641" spans="1:16" s="28" customFormat="1" x14ac:dyDescent="0.25">
      <c r="A641" s="56"/>
      <c r="B641" s="61"/>
      <c r="C641" s="61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155"/>
    </row>
    <row r="642" spans="1:16" s="28" customFormat="1" x14ac:dyDescent="0.25">
      <c r="A642" s="56"/>
      <c r="B642" s="61"/>
      <c r="C642" s="61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155"/>
    </row>
    <row r="643" spans="1:16" s="28" customFormat="1" x14ac:dyDescent="0.25">
      <c r="A643" s="56"/>
      <c r="B643" s="61"/>
      <c r="C643" s="61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155"/>
    </row>
    <row r="644" spans="1:16" s="28" customFormat="1" x14ac:dyDescent="0.25">
      <c r="A644" s="56"/>
      <c r="B644" s="61"/>
      <c r="C644" s="61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155"/>
    </row>
    <row r="645" spans="1:16" s="28" customFormat="1" x14ac:dyDescent="0.25">
      <c r="A645" s="56"/>
      <c r="B645" s="61"/>
      <c r="C645" s="61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155"/>
    </row>
    <row r="646" spans="1:16" s="28" customFormat="1" x14ac:dyDescent="0.25">
      <c r="A646" s="56"/>
      <c r="B646" s="61"/>
      <c r="C646" s="61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155"/>
    </row>
    <row r="647" spans="1:16" s="28" customFormat="1" x14ac:dyDescent="0.25">
      <c r="A647" s="56"/>
      <c r="B647" s="61"/>
      <c r="C647" s="61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155"/>
    </row>
    <row r="648" spans="1:16" s="28" customFormat="1" x14ac:dyDescent="0.25">
      <c r="A648" s="56"/>
      <c r="B648" s="61"/>
      <c r="C648" s="61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155"/>
    </row>
    <row r="649" spans="1:16" s="28" customFormat="1" x14ac:dyDescent="0.25">
      <c r="A649" s="56"/>
      <c r="B649" s="61"/>
      <c r="C649" s="61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155"/>
    </row>
    <row r="650" spans="1:16" s="28" customFormat="1" x14ac:dyDescent="0.25">
      <c r="A650" s="56"/>
      <c r="B650" s="61"/>
      <c r="C650" s="61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155"/>
    </row>
    <row r="651" spans="1:16" s="28" customFormat="1" x14ac:dyDescent="0.25">
      <c r="A651" s="56"/>
      <c r="B651" s="61"/>
      <c r="C651" s="61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155"/>
    </row>
    <row r="652" spans="1:16" s="28" customFormat="1" x14ac:dyDescent="0.25">
      <c r="A652" s="56"/>
      <c r="B652" s="61"/>
      <c r="C652" s="61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155"/>
    </row>
    <row r="653" spans="1:16" s="28" customFormat="1" x14ac:dyDescent="0.25">
      <c r="A653" s="56"/>
      <c r="B653" s="61"/>
      <c r="C653" s="61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155"/>
    </row>
    <row r="654" spans="1:16" s="28" customFormat="1" x14ac:dyDescent="0.25">
      <c r="A654" s="56"/>
      <c r="B654" s="61"/>
      <c r="C654" s="61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155"/>
    </row>
    <row r="655" spans="1:16" s="28" customFormat="1" x14ac:dyDescent="0.25">
      <c r="A655" s="56"/>
      <c r="B655" s="61"/>
      <c r="C655" s="61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155"/>
    </row>
    <row r="656" spans="1:16" s="28" customFormat="1" x14ac:dyDescent="0.25">
      <c r="A656" s="56"/>
      <c r="B656" s="61"/>
      <c r="C656" s="61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155"/>
    </row>
    <row r="657" spans="1:16" s="28" customFormat="1" x14ac:dyDescent="0.25">
      <c r="A657" s="56"/>
      <c r="B657" s="61"/>
      <c r="C657" s="61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155"/>
    </row>
    <row r="658" spans="1:16" s="28" customFormat="1" x14ac:dyDescent="0.25">
      <c r="A658" s="56"/>
      <c r="B658" s="61"/>
      <c r="C658" s="61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155"/>
    </row>
    <row r="659" spans="1:16" s="28" customFormat="1" x14ac:dyDescent="0.25">
      <c r="A659" s="56"/>
      <c r="B659" s="61"/>
      <c r="C659" s="61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155"/>
    </row>
    <row r="660" spans="1:16" s="28" customFormat="1" x14ac:dyDescent="0.25">
      <c r="A660" s="56"/>
      <c r="B660" s="61"/>
      <c r="C660" s="61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155"/>
    </row>
    <row r="661" spans="1:16" s="28" customFormat="1" x14ac:dyDescent="0.25">
      <c r="A661" s="56"/>
      <c r="B661" s="61"/>
      <c r="C661" s="61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155"/>
    </row>
    <row r="662" spans="1:16" s="28" customFormat="1" x14ac:dyDescent="0.25">
      <c r="A662" s="56"/>
      <c r="B662" s="61"/>
      <c r="C662" s="61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155"/>
    </row>
    <row r="663" spans="1:16" s="28" customFormat="1" x14ac:dyDescent="0.25">
      <c r="A663" s="56"/>
      <c r="B663" s="61"/>
      <c r="C663" s="61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155"/>
    </row>
    <row r="664" spans="1:16" s="28" customFormat="1" x14ac:dyDescent="0.25">
      <c r="A664" s="56"/>
      <c r="B664" s="61"/>
      <c r="C664" s="61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155"/>
    </row>
    <row r="665" spans="1:16" s="28" customFormat="1" x14ac:dyDescent="0.25">
      <c r="A665" s="56"/>
      <c r="B665" s="61"/>
      <c r="C665" s="61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155"/>
    </row>
    <row r="666" spans="1:16" s="28" customFormat="1" x14ac:dyDescent="0.25">
      <c r="A666" s="56"/>
      <c r="B666" s="61"/>
      <c r="C666" s="61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155"/>
    </row>
    <row r="667" spans="1:16" s="28" customFormat="1" x14ac:dyDescent="0.25">
      <c r="A667" s="56"/>
      <c r="B667" s="61"/>
      <c r="C667" s="61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155"/>
    </row>
    <row r="668" spans="1:16" s="28" customFormat="1" x14ac:dyDescent="0.25">
      <c r="A668" s="56"/>
      <c r="B668" s="61"/>
      <c r="C668" s="61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155"/>
    </row>
    <row r="669" spans="1:16" s="28" customFormat="1" x14ac:dyDescent="0.25">
      <c r="A669" s="56"/>
      <c r="B669" s="61"/>
      <c r="C669" s="61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155"/>
    </row>
    <row r="670" spans="1:16" s="28" customFormat="1" x14ac:dyDescent="0.25">
      <c r="A670" s="56"/>
      <c r="B670" s="61"/>
      <c r="C670" s="61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155"/>
    </row>
    <row r="671" spans="1:16" s="28" customFormat="1" x14ac:dyDescent="0.25">
      <c r="A671" s="56"/>
      <c r="B671" s="61"/>
      <c r="C671" s="61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155"/>
    </row>
    <row r="672" spans="1:16" s="28" customFormat="1" x14ac:dyDescent="0.25">
      <c r="A672" s="56"/>
      <c r="B672" s="61"/>
      <c r="C672" s="61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155"/>
    </row>
    <row r="673" spans="1:16" s="28" customFormat="1" x14ac:dyDescent="0.25">
      <c r="A673" s="56"/>
      <c r="B673" s="61"/>
      <c r="C673" s="61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155"/>
    </row>
    <row r="674" spans="1:16" s="28" customFormat="1" x14ac:dyDescent="0.25">
      <c r="A674" s="56"/>
      <c r="B674" s="61"/>
      <c r="C674" s="61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155"/>
    </row>
    <row r="675" spans="1:16" s="28" customFormat="1" x14ac:dyDescent="0.25">
      <c r="A675" s="56"/>
      <c r="B675" s="61"/>
      <c r="C675" s="61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155"/>
    </row>
    <row r="676" spans="1:16" s="28" customFormat="1" x14ac:dyDescent="0.25">
      <c r="A676" s="56"/>
      <c r="B676" s="61"/>
      <c r="C676" s="61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155"/>
    </row>
    <row r="677" spans="1:16" s="28" customFormat="1" x14ac:dyDescent="0.25">
      <c r="A677" s="56"/>
      <c r="B677" s="61"/>
      <c r="C677" s="61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155"/>
    </row>
    <row r="678" spans="1:16" s="28" customFormat="1" x14ac:dyDescent="0.25">
      <c r="A678" s="56"/>
      <c r="B678" s="61"/>
      <c r="C678" s="61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155"/>
    </row>
    <row r="679" spans="1:16" s="28" customFormat="1" x14ac:dyDescent="0.25">
      <c r="A679" s="56"/>
      <c r="B679" s="61"/>
      <c r="C679" s="61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155"/>
    </row>
    <row r="680" spans="1:16" s="28" customFormat="1" x14ac:dyDescent="0.25">
      <c r="A680" s="56"/>
      <c r="B680" s="61"/>
      <c r="C680" s="61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155"/>
    </row>
    <row r="681" spans="1:16" s="28" customFormat="1" x14ac:dyDescent="0.25">
      <c r="A681" s="56"/>
      <c r="B681" s="61"/>
      <c r="C681" s="61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155"/>
    </row>
    <row r="682" spans="1:16" s="28" customFormat="1" x14ac:dyDescent="0.25">
      <c r="A682" s="56"/>
      <c r="B682" s="61"/>
      <c r="C682" s="61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155"/>
    </row>
    <row r="683" spans="1:16" s="28" customFormat="1" x14ac:dyDescent="0.25">
      <c r="A683" s="56"/>
      <c r="B683" s="61"/>
      <c r="C683" s="61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155"/>
    </row>
    <row r="684" spans="1:16" s="28" customFormat="1" x14ac:dyDescent="0.25">
      <c r="A684" s="56"/>
      <c r="B684" s="61"/>
      <c r="C684" s="61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155"/>
    </row>
    <row r="685" spans="1:16" s="28" customFormat="1" x14ac:dyDescent="0.25">
      <c r="A685" s="56"/>
      <c r="B685" s="61"/>
      <c r="C685" s="61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155"/>
    </row>
    <row r="686" spans="1:16" s="28" customFormat="1" x14ac:dyDescent="0.25">
      <c r="A686" s="56"/>
      <c r="B686" s="61"/>
      <c r="C686" s="61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155"/>
    </row>
    <row r="687" spans="1:16" s="28" customFormat="1" x14ac:dyDescent="0.25">
      <c r="A687" s="56"/>
      <c r="B687" s="61"/>
      <c r="C687" s="61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155"/>
    </row>
    <row r="688" spans="1:16" s="28" customFormat="1" x14ac:dyDescent="0.25">
      <c r="A688" s="56"/>
      <c r="B688" s="61"/>
      <c r="C688" s="61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155"/>
    </row>
    <row r="689" spans="1:16" s="28" customFormat="1" x14ac:dyDescent="0.25">
      <c r="A689" s="56"/>
      <c r="B689" s="61"/>
      <c r="C689" s="61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155"/>
    </row>
    <row r="690" spans="1:16" s="28" customFormat="1" x14ac:dyDescent="0.25">
      <c r="A690" s="56"/>
      <c r="B690" s="61"/>
      <c r="C690" s="61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155"/>
    </row>
    <row r="691" spans="1:16" s="28" customFormat="1" x14ac:dyDescent="0.25">
      <c r="A691" s="56"/>
      <c r="B691" s="61"/>
      <c r="C691" s="61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155"/>
    </row>
    <row r="692" spans="1:16" s="28" customFormat="1" x14ac:dyDescent="0.25">
      <c r="A692" s="56"/>
      <c r="B692" s="61"/>
      <c r="C692" s="61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155"/>
    </row>
    <row r="693" spans="1:16" s="28" customFormat="1" x14ac:dyDescent="0.25">
      <c r="A693" s="56"/>
      <c r="B693" s="61"/>
      <c r="C693" s="61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155"/>
    </row>
    <row r="694" spans="1:16" s="28" customFormat="1" x14ac:dyDescent="0.25">
      <c r="A694" s="56"/>
      <c r="B694" s="61"/>
      <c r="C694" s="61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155"/>
    </row>
    <row r="695" spans="1:16" s="28" customFormat="1" x14ac:dyDescent="0.25">
      <c r="A695" s="56"/>
      <c r="B695" s="61"/>
      <c r="C695" s="61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155"/>
    </row>
    <row r="696" spans="1:16" s="28" customFormat="1" x14ac:dyDescent="0.25">
      <c r="A696" s="56"/>
      <c r="B696" s="61"/>
      <c r="C696" s="61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155"/>
    </row>
    <row r="697" spans="1:16" s="28" customFormat="1" x14ac:dyDescent="0.25">
      <c r="A697" s="56"/>
      <c r="B697" s="61"/>
      <c r="C697" s="61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155"/>
    </row>
    <row r="698" spans="1:16" s="28" customFormat="1" x14ac:dyDescent="0.25">
      <c r="A698" s="56"/>
      <c r="B698" s="61"/>
      <c r="C698" s="61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155"/>
    </row>
    <row r="699" spans="1:16" s="28" customFormat="1" x14ac:dyDescent="0.25">
      <c r="A699" s="56"/>
      <c r="B699" s="61"/>
      <c r="C699" s="61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155"/>
    </row>
    <row r="700" spans="1:16" s="28" customFormat="1" x14ac:dyDescent="0.25">
      <c r="A700" s="56"/>
      <c r="B700" s="61"/>
      <c r="C700" s="61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155"/>
    </row>
    <row r="701" spans="1:16" s="28" customFormat="1" x14ac:dyDescent="0.25">
      <c r="A701" s="56"/>
      <c r="B701" s="61"/>
      <c r="C701" s="61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155"/>
    </row>
    <row r="702" spans="1:16" s="28" customFormat="1" x14ac:dyDescent="0.25">
      <c r="A702" s="56"/>
      <c r="B702" s="61"/>
      <c r="C702" s="61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155"/>
    </row>
    <row r="703" spans="1:16" s="28" customFormat="1" x14ac:dyDescent="0.25">
      <c r="A703" s="56"/>
      <c r="B703" s="61"/>
      <c r="C703" s="61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155"/>
    </row>
    <row r="704" spans="1:16" s="28" customFormat="1" x14ac:dyDescent="0.25">
      <c r="A704" s="56"/>
      <c r="B704" s="61"/>
      <c r="C704" s="61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155"/>
    </row>
    <row r="705" spans="1:16" s="28" customFormat="1" x14ac:dyDescent="0.25">
      <c r="A705" s="56"/>
      <c r="B705" s="61"/>
      <c r="C705" s="61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155"/>
    </row>
    <row r="706" spans="1:16" s="28" customFormat="1" x14ac:dyDescent="0.25">
      <c r="A706" s="56"/>
      <c r="B706" s="61"/>
      <c r="C706" s="61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155"/>
    </row>
    <row r="707" spans="1:16" s="28" customFormat="1" x14ac:dyDescent="0.25">
      <c r="A707" s="56"/>
      <c r="B707" s="61"/>
      <c r="C707" s="61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155"/>
    </row>
    <row r="708" spans="1:16" s="28" customFormat="1" x14ac:dyDescent="0.25">
      <c r="A708" s="56"/>
      <c r="B708" s="61"/>
      <c r="C708" s="61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155"/>
    </row>
    <row r="709" spans="1:16" s="28" customFormat="1" x14ac:dyDescent="0.25">
      <c r="A709" s="56"/>
      <c r="B709" s="61"/>
      <c r="C709" s="61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155"/>
    </row>
    <row r="710" spans="1:16" s="28" customFormat="1" x14ac:dyDescent="0.25">
      <c r="A710" s="56"/>
      <c r="B710" s="61"/>
      <c r="C710" s="61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155"/>
    </row>
    <row r="711" spans="1:16" s="28" customFormat="1" x14ac:dyDescent="0.25">
      <c r="A711" s="56"/>
      <c r="B711" s="61"/>
      <c r="C711" s="61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155"/>
    </row>
    <row r="712" spans="1:16" s="28" customFormat="1" x14ac:dyDescent="0.25">
      <c r="A712" s="56"/>
      <c r="B712" s="61"/>
      <c r="C712" s="61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155"/>
    </row>
    <row r="713" spans="1:16" s="28" customFormat="1" x14ac:dyDescent="0.25">
      <c r="A713" s="56"/>
      <c r="B713" s="61"/>
      <c r="C713" s="61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155"/>
    </row>
    <row r="714" spans="1:16" s="28" customFormat="1" x14ac:dyDescent="0.25">
      <c r="A714" s="56"/>
      <c r="B714" s="61"/>
      <c r="C714" s="61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155"/>
    </row>
    <row r="715" spans="1:16" s="28" customFormat="1" x14ac:dyDescent="0.25">
      <c r="A715" s="56"/>
      <c r="B715" s="61"/>
      <c r="C715" s="61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155"/>
    </row>
    <row r="716" spans="1:16" s="28" customFormat="1" x14ac:dyDescent="0.25">
      <c r="A716" s="56"/>
      <c r="B716" s="61"/>
      <c r="C716" s="61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155"/>
    </row>
    <row r="717" spans="1:16" s="28" customFormat="1" x14ac:dyDescent="0.25">
      <c r="A717" s="56"/>
      <c r="B717" s="61"/>
      <c r="C717" s="61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155"/>
    </row>
    <row r="718" spans="1:16" s="28" customFormat="1" x14ac:dyDescent="0.25">
      <c r="A718" s="56"/>
      <c r="B718" s="61"/>
      <c r="C718" s="61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155"/>
    </row>
    <row r="719" spans="1:16" s="28" customFormat="1" x14ac:dyDescent="0.25">
      <c r="A719" s="56"/>
      <c r="B719" s="61"/>
      <c r="C719" s="61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155"/>
    </row>
    <row r="720" spans="1:16" s="28" customFormat="1" x14ac:dyDescent="0.25">
      <c r="A720" s="56"/>
      <c r="B720" s="61"/>
      <c r="C720" s="61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155"/>
    </row>
    <row r="721" spans="1:16" s="28" customFormat="1" x14ac:dyDescent="0.25">
      <c r="A721" s="56"/>
      <c r="B721" s="61"/>
      <c r="C721" s="61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155"/>
    </row>
    <row r="722" spans="1:16" s="28" customFormat="1" x14ac:dyDescent="0.25">
      <c r="A722" s="56"/>
      <c r="B722" s="61"/>
      <c r="C722" s="61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155"/>
    </row>
    <row r="723" spans="1:16" s="28" customFormat="1" x14ac:dyDescent="0.25">
      <c r="A723" s="56"/>
      <c r="B723" s="61"/>
      <c r="C723" s="61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155"/>
    </row>
    <row r="724" spans="1:16" s="28" customFormat="1" x14ac:dyDescent="0.25">
      <c r="A724" s="56"/>
      <c r="B724" s="61"/>
      <c r="C724" s="61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155"/>
    </row>
    <row r="725" spans="1:16" s="28" customFormat="1" x14ac:dyDescent="0.25">
      <c r="A725" s="56"/>
      <c r="B725" s="61"/>
      <c r="C725" s="61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155"/>
    </row>
    <row r="726" spans="1:16" s="28" customFormat="1" x14ac:dyDescent="0.25">
      <c r="A726" s="56"/>
      <c r="B726" s="61"/>
      <c r="C726" s="61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155"/>
    </row>
    <row r="727" spans="1:16" s="28" customFormat="1" x14ac:dyDescent="0.25">
      <c r="A727" s="56"/>
      <c r="B727" s="61"/>
      <c r="C727" s="61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155"/>
    </row>
    <row r="728" spans="1:16" s="28" customFormat="1" x14ac:dyDescent="0.25">
      <c r="A728" s="56"/>
      <c r="B728" s="61"/>
      <c r="C728" s="61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155"/>
    </row>
    <row r="729" spans="1:16" s="28" customFormat="1" x14ac:dyDescent="0.25">
      <c r="A729" s="56"/>
      <c r="B729" s="61"/>
      <c r="C729" s="61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155"/>
    </row>
    <row r="730" spans="1:16" s="28" customFormat="1" x14ac:dyDescent="0.25">
      <c r="A730" s="56"/>
      <c r="B730" s="61"/>
      <c r="C730" s="61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155"/>
    </row>
    <row r="731" spans="1:16" s="28" customFormat="1" x14ac:dyDescent="0.25">
      <c r="A731" s="56"/>
      <c r="B731" s="61"/>
      <c r="C731" s="61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155"/>
    </row>
    <row r="732" spans="1:16" s="28" customFormat="1" x14ac:dyDescent="0.25">
      <c r="A732" s="56"/>
      <c r="B732" s="61"/>
      <c r="C732" s="61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155"/>
    </row>
    <row r="733" spans="1:16" s="28" customFormat="1" x14ac:dyDescent="0.25">
      <c r="A733" s="56"/>
      <c r="B733" s="61"/>
      <c r="C733" s="61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155"/>
    </row>
    <row r="734" spans="1:16" s="28" customFormat="1" x14ac:dyDescent="0.25">
      <c r="A734" s="56"/>
      <c r="B734" s="61"/>
      <c r="C734" s="61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155"/>
    </row>
    <row r="735" spans="1:16" s="28" customFormat="1" x14ac:dyDescent="0.25">
      <c r="A735" s="56"/>
      <c r="B735" s="61"/>
      <c r="C735" s="61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155"/>
    </row>
    <row r="736" spans="1:16" s="28" customFormat="1" x14ac:dyDescent="0.25">
      <c r="A736" s="56"/>
      <c r="B736" s="61"/>
      <c r="C736" s="61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155"/>
    </row>
    <row r="737" spans="1:16" s="28" customFormat="1" x14ac:dyDescent="0.25">
      <c r="A737" s="56"/>
      <c r="B737" s="61"/>
      <c r="C737" s="61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155"/>
    </row>
    <row r="738" spans="1:16" s="28" customFormat="1" x14ac:dyDescent="0.25">
      <c r="A738" s="56"/>
      <c r="B738" s="61"/>
      <c r="C738" s="61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155"/>
    </row>
    <row r="739" spans="1:16" s="28" customFormat="1" x14ac:dyDescent="0.25">
      <c r="A739" s="56"/>
      <c r="B739" s="61"/>
      <c r="C739" s="61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155"/>
    </row>
    <row r="740" spans="1:16" s="28" customFormat="1" x14ac:dyDescent="0.25">
      <c r="A740" s="56"/>
      <c r="B740" s="61"/>
      <c r="C740" s="61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155"/>
    </row>
    <row r="741" spans="1:16" s="28" customFormat="1" x14ac:dyDescent="0.25">
      <c r="A741" s="56"/>
      <c r="B741" s="61"/>
      <c r="C741" s="61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155"/>
    </row>
    <row r="742" spans="1:16" s="28" customFormat="1" x14ac:dyDescent="0.25">
      <c r="A742" s="56"/>
      <c r="B742" s="61"/>
      <c r="C742" s="61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155"/>
    </row>
    <row r="743" spans="1:16" s="28" customFormat="1" x14ac:dyDescent="0.25">
      <c r="A743" s="56"/>
      <c r="B743" s="61"/>
      <c r="C743" s="61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155"/>
    </row>
    <row r="744" spans="1:16" s="28" customFormat="1" x14ac:dyDescent="0.25">
      <c r="A744" s="56"/>
      <c r="B744" s="61"/>
      <c r="C744" s="61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155"/>
    </row>
    <row r="745" spans="1:16" s="28" customFormat="1" x14ac:dyDescent="0.25">
      <c r="A745" s="56"/>
      <c r="B745" s="61"/>
      <c r="C745" s="61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155"/>
    </row>
    <row r="746" spans="1:16" s="28" customFormat="1" x14ac:dyDescent="0.25">
      <c r="A746" s="56"/>
      <c r="B746" s="61"/>
      <c r="C746" s="61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155"/>
    </row>
    <row r="747" spans="1:16" s="28" customFormat="1" x14ac:dyDescent="0.25">
      <c r="A747" s="56"/>
      <c r="B747" s="61"/>
      <c r="C747" s="61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155"/>
    </row>
    <row r="748" spans="1:16" s="28" customFormat="1" x14ac:dyDescent="0.25">
      <c r="A748" s="56"/>
      <c r="B748" s="61"/>
      <c r="C748" s="61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155"/>
    </row>
    <row r="749" spans="1:16" s="28" customFormat="1" x14ac:dyDescent="0.25">
      <c r="A749" s="56"/>
      <c r="B749" s="61"/>
      <c r="C749" s="61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155"/>
    </row>
    <row r="750" spans="1:16" s="28" customFormat="1" x14ac:dyDescent="0.25">
      <c r="A750" s="56"/>
      <c r="B750" s="61"/>
      <c r="C750" s="61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155"/>
    </row>
    <row r="751" spans="1:16" s="28" customFormat="1" x14ac:dyDescent="0.25">
      <c r="A751" s="56"/>
      <c r="B751" s="61"/>
      <c r="C751" s="61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155"/>
    </row>
    <row r="752" spans="1:16" s="28" customFormat="1" x14ac:dyDescent="0.25">
      <c r="A752" s="56"/>
      <c r="B752" s="61"/>
      <c r="C752" s="61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155"/>
    </row>
    <row r="753" spans="1:16" s="28" customFormat="1" x14ac:dyDescent="0.25">
      <c r="A753" s="56"/>
      <c r="B753" s="61"/>
      <c r="C753" s="61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155"/>
    </row>
    <row r="754" spans="1:16" s="28" customFormat="1" x14ac:dyDescent="0.25">
      <c r="A754" s="56"/>
      <c r="B754" s="61"/>
      <c r="C754" s="61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155"/>
    </row>
    <row r="755" spans="1:16" s="28" customFormat="1" x14ac:dyDescent="0.25">
      <c r="A755" s="56"/>
      <c r="B755" s="61"/>
      <c r="C755" s="61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155"/>
    </row>
    <row r="756" spans="1:16" s="28" customFormat="1" x14ac:dyDescent="0.25">
      <c r="A756" s="56"/>
      <c r="B756" s="61"/>
      <c r="C756" s="61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155"/>
    </row>
    <row r="757" spans="1:16" s="28" customFormat="1" x14ac:dyDescent="0.25">
      <c r="A757" s="56"/>
      <c r="B757" s="61"/>
      <c r="C757" s="61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155"/>
    </row>
    <row r="758" spans="1:16" s="28" customFormat="1" x14ac:dyDescent="0.25">
      <c r="A758" s="56"/>
      <c r="B758" s="61"/>
      <c r="C758" s="61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155"/>
    </row>
    <row r="759" spans="1:16" s="28" customFormat="1" x14ac:dyDescent="0.25">
      <c r="A759" s="56"/>
      <c r="B759" s="61"/>
      <c r="C759" s="61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155"/>
    </row>
    <row r="760" spans="1:16" s="28" customFormat="1" x14ac:dyDescent="0.25">
      <c r="A760" s="56"/>
      <c r="B760" s="61"/>
      <c r="C760" s="61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155"/>
    </row>
    <row r="761" spans="1:16" s="28" customFormat="1" x14ac:dyDescent="0.25">
      <c r="A761" s="56"/>
      <c r="B761" s="61"/>
      <c r="C761" s="61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155"/>
    </row>
    <row r="762" spans="1:16" s="28" customFormat="1" x14ac:dyDescent="0.25">
      <c r="A762" s="56"/>
      <c r="B762" s="61"/>
      <c r="C762" s="61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155"/>
    </row>
    <row r="763" spans="1:16" s="28" customFormat="1" x14ac:dyDescent="0.25">
      <c r="A763" s="56"/>
      <c r="B763" s="61"/>
      <c r="C763" s="61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155"/>
    </row>
    <row r="764" spans="1:16" s="28" customFormat="1" x14ac:dyDescent="0.25">
      <c r="A764" s="56"/>
      <c r="B764" s="61"/>
      <c r="C764" s="61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155"/>
    </row>
    <row r="765" spans="1:16" s="28" customFormat="1" x14ac:dyDescent="0.25">
      <c r="A765" s="56"/>
      <c r="B765" s="61"/>
      <c r="C765" s="61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155"/>
    </row>
    <row r="766" spans="1:16" s="28" customFormat="1" x14ac:dyDescent="0.25">
      <c r="A766" s="56"/>
      <c r="B766" s="61"/>
      <c r="C766" s="61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155"/>
    </row>
    <row r="767" spans="1:16" s="28" customFormat="1" x14ac:dyDescent="0.25">
      <c r="A767" s="56"/>
      <c r="B767" s="61"/>
      <c r="C767" s="61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155"/>
    </row>
    <row r="768" spans="1:16" s="28" customFormat="1" x14ac:dyDescent="0.25">
      <c r="A768" s="56"/>
      <c r="B768" s="61"/>
      <c r="C768" s="61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155"/>
    </row>
    <row r="769" spans="1:16" s="28" customFormat="1" x14ac:dyDescent="0.25">
      <c r="A769" s="56"/>
      <c r="B769" s="61"/>
      <c r="C769" s="61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155"/>
    </row>
    <row r="770" spans="1:16" s="28" customFormat="1" x14ac:dyDescent="0.25">
      <c r="A770" s="56"/>
      <c r="B770" s="61"/>
      <c r="C770" s="61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155"/>
    </row>
    <row r="771" spans="1:16" s="28" customFormat="1" x14ac:dyDescent="0.25">
      <c r="A771" s="56"/>
      <c r="B771" s="61"/>
      <c r="C771" s="61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155"/>
    </row>
    <row r="772" spans="1:16" s="28" customFormat="1" x14ac:dyDescent="0.25">
      <c r="A772" s="56"/>
      <c r="B772" s="61"/>
      <c r="C772" s="61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155"/>
    </row>
    <row r="773" spans="1:16" s="28" customFormat="1" x14ac:dyDescent="0.25">
      <c r="A773" s="56"/>
      <c r="B773" s="61"/>
      <c r="C773" s="61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155"/>
    </row>
    <row r="774" spans="1:16" s="28" customFormat="1" x14ac:dyDescent="0.25">
      <c r="A774" s="56"/>
      <c r="B774" s="61"/>
      <c r="C774" s="61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155"/>
    </row>
    <row r="775" spans="1:16" s="28" customFormat="1" x14ac:dyDescent="0.25">
      <c r="A775" s="56"/>
      <c r="B775" s="61"/>
      <c r="C775" s="61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155"/>
    </row>
    <row r="776" spans="1:16" s="28" customFormat="1" x14ac:dyDescent="0.25">
      <c r="A776" s="56"/>
      <c r="B776" s="61"/>
      <c r="C776" s="61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155"/>
    </row>
    <row r="777" spans="1:16" s="28" customFormat="1" x14ac:dyDescent="0.25">
      <c r="A777" s="56"/>
      <c r="B777" s="61"/>
      <c r="C777" s="61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155"/>
    </row>
    <row r="778" spans="1:16" s="28" customFormat="1" x14ac:dyDescent="0.25">
      <c r="A778" s="56"/>
      <c r="B778" s="61"/>
      <c r="C778" s="61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155"/>
    </row>
    <row r="779" spans="1:16" s="28" customFormat="1" x14ac:dyDescent="0.25">
      <c r="A779" s="56"/>
      <c r="B779" s="61"/>
      <c r="C779" s="61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155"/>
    </row>
    <row r="780" spans="1:16" s="28" customFormat="1" x14ac:dyDescent="0.25">
      <c r="A780" s="56"/>
      <c r="B780" s="61"/>
      <c r="C780" s="61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155"/>
    </row>
    <row r="781" spans="1:16" s="28" customFormat="1" x14ac:dyDescent="0.25">
      <c r="A781" s="56"/>
      <c r="B781" s="61"/>
      <c r="C781" s="61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155"/>
    </row>
    <row r="782" spans="1:16" s="28" customFormat="1" x14ac:dyDescent="0.25">
      <c r="A782" s="56"/>
      <c r="B782" s="61"/>
      <c r="C782" s="61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155"/>
    </row>
    <row r="783" spans="1:16" s="28" customFormat="1" x14ac:dyDescent="0.25">
      <c r="A783" s="56"/>
      <c r="B783" s="61"/>
      <c r="C783" s="61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155"/>
    </row>
    <row r="784" spans="1:16" s="28" customFormat="1" x14ac:dyDescent="0.25">
      <c r="A784" s="56"/>
      <c r="B784" s="61"/>
      <c r="C784" s="61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155"/>
    </row>
    <row r="785" spans="1:16" s="28" customFormat="1" x14ac:dyDescent="0.25">
      <c r="A785" s="56"/>
      <c r="B785" s="61"/>
      <c r="C785" s="61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155"/>
    </row>
    <row r="786" spans="1:16" s="28" customFormat="1" x14ac:dyDescent="0.25">
      <c r="A786" s="56"/>
      <c r="B786" s="61"/>
      <c r="C786" s="61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155"/>
    </row>
    <row r="787" spans="1:16" s="28" customFormat="1" x14ac:dyDescent="0.25">
      <c r="A787" s="56"/>
      <c r="B787" s="61"/>
      <c r="C787" s="61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155"/>
    </row>
    <row r="788" spans="1:16" s="28" customFormat="1" x14ac:dyDescent="0.25">
      <c r="A788" s="56"/>
      <c r="B788" s="61"/>
      <c r="C788" s="61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155"/>
    </row>
    <row r="789" spans="1:16" s="28" customFormat="1" x14ac:dyDescent="0.25">
      <c r="A789" s="56"/>
      <c r="B789" s="61"/>
      <c r="C789" s="61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155"/>
    </row>
    <row r="790" spans="1:16" s="28" customFormat="1" x14ac:dyDescent="0.25">
      <c r="A790" s="56"/>
      <c r="B790" s="61"/>
      <c r="C790" s="61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155"/>
    </row>
    <row r="791" spans="1:16" s="28" customFormat="1" x14ac:dyDescent="0.25">
      <c r="A791" s="56"/>
      <c r="B791" s="61"/>
      <c r="C791" s="61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155"/>
    </row>
    <row r="792" spans="1:16" s="28" customFormat="1" x14ac:dyDescent="0.25">
      <c r="A792" s="56"/>
      <c r="B792" s="61"/>
      <c r="C792" s="61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155"/>
    </row>
    <row r="793" spans="1:16" s="28" customFormat="1" x14ac:dyDescent="0.25">
      <c r="A793" s="56"/>
      <c r="B793" s="61"/>
      <c r="C793" s="61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155"/>
    </row>
    <row r="794" spans="1:16" s="28" customFormat="1" x14ac:dyDescent="0.25">
      <c r="A794" s="56"/>
      <c r="B794" s="61"/>
      <c r="C794" s="61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155"/>
    </row>
    <row r="795" spans="1:16" s="28" customFormat="1" x14ac:dyDescent="0.25">
      <c r="A795" s="56"/>
      <c r="B795" s="61"/>
      <c r="C795" s="61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155"/>
    </row>
    <row r="796" spans="1:16" s="28" customFormat="1" x14ac:dyDescent="0.25">
      <c r="A796" s="56"/>
      <c r="B796" s="61"/>
      <c r="C796" s="61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155"/>
    </row>
    <row r="797" spans="1:16" s="28" customFormat="1" x14ac:dyDescent="0.25">
      <c r="A797" s="56"/>
      <c r="B797" s="61"/>
      <c r="C797" s="61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155"/>
    </row>
    <row r="798" spans="1:16" s="28" customFormat="1" x14ac:dyDescent="0.25">
      <c r="A798" s="56"/>
      <c r="B798" s="61"/>
      <c r="C798" s="61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155"/>
    </row>
    <row r="799" spans="1:16" s="28" customFormat="1" x14ac:dyDescent="0.25">
      <c r="A799" s="56"/>
      <c r="B799" s="61"/>
      <c r="C799" s="61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155"/>
    </row>
    <row r="800" spans="1:16" s="28" customFormat="1" x14ac:dyDescent="0.25">
      <c r="A800" s="56"/>
      <c r="B800" s="61"/>
      <c r="C800" s="61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155"/>
    </row>
    <row r="801" spans="1:16" s="28" customFormat="1" x14ac:dyDescent="0.25">
      <c r="A801" s="56"/>
      <c r="B801" s="61"/>
      <c r="C801" s="61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155"/>
    </row>
    <row r="802" spans="1:16" s="28" customFormat="1" x14ac:dyDescent="0.25">
      <c r="A802" s="56"/>
      <c r="B802" s="61"/>
      <c r="C802" s="61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155"/>
    </row>
    <row r="803" spans="1:16" s="28" customFormat="1" x14ac:dyDescent="0.25">
      <c r="A803" s="56"/>
      <c r="B803" s="61"/>
      <c r="C803" s="61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155"/>
    </row>
    <row r="804" spans="1:16" s="28" customFormat="1" x14ac:dyDescent="0.25">
      <c r="A804" s="56"/>
      <c r="B804" s="61"/>
      <c r="C804" s="61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155"/>
    </row>
    <row r="805" spans="1:16" s="28" customFormat="1" x14ac:dyDescent="0.25">
      <c r="A805" s="56"/>
      <c r="B805" s="61"/>
      <c r="C805" s="61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155"/>
    </row>
    <row r="806" spans="1:16" s="28" customFormat="1" x14ac:dyDescent="0.25">
      <c r="A806" s="56"/>
      <c r="B806" s="61"/>
      <c r="C806" s="61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155"/>
    </row>
    <row r="807" spans="1:16" s="28" customFormat="1" x14ac:dyDescent="0.25">
      <c r="A807" s="56"/>
      <c r="B807" s="61"/>
      <c r="C807" s="61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155"/>
    </row>
    <row r="808" spans="1:16" s="28" customFormat="1" x14ac:dyDescent="0.25">
      <c r="A808" s="56"/>
      <c r="B808" s="61"/>
      <c r="C808" s="61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155"/>
    </row>
    <row r="809" spans="1:16" s="28" customFormat="1" x14ac:dyDescent="0.25">
      <c r="A809" s="56"/>
      <c r="B809" s="61"/>
      <c r="C809" s="61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155"/>
    </row>
    <row r="810" spans="1:16" s="28" customFormat="1" x14ac:dyDescent="0.25">
      <c r="A810" s="56"/>
      <c r="B810" s="61"/>
      <c r="C810" s="61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155"/>
    </row>
    <row r="811" spans="1:16" s="28" customFormat="1" x14ac:dyDescent="0.25">
      <c r="A811" s="56"/>
      <c r="B811" s="61"/>
      <c r="C811" s="61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155"/>
    </row>
    <row r="812" spans="1:16" s="28" customFormat="1" x14ac:dyDescent="0.25">
      <c r="A812" s="56"/>
      <c r="B812" s="61"/>
      <c r="C812" s="61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155"/>
    </row>
    <row r="813" spans="1:16" s="28" customFormat="1" x14ac:dyDescent="0.25">
      <c r="A813" s="56"/>
      <c r="B813" s="61"/>
      <c r="C813" s="61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155"/>
    </row>
    <row r="814" spans="1:16" s="28" customFormat="1" x14ac:dyDescent="0.25">
      <c r="A814" s="56"/>
      <c r="B814" s="61"/>
      <c r="C814" s="61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155"/>
    </row>
    <row r="815" spans="1:16" s="28" customFormat="1" x14ac:dyDescent="0.25">
      <c r="A815" s="56"/>
      <c r="B815" s="61"/>
      <c r="C815" s="61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155"/>
    </row>
    <row r="816" spans="1:16" s="28" customFormat="1" x14ac:dyDescent="0.25">
      <c r="A816" s="56"/>
      <c r="B816" s="61"/>
      <c r="C816" s="61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155"/>
    </row>
    <row r="817" spans="1:16" s="28" customFormat="1" x14ac:dyDescent="0.25">
      <c r="A817" s="56"/>
      <c r="B817" s="61"/>
      <c r="C817" s="61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155"/>
    </row>
    <row r="818" spans="1:16" s="28" customFormat="1" x14ac:dyDescent="0.25">
      <c r="A818" s="56"/>
      <c r="B818" s="61"/>
      <c r="C818" s="61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155"/>
    </row>
    <row r="819" spans="1:16" s="28" customFormat="1" x14ac:dyDescent="0.25">
      <c r="A819" s="56"/>
      <c r="B819" s="61"/>
      <c r="C819" s="61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155"/>
    </row>
    <row r="820" spans="1:16" s="28" customFormat="1" x14ac:dyDescent="0.25">
      <c r="A820" s="56"/>
      <c r="B820" s="61"/>
      <c r="C820" s="61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155"/>
    </row>
    <row r="821" spans="1:16" s="28" customFormat="1" x14ac:dyDescent="0.25">
      <c r="A821" s="56"/>
      <c r="B821" s="61"/>
      <c r="C821" s="61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155"/>
    </row>
    <row r="822" spans="1:16" s="28" customFormat="1" x14ac:dyDescent="0.25">
      <c r="A822" s="56"/>
      <c r="B822" s="61"/>
      <c r="C822" s="61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155"/>
    </row>
    <row r="823" spans="1:16" s="28" customFormat="1" x14ac:dyDescent="0.25">
      <c r="A823" s="56"/>
      <c r="B823" s="61"/>
      <c r="C823" s="61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155"/>
    </row>
    <row r="824" spans="1:16" s="28" customFormat="1" x14ac:dyDescent="0.25">
      <c r="A824" s="56"/>
      <c r="B824" s="61"/>
      <c r="C824" s="61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155"/>
    </row>
    <row r="825" spans="1:16" s="28" customFormat="1" x14ac:dyDescent="0.25">
      <c r="A825" s="56"/>
      <c r="B825" s="61"/>
      <c r="C825" s="61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155"/>
    </row>
    <row r="826" spans="1:16" s="28" customFormat="1" x14ac:dyDescent="0.25">
      <c r="A826" s="56"/>
      <c r="B826" s="61"/>
      <c r="C826" s="61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155"/>
    </row>
    <row r="827" spans="1:16" s="28" customFormat="1" x14ac:dyDescent="0.25">
      <c r="A827" s="56"/>
      <c r="B827" s="61"/>
      <c r="C827" s="61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155"/>
    </row>
    <row r="828" spans="1:16" s="28" customFormat="1" x14ac:dyDescent="0.25">
      <c r="A828" s="56"/>
      <c r="B828" s="61"/>
      <c r="C828" s="61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155"/>
    </row>
    <row r="829" spans="1:16" s="28" customFormat="1" x14ac:dyDescent="0.25">
      <c r="A829" s="56"/>
      <c r="B829" s="61"/>
      <c r="C829" s="61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155"/>
    </row>
    <row r="830" spans="1:16" s="28" customFormat="1" x14ac:dyDescent="0.25">
      <c r="A830" s="56"/>
      <c r="B830" s="61"/>
      <c r="C830" s="61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155"/>
    </row>
    <row r="831" spans="1:16" s="28" customFormat="1" x14ac:dyDescent="0.25">
      <c r="A831" s="56"/>
      <c r="B831" s="61"/>
      <c r="C831" s="61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155"/>
    </row>
    <row r="832" spans="1:16" s="28" customFormat="1" x14ac:dyDescent="0.25">
      <c r="A832" s="56"/>
      <c r="B832" s="61"/>
      <c r="C832" s="61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155"/>
    </row>
    <row r="833" spans="1:16" s="28" customFormat="1" x14ac:dyDescent="0.25">
      <c r="A833" s="56"/>
      <c r="B833" s="61"/>
      <c r="C833" s="61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155"/>
    </row>
    <row r="834" spans="1:16" s="28" customFormat="1" x14ac:dyDescent="0.25">
      <c r="A834" s="56"/>
      <c r="B834" s="61"/>
      <c r="C834" s="61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155"/>
    </row>
    <row r="835" spans="1:16" s="28" customFormat="1" x14ac:dyDescent="0.25">
      <c r="A835" s="56"/>
      <c r="B835" s="61"/>
      <c r="C835" s="61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155"/>
    </row>
    <row r="836" spans="1:16" s="28" customFormat="1" x14ac:dyDescent="0.25">
      <c r="A836" s="56"/>
      <c r="B836" s="61"/>
      <c r="C836" s="61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155"/>
    </row>
    <row r="837" spans="1:16" s="28" customFormat="1" x14ac:dyDescent="0.25">
      <c r="A837" s="56"/>
      <c r="B837" s="61"/>
      <c r="C837" s="61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155"/>
    </row>
    <row r="838" spans="1:16" s="28" customFormat="1" x14ac:dyDescent="0.25">
      <c r="A838" s="56"/>
      <c r="B838" s="61"/>
      <c r="C838" s="61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155"/>
    </row>
    <row r="839" spans="1:16" s="28" customFormat="1" x14ac:dyDescent="0.25">
      <c r="A839" s="56"/>
      <c r="B839" s="61"/>
      <c r="C839" s="61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155"/>
    </row>
    <row r="840" spans="1:16" s="28" customFormat="1" x14ac:dyDescent="0.25">
      <c r="A840" s="56"/>
      <c r="B840" s="61"/>
      <c r="C840" s="61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155"/>
    </row>
    <row r="841" spans="1:16" s="28" customFormat="1" x14ac:dyDescent="0.25">
      <c r="A841" s="56"/>
      <c r="B841" s="61"/>
      <c r="C841" s="61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155"/>
    </row>
    <row r="842" spans="1:16" s="28" customFormat="1" x14ac:dyDescent="0.25">
      <c r="A842" s="56"/>
      <c r="B842" s="61"/>
      <c r="C842" s="61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155"/>
    </row>
    <row r="843" spans="1:16" s="28" customFormat="1" x14ac:dyDescent="0.25">
      <c r="A843" s="56"/>
      <c r="B843" s="61"/>
      <c r="C843" s="61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155"/>
    </row>
    <row r="844" spans="1:16" s="28" customFormat="1" x14ac:dyDescent="0.25">
      <c r="A844" s="56"/>
      <c r="B844" s="61"/>
      <c r="C844" s="61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155"/>
    </row>
    <row r="845" spans="1:16" s="28" customFormat="1" x14ac:dyDescent="0.25">
      <c r="A845" s="56"/>
      <c r="B845" s="61"/>
      <c r="C845" s="61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155"/>
    </row>
    <row r="846" spans="1:16" s="28" customFormat="1" x14ac:dyDescent="0.25">
      <c r="A846" s="56"/>
      <c r="B846" s="61"/>
      <c r="C846" s="61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155"/>
    </row>
    <row r="847" spans="1:16" s="28" customFormat="1" x14ac:dyDescent="0.25">
      <c r="A847" s="56"/>
      <c r="B847" s="61"/>
      <c r="C847" s="61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155"/>
    </row>
    <row r="848" spans="1:16" s="28" customFormat="1" x14ac:dyDescent="0.25">
      <c r="A848" s="56"/>
      <c r="B848" s="61"/>
      <c r="C848" s="61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155"/>
    </row>
    <row r="849" spans="1:16" s="28" customFormat="1" x14ac:dyDescent="0.25">
      <c r="A849" s="56"/>
      <c r="B849" s="61"/>
      <c r="C849" s="61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155"/>
    </row>
    <row r="850" spans="1:16" s="28" customFormat="1" x14ac:dyDescent="0.25">
      <c r="A850" s="56"/>
      <c r="B850" s="61"/>
      <c r="C850" s="61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155"/>
    </row>
    <row r="851" spans="1:16" s="28" customFormat="1" x14ac:dyDescent="0.25">
      <c r="A851" s="56"/>
      <c r="B851" s="61"/>
      <c r="C851" s="61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155"/>
    </row>
    <row r="852" spans="1:16" s="28" customFormat="1" x14ac:dyDescent="0.25">
      <c r="A852" s="56"/>
      <c r="B852" s="61"/>
      <c r="C852" s="61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155"/>
    </row>
    <row r="853" spans="1:16" s="28" customFormat="1" x14ac:dyDescent="0.25">
      <c r="A853" s="56"/>
      <c r="B853" s="61"/>
      <c r="C853" s="61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155"/>
    </row>
    <row r="854" spans="1:16" s="28" customFormat="1" x14ac:dyDescent="0.25">
      <c r="A854" s="56"/>
      <c r="B854" s="61"/>
      <c r="C854" s="61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155"/>
    </row>
    <row r="855" spans="1:16" s="28" customFormat="1" x14ac:dyDescent="0.25">
      <c r="A855" s="56"/>
      <c r="B855" s="61"/>
      <c r="C855" s="61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155"/>
    </row>
    <row r="856" spans="1:16" s="28" customFormat="1" x14ac:dyDescent="0.25">
      <c r="A856" s="56"/>
      <c r="B856" s="61"/>
      <c r="C856" s="61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155"/>
    </row>
    <row r="857" spans="1:16" s="28" customFormat="1" x14ac:dyDescent="0.25">
      <c r="A857" s="56"/>
      <c r="B857" s="61"/>
      <c r="C857" s="61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155"/>
    </row>
    <row r="858" spans="1:16" s="28" customFormat="1" x14ac:dyDescent="0.25">
      <c r="A858" s="56"/>
      <c r="B858" s="61"/>
      <c r="C858" s="61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155"/>
    </row>
    <row r="859" spans="1:16" s="28" customFormat="1" x14ac:dyDescent="0.25">
      <c r="A859" s="56"/>
      <c r="B859" s="61"/>
      <c r="C859" s="61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155"/>
    </row>
    <row r="860" spans="1:16" s="28" customFormat="1" x14ac:dyDescent="0.25">
      <c r="A860" s="56"/>
      <c r="B860" s="61"/>
      <c r="C860" s="61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155"/>
    </row>
    <row r="861" spans="1:16" s="28" customFormat="1" x14ac:dyDescent="0.25">
      <c r="A861" s="56"/>
      <c r="B861" s="61"/>
      <c r="C861" s="61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155"/>
    </row>
    <row r="862" spans="1:16" s="28" customFormat="1" x14ac:dyDescent="0.25">
      <c r="A862" s="56"/>
      <c r="B862" s="61"/>
      <c r="C862" s="61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155"/>
    </row>
    <row r="863" spans="1:16" s="28" customFormat="1" x14ac:dyDescent="0.25">
      <c r="A863" s="56"/>
      <c r="B863" s="61"/>
      <c r="C863" s="61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155"/>
    </row>
    <row r="864" spans="1:16" s="28" customFormat="1" x14ac:dyDescent="0.25">
      <c r="A864" s="56"/>
      <c r="B864" s="61"/>
      <c r="C864" s="61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155"/>
    </row>
    <row r="865" spans="1:16" s="28" customFormat="1" x14ac:dyDescent="0.25">
      <c r="A865" s="56"/>
      <c r="B865" s="61"/>
      <c r="C865" s="61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155"/>
    </row>
    <row r="866" spans="1:16" s="28" customFormat="1" x14ac:dyDescent="0.25">
      <c r="A866" s="56"/>
      <c r="B866" s="61"/>
      <c r="C866" s="61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155"/>
    </row>
    <row r="867" spans="1:16" s="28" customFormat="1" x14ac:dyDescent="0.25">
      <c r="A867" s="56"/>
      <c r="B867" s="61"/>
      <c r="C867" s="61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155"/>
    </row>
    <row r="868" spans="1:16" s="28" customFormat="1" x14ac:dyDescent="0.25">
      <c r="A868" s="56"/>
      <c r="B868" s="61"/>
      <c r="C868" s="61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155"/>
    </row>
    <row r="869" spans="1:16" s="28" customFormat="1" x14ac:dyDescent="0.25">
      <c r="A869" s="56"/>
      <c r="B869" s="61"/>
      <c r="C869" s="61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155"/>
    </row>
    <row r="870" spans="1:16" s="28" customFormat="1" x14ac:dyDescent="0.25">
      <c r="A870" s="56"/>
      <c r="B870" s="61"/>
      <c r="C870" s="61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155"/>
    </row>
    <row r="871" spans="1:16" s="28" customFormat="1" x14ac:dyDescent="0.25">
      <c r="A871" s="56"/>
      <c r="B871" s="61"/>
      <c r="C871" s="61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155"/>
    </row>
    <row r="872" spans="1:16" s="28" customFormat="1" x14ac:dyDescent="0.25">
      <c r="A872" s="56"/>
      <c r="B872" s="61"/>
      <c r="C872" s="61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155"/>
    </row>
    <row r="873" spans="1:16" s="28" customFormat="1" x14ac:dyDescent="0.25">
      <c r="A873" s="56"/>
      <c r="B873" s="61"/>
      <c r="C873" s="61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155"/>
    </row>
    <row r="874" spans="1:16" s="28" customFormat="1" x14ac:dyDescent="0.25">
      <c r="A874" s="56"/>
      <c r="B874" s="61"/>
      <c r="C874" s="61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155"/>
    </row>
    <row r="875" spans="1:16" s="28" customFormat="1" x14ac:dyDescent="0.25">
      <c r="A875" s="56"/>
      <c r="B875" s="61"/>
      <c r="C875" s="61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155"/>
    </row>
    <row r="876" spans="1:16" s="28" customFormat="1" x14ac:dyDescent="0.25">
      <c r="A876" s="56"/>
      <c r="B876" s="61"/>
      <c r="C876" s="61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155"/>
    </row>
    <row r="877" spans="1:16" s="28" customFormat="1" x14ac:dyDescent="0.25">
      <c r="A877" s="56"/>
      <c r="B877" s="61"/>
      <c r="C877" s="61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155"/>
    </row>
    <row r="878" spans="1:16" s="28" customFormat="1" x14ac:dyDescent="0.25">
      <c r="A878" s="56"/>
      <c r="B878" s="61"/>
      <c r="C878" s="61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155"/>
    </row>
    <row r="879" spans="1:16" s="28" customFormat="1" x14ac:dyDescent="0.25">
      <c r="A879" s="56"/>
      <c r="B879" s="61"/>
      <c r="C879" s="61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155"/>
    </row>
    <row r="880" spans="1:16" s="28" customFormat="1" x14ac:dyDescent="0.25">
      <c r="A880" s="56"/>
      <c r="B880" s="61"/>
      <c r="C880" s="61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155"/>
    </row>
    <row r="881" spans="1:16" s="28" customFormat="1" x14ac:dyDescent="0.25">
      <c r="A881" s="56"/>
      <c r="B881" s="61"/>
      <c r="C881" s="61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155"/>
    </row>
    <row r="882" spans="1:16" s="28" customFormat="1" x14ac:dyDescent="0.25">
      <c r="A882" s="56"/>
      <c r="B882" s="61"/>
      <c r="C882" s="61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155"/>
    </row>
    <row r="883" spans="1:16" s="28" customFormat="1" x14ac:dyDescent="0.25">
      <c r="A883" s="56"/>
      <c r="B883" s="61"/>
      <c r="C883" s="61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155"/>
    </row>
    <row r="884" spans="1:16" s="28" customFormat="1" x14ac:dyDescent="0.25">
      <c r="A884" s="56"/>
      <c r="B884" s="61"/>
      <c r="C884" s="61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155"/>
    </row>
    <row r="885" spans="1:16" s="28" customFormat="1" x14ac:dyDescent="0.25">
      <c r="A885" s="56"/>
      <c r="B885" s="61"/>
      <c r="C885" s="61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155"/>
    </row>
    <row r="886" spans="1:16" s="28" customFormat="1" x14ac:dyDescent="0.25">
      <c r="A886" s="56"/>
      <c r="B886" s="61"/>
      <c r="C886" s="61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155"/>
    </row>
    <row r="887" spans="1:16" s="28" customFormat="1" x14ac:dyDescent="0.25">
      <c r="A887" s="56"/>
      <c r="B887" s="61"/>
      <c r="C887" s="61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155"/>
    </row>
    <row r="888" spans="1:16" s="28" customFormat="1" x14ac:dyDescent="0.25">
      <c r="A888" s="56"/>
      <c r="B888" s="61"/>
      <c r="C888" s="61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155"/>
    </row>
    <row r="889" spans="1:16" s="28" customFormat="1" x14ac:dyDescent="0.25">
      <c r="A889" s="56"/>
      <c r="B889" s="61"/>
      <c r="C889" s="61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155"/>
    </row>
    <row r="890" spans="1:16" s="28" customFormat="1" x14ac:dyDescent="0.25">
      <c r="A890" s="56"/>
      <c r="B890" s="61"/>
      <c r="C890" s="61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155"/>
    </row>
    <row r="891" spans="1:16" s="28" customFormat="1" x14ac:dyDescent="0.25">
      <c r="A891" s="56"/>
      <c r="B891" s="61"/>
      <c r="C891" s="61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155"/>
    </row>
    <row r="892" spans="1:16" s="28" customFormat="1" x14ac:dyDescent="0.25">
      <c r="A892" s="56"/>
      <c r="B892" s="61"/>
      <c r="C892" s="61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155"/>
    </row>
    <row r="893" spans="1:16" s="28" customFormat="1" x14ac:dyDescent="0.25">
      <c r="A893" s="56"/>
      <c r="B893" s="61"/>
      <c r="C893" s="61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155"/>
    </row>
    <row r="894" spans="1:16" s="28" customFormat="1" x14ac:dyDescent="0.25">
      <c r="A894" s="56"/>
      <c r="B894" s="61"/>
      <c r="C894" s="61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155"/>
    </row>
    <row r="895" spans="1:16" s="28" customFormat="1" x14ac:dyDescent="0.25">
      <c r="A895" s="56"/>
      <c r="B895" s="61"/>
      <c r="C895" s="61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155"/>
    </row>
    <row r="896" spans="1:16" s="28" customFormat="1" x14ac:dyDescent="0.25">
      <c r="A896" s="56"/>
      <c r="B896" s="61"/>
      <c r="C896" s="61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155"/>
    </row>
    <row r="897" spans="1:16" s="28" customFormat="1" x14ac:dyDescent="0.25">
      <c r="A897" s="56"/>
      <c r="B897" s="61"/>
      <c r="C897" s="61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155"/>
    </row>
    <row r="898" spans="1:16" s="28" customFormat="1" x14ac:dyDescent="0.25">
      <c r="A898" s="56"/>
      <c r="B898" s="61"/>
      <c r="C898" s="61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155"/>
    </row>
    <row r="899" spans="1:16" s="28" customFormat="1" x14ac:dyDescent="0.25">
      <c r="A899" s="56"/>
      <c r="B899" s="61"/>
      <c r="C899" s="61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155"/>
    </row>
    <row r="900" spans="1:16" s="28" customFormat="1" x14ac:dyDescent="0.25">
      <c r="A900" s="56"/>
      <c r="B900" s="61"/>
      <c r="C900" s="61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155"/>
    </row>
    <row r="901" spans="1:16" s="28" customFormat="1" x14ac:dyDescent="0.25">
      <c r="A901" s="56"/>
      <c r="B901" s="61"/>
      <c r="C901" s="61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155"/>
    </row>
    <row r="902" spans="1:16" s="28" customFormat="1" x14ac:dyDescent="0.25">
      <c r="A902" s="56"/>
      <c r="B902" s="61"/>
      <c r="C902" s="61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155"/>
    </row>
    <row r="903" spans="1:16" s="28" customFormat="1" x14ac:dyDescent="0.25">
      <c r="A903" s="56"/>
      <c r="B903" s="61"/>
      <c r="C903" s="61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155"/>
    </row>
    <row r="904" spans="1:16" s="28" customFormat="1" x14ac:dyDescent="0.25">
      <c r="A904" s="56"/>
      <c r="B904" s="61"/>
      <c r="C904" s="61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155"/>
    </row>
    <row r="905" spans="1:16" s="28" customFormat="1" x14ac:dyDescent="0.25">
      <c r="A905" s="56"/>
      <c r="B905" s="61"/>
      <c r="C905" s="61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155"/>
    </row>
    <row r="906" spans="1:16" s="28" customFormat="1" x14ac:dyDescent="0.25">
      <c r="A906" s="56"/>
      <c r="B906" s="61"/>
      <c r="C906" s="61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155"/>
    </row>
    <row r="907" spans="1:16" s="28" customFormat="1" x14ac:dyDescent="0.25">
      <c r="A907" s="56"/>
      <c r="B907" s="61"/>
      <c r="C907" s="61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155"/>
    </row>
    <row r="908" spans="1:16" s="28" customFormat="1" x14ac:dyDescent="0.25">
      <c r="A908" s="56"/>
      <c r="B908" s="61"/>
      <c r="C908" s="61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155"/>
    </row>
    <row r="909" spans="1:16" s="28" customFormat="1" x14ac:dyDescent="0.25">
      <c r="A909" s="56"/>
      <c r="B909" s="61"/>
      <c r="C909" s="61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155"/>
    </row>
    <row r="910" spans="1:16" s="28" customFormat="1" x14ac:dyDescent="0.25">
      <c r="A910" s="56"/>
      <c r="B910" s="61"/>
      <c r="C910" s="61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155"/>
    </row>
    <row r="911" spans="1:16" s="28" customFormat="1" x14ac:dyDescent="0.25">
      <c r="A911" s="56"/>
      <c r="B911" s="61"/>
      <c r="C911" s="61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155"/>
    </row>
    <row r="912" spans="1:16" s="28" customFormat="1" x14ac:dyDescent="0.25">
      <c r="A912" s="56"/>
      <c r="B912" s="61"/>
      <c r="C912" s="61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155"/>
    </row>
    <row r="913" spans="1:16" s="28" customFormat="1" x14ac:dyDescent="0.25">
      <c r="A913" s="56"/>
      <c r="B913" s="61"/>
      <c r="C913" s="61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155"/>
    </row>
    <row r="914" spans="1:16" s="28" customFormat="1" x14ac:dyDescent="0.25">
      <c r="A914" s="56"/>
      <c r="B914" s="61"/>
      <c r="C914" s="61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155"/>
    </row>
    <row r="915" spans="1:16" s="28" customFormat="1" x14ac:dyDescent="0.25">
      <c r="A915" s="56"/>
      <c r="B915" s="61"/>
      <c r="C915" s="61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155"/>
    </row>
    <row r="916" spans="1:16" s="28" customFormat="1" x14ac:dyDescent="0.25">
      <c r="A916" s="56"/>
      <c r="B916" s="61"/>
      <c r="C916" s="61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155"/>
    </row>
    <row r="917" spans="1:16" s="28" customFormat="1" x14ac:dyDescent="0.25">
      <c r="A917" s="56"/>
      <c r="B917" s="61"/>
      <c r="C917" s="61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155"/>
    </row>
    <row r="918" spans="1:16" s="28" customFormat="1" x14ac:dyDescent="0.25">
      <c r="A918" s="56"/>
      <c r="B918" s="61"/>
      <c r="C918" s="61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155"/>
    </row>
    <row r="919" spans="1:16" s="28" customFormat="1" x14ac:dyDescent="0.25">
      <c r="A919" s="56"/>
      <c r="B919" s="61"/>
      <c r="C919" s="61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155"/>
    </row>
    <row r="920" spans="1:16" s="28" customFormat="1" x14ac:dyDescent="0.25">
      <c r="A920" s="56"/>
      <c r="B920" s="61"/>
      <c r="C920" s="61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155"/>
    </row>
    <row r="921" spans="1:16" s="28" customFormat="1" x14ac:dyDescent="0.25">
      <c r="A921" s="56"/>
      <c r="B921" s="61"/>
      <c r="C921" s="61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155"/>
    </row>
    <row r="922" spans="1:16" s="28" customFormat="1" x14ac:dyDescent="0.25">
      <c r="A922" s="56"/>
      <c r="B922" s="61"/>
      <c r="C922" s="61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155"/>
    </row>
    <row r="923" spans="1:16" s="28" customFormat="1" x14ac:dyDescent="0.25">
      <c r="A923" s="56"/>
      <c r="B923" s="61"/>
      <c r="C923" s="61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155"/>
    </row>
    <row r="924" spans="1:16" s="28" customFormat="1" x14ac:dyDescent="0.25">
      <c r="A924" s="56"/>
      <c r="B924" s="61"/>
      <c r="C924" s="61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155"/>
    </row>
    <row r="925" spans="1:16" s="28" customFormat="1" x14ac:dyDescent="0.25">
      <c r="A925" s="56"/>
      <c r="B925" s="61"/>
      <c r="C925" s="61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155"/>
    </row>
    <row r="926" spans="1:16" s="28" customFormat="1" x14ac:dyDescent="0.25">
      <c r="A926" s="56"/>
      <c r="B926" s="61"/>
      <c r="C926" s="61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155"/>
    </row>
    <row r="927" spans="1:16" s="28" customFormat="1" x14ac:dyDescent="0.25">
      <c r="A927" s="56"/>
      <c r="B927" s="61"/>
      <c r="C927" s="61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155"/>
    </row>
    <row r="928" spans="1:16" s="28" customFormat="1" x14ac:dyDescent="0.25">
      <c r="A928" s="56"/>
      <c r="B928" s="61"/>
      <c r="C928" s="61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155"/>
    </row>
    <row r="929" spans="1:16" s="28" customFormat="1" x14ac:dyDescent="0.25">
      <c r="A929" s="56"/>
      <c r="B929" s="61"/>
      <c r="C929" s="61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155"/>
    </row>
    <row r="930" spans="1:16" s="28" customFormat="1" x14ac:dyDescent="0.25">
      <c r="A930" s="56"/>
      <c r="B930" s="61"/>
      <c r="C930" s="61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155"/>
    </row>
    <row r="931" spans="1:16" s="28" customFormat="1" x14ac:dyDescent="0.25">
      <c r="A931" s="56"/>
      <c r="B931" s="61"/>
      <c r="C931" s="61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155"/>
    </row>
    <row r="932" spans="1:16" s="28" customFormat="1" x14ac:dyDescent="0.25">
      <c r="A932" s="56"/>
      <c r="B932" s="61"/>
      <c r="C932" s="61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155"/>
    </row>
    <row r="933" spans="1:16" s="28" customFormat="1" x14ac:dyDescent="0.25">
      <c r="A933" s="56"/>
      <c r="B933" s="61"/>
      <c r="C933" s="61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155"/>
    </row>
    <row r="934" spans="1:16" s="28" customFormat="1" x14ac:dyDescent="0.25">
      <c r="A934" s="56"/>
      <c r="B934" s="61"/>
      <c r="C934" s="61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155"/>
    </row>
    <row r="935" spans="1:16" s="28" customFormat="1" x14ac:dyDescent="0.25">
      <c r="A935" s="56"/>
      <c r="B935" s="61"/>
      <c r="C935" s="61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155"/>
    </row>
    <row r="936" spans="1:16" s="28" customFormat="1" x14ac:dyDescent="0.25">
      <c r="A936" s="56"/>
      <c r="B936" s="61"/>
      <c r="C936" s="61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155"/>
    </row>
    <row r="937" spans="1:16" s="28" customFormat="1" x14ac:dyDescent="0.25">
      <c r="A937" s="56"/>
      <c r="B937" s="61"/>
      <c r="C937" s="61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155"/>
    </row>
    <row r="938" spans="1:16" s="28" customFormat="1" x14ac:dyDescent="0.25">
      <c r="A938" s="56"/>
      <c r="B938" s="61"/>
      <c r="C938" s="61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155"/>
    </row>
    <row r="939" spans="1:16" s="28" customFormat="1" x14ac:dyDescent="0.25">
      <c r="A939" s="56"/>
      <c r="B939" s="61"/>
      <c r="C939" s="61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155"/>
    </row>
    <row r="940" spans="1:16" s="28" customFormat="1" x14ac:dyDescent="0.25">
      <c r="A940" s="56"/>
      <c r="B940" s="61"/>
      <c r="C940" s="61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155"/>
    </row>
    <row r="941" spans="1:16" s="28" customFormat="1" x14ac:dyDescent="0.25">
      <c r="A941" s="56"/>
      <c r="B941" s="61"/>
      <c r="C941" s="61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155"/>
    </row>
    <row r="942" spans="1:16" s="28" customFormat="1" x14ac:dyDescent="0.25">
      <c r="A942" s="56"/>
      <c r="B942" s="61"/>
      <c r="C942" s="61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155"/>
    </row>
    <row r="943" spans="1:16" s="28" customFormat="1" x14ac:dyDescent="0.25">
      <c r="A943" s="56"/>
      <c r="B943" s="61"/>
      <c r="C943" s="61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155"/>
    </row>
    <row r="944" spans="1:16" s="28" customFormat="1" x14ac:dyDescent="0.25">
      <c r="A944" s="56"/>
      <c r="B944" s="61"/>
      <c r="C944" s="61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155"/>
    </row>
    <row r="945" spans="1:16" s="28" customFormat="1" x14ac:dyDescent="0.25">
      <c r="A945" s="56"/>
      <c r="B945" s="61"/>
      <c r="C945" s="61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155"/>
    </row>
    <row r="946" spans="1:16" s="28" customFormat="1" x14ac:dyDescent="0.25">
      <c r="A946" s="56"/>
      <c r="B946" s="61"/>
      <c r="C946" s="61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155"/>
    </row>
    <row r="947" spans="1:16" s="28" customFormat="1" x14ac:dyDescent="0.25">
      <c r="A947" s="56"/>
      <c r="B947" s="61"/>
      <c r="C947" s="61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155"/>
    </row>
    <row r="948" spans="1:16" s="28" customFormat="1" x14ac:dyDescent="0.25">
      <c r="A948" s="56"/>
      <c r="B948" s="61"/>
      <c r="C948" s="61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155"/>
    </row>
    <row r="949" spans="1:16" s="28" customFormat="1" x14ac:dyDescent="0.25">
      <c r="A949" s="56"/>
      <c r="B949" s="61"/>
      <c r="C949" s="61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155"/>
    </row>
    <row r="950" spans="1:16" s="28" customFormat="1" x14ac:dyDescent="0.25">
      <c r="A950" s="56"/>
      <c r="B950" s="61"/>
      <c r="C950" s="61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155"/>
    </row>
    <row r="951" spans="1:16" s="28" customFormat="1" x14ac:dyDescent="0.25">
      <c r="A951" s="56"/>
      <c r="B951" s="61"/>
      <c r="C951" s="61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155"/>
    </row>
    <row r="952" spans="1:16" s="28" customFormat="1" x14ac:dyDescent="0.25">
      <c r="A952" s="56"/>
      <c r="B952" s="61"/>
      <c r="C952" s="61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155"/>
    </row>
    <row r="953" spans="1:16" s="28" customFormat="1" x14ac:dyDescent="0.25">
      <c r="A953" s="56"/>
      <c r="B953" s="61"/>
      <c r="C953" s="61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155"/>
    </row>
    <row r="954" spans="1:16" s="28" customFormat="1" x14ac:dyDescent="0.25">
      <c r="A954" s="56"/>
      <c r="B954" s="61"/>
      <c r="C954" s="61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155"/>
    </row>
    <row r="955" spans="1:16" s="28" customFormat="1" x14ac:dyDescent="0.25">
      <c r="A955" s="56"/>
      <c r="B955" s="61"/>
      <c r="C955" s="61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155"/>
    </row>
    <row r="956" spans="1:16" s="28" customFormat="1" x14ac:dyDescent="0.25">
      <c r="A956" s="56"/>
      <c r="B956" s="61"/>
      <c r="C956" s="61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155"/>
    </row>
    <row r="957" spans="1:16" s="28" customFormat="1" x14ac:dyDescent="0.25">
      <c r="A957" s="56"/>
      <c r="B957" s="61"/>
      <c r="C957" s="61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155"/>
    </row>
    <row r="958" spans="1:16" s="28" customFormat="1" x14ac:dyDescent="0.25">
      <c r="A958" s="56"/>
      <c r="B958" s="61"/>
      <c r="C958" s="61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155"/>
    </row>
    <row r="959" spans="1:16" s="28" customFormat="1" x14ac:dyDescent="0.25">
      <c r="A959" s="56"/>
      <c r="B959" s="61"/>
      <c r="C959" s="61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155"/>
    </row>
    <row r="960" spans="1:16" s="28" customFormat="1" x14ac:dyDescent="0.25">
      <c r="A960" s="56"/>
      <c r="B960" s="61"/>
      <c r="C960" s="61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155"/>
    </row>
    <row r="961" spans="1:16" s="28" customFormat="1" x14ac:dyDescent="0.25">
      <c r="A961" s="56"/>
      <c r="B961" s="61"/>
      <c r="C961" s="61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155"/>
    </row>
    <row r="962" spans="1:16" s="28" customFormat="1" x14ac:dyDescent="0.25">
      <c r="A962" s="56"/>
      <c r="B962" s="61"/>
      <c r="C962" s="61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155"/>
    </row>
    <row r="963" spans="1:16" s="28" customFormat="1" x14ac:dyDescent="0.25">
      <c r="A963" s="56"/>
      <c r="B963" s="61"/>
      <c r="C963" s="61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155"/>
    </row>
    <row r="964" spans="1:16" s="28" customFormat="1" x14ac:dyDescent="0.25">
      <c r="A964" s="56"/>
      <c r="B964" s="61"/>
      <c r="C964" s="61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155"/>
    </row>
    <row r="965" spans="1:16" s="28" customFormat="1" x14ac:dyDescent="0.25">
      <c r="A965" s="56"/>
      <c r="B965" s="61"/>
      <c r="C965" s="61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155"/>
    </row>
    <row r="966" spans="1:16" s="28" customFormat="1" x14ac:dyDescent="0.25">
      <c r="A966" s="56"/>
      <c r="B966" s="61"/>
      <c r="C966" s="61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155"/>
    </row>
    <row r="967" spans="1:16" s="28" customFormat="1" x14ac:dyDescent="0.25">
      <c r="A967" s="56"/>
      <c r="B967" s="61"/>
      <c r="C967" s="61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155"/>
    </row>
    <row r="968" spans="1:16" s="28" customFormat="1" x14ac:dyDescent="0.25">
      <c r="A968" s="56"/>
      <c r="B968" s="61"/>
      <c r="C968" s="61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155"/>
    </row>
    <row r="969" spans="1:16" s="28" customFormat="1" x14ac:dyDescent="0.25">
      <c r="A969" s="56"/>
      <c r="B969" s="61"/>
      <c r="C969" s="61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155"/>
    </row>
    <row r="970" spans="1:16" s="28" customFormat="1" x14ac:dyDescent="0.25">
      <c r="A970" s="56"/>
      <c r="B970" s="61"/>
      <c r="C970" s="61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155"/>
    </row>
    <row r="971" spans="1:16" s="28" customFormat="1" x14ac:dyDescent="0.25">
      <c r="A971" s="56"/>
      <c r="B971" s="61"/>
      <c r="C971" s="61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155"/>
    </row>
    <row r="972" spans="1:16" s="28" customFormat="1" x14ac:dyDescent="0.25">
      <c r="A972" s="56"/>
      <c r="B972" s="61"/>
      <c r="C972" s="61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155"/>
    </row>
    <row r="973" spans="1:16" s="28" customFormat="1" x14ac:dyDescent="0.25">
      <c r="A973" s="56"/>
      <c r="B973" s="61"/>
      <c r="C973" s="61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155"/>
    </row>
    <row r="974" spans="1:16" s="28" customFormat="1" x14ac:dyDescent="0.25">
      <c r="A974" s="56"/>
      <c r="B974" s="61"/>
      <c r="C974" s="61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155"/>
    </row>
    <row r="975" spans="1:16" s="28" customFormat="1" x14ac:dyDescent="0.25">
      <c r="A975" s="56"/>
      <c r="B975" s="61"/>
      <c r="C975" s="61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155"/>
    </row>
    <row r="976" spans="1:16" s="28" customFormat="1" x14ac:dyDescent="0.25">
      <c r="A976" s="56"/>
      <c r="B976" s="61"/>
      <c r="C976" s="61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155"/>
    </row>
    <row r="977" spans="1:16" s="28" customFormat="1" x14ac:dyDescent="0.25">
      <c r="A977" s="56"/>
      <c r="B977" s="61"/>
      <c r="C977" s="61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155"/>
    </row>
    <row r="978" spans="1:16" s="28" customFormat="1" x14ac:dyDescent="0.25">
      <c r="A978" s="56"/>
      <c r="B978" s="61"/>
      <c r="C978" s="61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155"/>
    </row>
    <row r="979" spans="1:16" s="28" customFormat="1" x14ac:dyDescent="0.25">
      <c r="A979" s="56"/>
      <c r="B979" s="61"/>
      <c r="C979" s="61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155"/>
    </row>
    <row r="980" spans="1:16" s="28" customFormat="1" x14ac:dyDescent="0.25">
      <c r="A980" s="56"/>
      <c r="B980" s="61"/>
      <c r="C980" s="61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155"/>
    </row>
    <row r="981" spans="1:16" s="28" customFormat="1" x14ac:dyDescent="0.25">
      <c r="A981" s="56"/>
      <c r="B981" s="61"/>
      <c r="C981" s="61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155"/>
    </row>
    <row r="982" spans="1:16" s="28" customFormat="1" x14ac:dyDescent="0.25">
      <c r="A982" s="56"/>
      <c r="B982" s="61"/>
      <c r="C982" s="61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155"/>
    </row>
    <row r="983" spans="1:16" s="28" customFormat="1" x14ac:dyDescent="0.25">
      <c r="A983" s="56"/>
      <c r="B983" s="61"/>
      <c r="C983" s="61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155"/>
    </row>
    <row r="984" spans="1:16" s="28" customFormat="1" x14ac:dyDescent="0.25">
      <c r="A984" s="56"/>
      <c r="B984" s="61"/>
      <c r="C984" s="61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155"/>
    </row>
    <row r="985" spans="1:16" s="28" customFormat="1" x14ac:dyDescent="0.25">
      <c r="A985" s="56"/>
      <c r="B985" s="61"/>
      <c r="C985" s="61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155"/>
    </row>
    <row r="986" spans="1:16" s="28" customFormat="1" x14ac:dyDescent="0.25">
      <c r="A986" s="56"/>
      <c r="B986" s="61"/>
      <c r="C986" s="61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155"/>
    </row>
    <row r="987" spans="1:16" s="28" customFormat="1" x14ac:dyDescent="0.25">
      <c r="A987" s="56"/>
      <c r="B987" s="61"/>
      <c r="C987" s="61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155"/>
    </row>
    <row r="988" spans="1:16" s="28" customFormat="1" x14ac:dyDescent="0.25">
      <c r="A988" s="56"/>
      <c r="B988" s="61"/>
      <c r="C988" s="61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155"/>
    </row>
    <row r="989" spans="1:16" s="28" customFormat="1" x14ac:dyDescent="0.25">
      <c r="A989" s="56"/>
      <c r="B989" s="61"/>
      <c r="C989" s="61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155"/>
    </row>
    <row r="990" spans="1:16" s="28" customFormat="1" x14ac:dyDescent="0.25">
      <c r="A990" s="56"/>
      <c r="B990" s="61"/>
      <c r="C990" s="61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155"/>
    </row>
    <row r="991" spans="1:16" s="28" customFormat="1" x14ac:dyDescent="0.25">
      <c r="A991" s="56"/>
      <c r="B991" s="61"/>
      <c r="C991" s="61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155"/>
    </row>
    <row r="992" spans="1:16" s="28" customFormat="1" x14ac:dyDescent="0.25">
      <c r="A992" s="56"/>
      <c r="B992" s="61"/>
      <c r="C992" s="61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155"/>
    </row>
    <row r="993" spans="1:16" s="28" customFormat="1" x14ac:dyDescent="0.25">
      <c r="A993" s="56"/>
      <c r="B993" s="61"/>
      <c r="C993" s="61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155"/>
    </row>
    <row r="994" spans="1:16" s="28" customFormat="1" x14ac:dyDescent="0.25">
      <c r="A994" s="56"/>
      <c r="B994" s="61"/>
      <c r="C994" s="61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155"/>
    </row>
    <row r="995" spans="1:16" s="28" customFormat="1" x14ac:dyDescent="0.25">
      <c r="A995" s="56"/>
      <c r="B995" s="61"/>
      <c r="C995" s="61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155"/>
    </row>
    <row r="996" spans="1:16" s="28" customFormat="1" x14ac:dyDescent="0.25">
      <c r="A996" s="56"/>
      <c r="B996" s="61"/>
      <c r="C996" s="61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155"/>
    </row>
    <row r="997" spans="1:16" s="28" customFormat="1" x14ac:dyDescent="0.25">
      <c r="A997" s="56"/>
      <c r="B997" s="61"/>
      <c r="C997" s="61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155"/>
    </row>
    <row r="998" spans="1:16" s="28" customFormat="1" x14ac:dyDescent="0.25">
      <c r="A998" s="56"/>
      <c r="B998" s="61"/>
      <c r="C998" s="61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155"/>
    </row>
    <row r="999" spans="1:16" s="28" customFormat="1" x14ac:dyDescent="0.25">
      <c r="A999" s="56"/>
      <c r="B999" s="61"/>
      <c r="C999" s="61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155"/>
    </row>
    <row r="1000" spans="1:16" s="28" customFormat="1" x14ac:dyDescent="0.25">
      <c r="A1000" s="56"/>
      <c r="B1000" s="61"/>
      <c r="C1000" s="61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155"/>
    </row>
    <row r="1001" spans="1:16" s="28" customFormat="1" x14ac:dyDescent="0.25">
      <c r="A1001" s="56"/>
      <c r="B1001" s="61"/>
      <c r="C1001" s="61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155"/>
    </row>
    <row r="1002" spans="1:16" s="28" customFormat="1" x14ac:dyDescent="0.25">
      <c r="A1002" s="56"/>
      <c r="B1002" s="61"/>
      <c r="C1002" s="61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155"/>
    </row>
    <row r="1003" spans="1:16" s="28" customFormat="1" x14ac:dyDescent="0.25">
      <c r="A1003" s="56"/>
      <c r="B1003" s="61"/>
      <c r="C1003" s="61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155"/>
    </row>
    <row r="1004" spans="1:16" s="28" customFormat="1" x14ac:dyDescent="0.25">
      <c r="A1004" s="56"/>
      <c r="B1004" s="61"/>
      <c r="C1004" s="61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155"/>
    </row>
    <row r="1005" spans="1:16" s="28" customFormat="1" x14ac:dyDescent="0.25">
      <c r="A1005" s="56"/>
      <c r="B1005" s="61"/>
      <c r="C1005" s="61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155"/>
    </row>
    <row r="1006" spans="1:16" s="28" customFormat="1" x14ac:dyDescent="0.25">
      <c r="A1006" s="56"/>
      <c r="B1006" s="61"/>
      <c r="C1006" s="61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155"/>
    </row>
    <row r="1007" spans="1:16" s="28" customFormat="1" x14ac:dyDescent="0.25">
      <c r="A1007" s="56"/>
      <c r="B1007" s="61"/>
      <c r="C1007" s="61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155"/>
    </row>
    <row r="1008" spans="1:16" s="28" customFormat="1" x14ac:dyDescent="0.25">
      <c r="A1008" s="56"/>
      <c r="B1008" s="61"/>
      <c r="C1008" s="61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155"/>
    </row>
    <row r="1009" spans="1:16" s="28" customFormat="1" x14ac:dyDescent="0.25">
      <c r="A1009" s="56"/>
      <c r="B1009" s="61"/>
      <c r="C1009" s="61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155"/>
    </row>
    <row r="1010" spans="1:16" s="28" customFormat="1" x14ac:dyDescent="0.25">
      <c r="A1010" s="56"/>
      <c r="B1010" s="61"/>
      <c r="C1010" s="61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155"/>
    </row>
    <row r="1011" spans="1:16" s="28" customFormat="1" x14ac:dyDescent="0.25">
      <c r="A1011" s="56"/>
      <c r="B1011" s="61"/>
      <c r="C1011" s="61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155"/>
    </row>
    <row r="1012" spans="1:16" s="28" customFormat="1" x14ac:dyDescent="0.25">
      <c r="A1012" s="56"/>
      <c r="B1012" s="61"/>
      <c r="C1012" s="61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155"/>
    </row>
    <row r="1013" spans="1:16" s="28" customFormat="1" x14ac:dyDescent="0.25">
      <c r="A1013" s="56"/>
      <c r="B1013" s="61"/>
      <c r="C1013" s="61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155"/>
    </row>
    <row r="1014" spans="1:16" s="28" customFormat="1" x14ac:dyDescent="0.25">
      <c r="A1014" s="56"/>
      <c r="B1014" s="61"/>
      <c r="C1014" s="61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155"/>
    </row>
    <row r="1015" spans="1:16" s="28" customFormat="1" x14ac:dyDescent="0.25">
      <c r="A1015" s="56"/>
      <c r="B1015" s="61"/>
      <c r="C1015" s="61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155"/>
    </row>
    <row r="1016" spans="1:16" s="28" customFormat="1" x14ac:dyDescent="0.25">
      <c r="A1016" s="56"/>
      <c r="B1016" s="61"/>
      <c r="C1016" s="61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155"/>
    </row>
    <row r="1017" spans="1:16" s="28" customFormat="1" x14ac:dyDescent="0.25">
      <c r="A1017" s="56"/>
      <c r="B1017" s="61"/>
      <c r="C1017" s="61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155"/>
    </row>
    <row r="1018" spans="1:16" s="28" customFormat="1" x14ac:dyDescent="0.25">
      <c r="A1018" s="56"/>
      <c r="B1018" s="61"/>
      <c r="C1018" s="61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155"/>
    </row>
    <row r="1019" spans="1:16" s="28" customFormat="1" x14ac:dyDescent="0.25">
      <c r="A1019" s="56"/>
      <c r="B1019" s="61"/>
      <c r="C1019" s="61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155"/>
    </row>
    <row r="1020" spans="1:16" s="28" customFormat="1" x14ac:dyDescent="0.25">
      <c r="A1020" s="56"/>
      <c r="B1020" s="61"/>
      <c r="C1020" s="61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155"/>
    </row>
    <row r="1021" spans="1:16" s="28" customFormat="1" x14ac:dyDescent="0.25">
      <c r="A1021" s="56"/>
      <c r="B1021" s="61"/>
      <c r="C1021" s="61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155"/>
    </row>
    <row r="1022" spans="1:16" s="28" customFormat="1" x14ac:dyDescent="0.25">
      <c r="A1022" s="56"/>
      <c r="B1022" s="61"/>
      <c r="C1022" s="61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155"/>
    </row>
    <row r="1023" spans="1:16" s="28" customFormat="1" x14ac:dyDescent="0.25">
      <c r="A1023" s="56"/>
      <c r="B1023" s="61"/>
      <c r="C1023" s="61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155"/>
    </row>
    <row r="1024" spans="1:16" s="28" customFormat="1" x14ac:dyDescent="0.25">
      <c r="A1024" s="56"/>
      <c r="B1024" s="61"/>
      <c r="C1024" s="61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155"/>
    </row>
    <row r="1025" spans="1:16" s="28" customFormat="1" x14ac:dyDescent="0.25">
      <c r="A1025" s="56"/>
      <c r="B1025" s="61"/>
      <c r="C1025" s="61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155"/>
    </row>
    <row r="1026" spans="1:16" s="28" customFormat="1" x14ac:dyDescent="0.25">
      <c r="A1026" s="56"/>
      <c r="B1026" s="61"/>
      <c r="C1026" s="61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155"/>
    </row>
    <row r="1027" spans="1:16" s="28" customFormat="1" x14ac:dyDescent="0.25">
      <c r="A1027" s="56"/>
      <c r="B1027" s="61"/>
      <c r="C1027" s="61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155"/>
    </row>
    <row r="1028" spans="1:16" s="28" customFormat="1" x14ac:dyDescent="0.25">
      <c r="A1028" s="56"/>
      <c r="B1028" s="61"/>
      <c r="C1028" s="61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155"/>
    </row>
    <row r="1029" spans="1:16" s="28" customFormat="1" x14ac:dyDescent="0.25">
      <c r="A1029" s="56"/>
      <c r="B1029" s="61"/>
      <c r="C1029" s="61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155"/>
    </row>
    <row r="1030" spans="1:16" s="28" customFormat="1" x14ac:dyDescent="0.25">
      <c r="A1030" s="56"/>
      <c r="B1030" s="61"/>
      <c r="C1030" s="61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155"/>
    </row>
    <row r="1031" spans="1:16" s="28" customFormat="1" x14ac:dyDescent="0.25">
      <c r="A1031" s="56"/>
      <c r="B1031" s="61"/>
      <c r="C1031" s="61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155"/>
    </row>
    <row r="1032" spans="1:16" s="28" customFormat="1" x14ac:dyDescent="0.25">
      <c r="A1032" s="56"/>
      <c r="B1032" s="61"/>
      <c r="C1032" s="61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155"/>
    </row>
    <row r="1033" spans="1:16" s="28" customFormat="1" x14ac:dyDescent="0.25">
      <c r="A1033" s="56"/>
      <c r="B1033" s="61"/>
      <c r="C1033" s="61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155"/>
    </row>
    <row r="1034" spans="1:16" s="28" customFormat="1" x14ac:dyDescent="0.25">
      <c r="A1034" s="56"/>
      <c r="B1034" s="61"/>
      <c r="C1034" s="61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155"/>
    </row>
    <row r="1035" spans="1:16" s="28" customFormat="1" x14ac:dyDescent="0.25">
      <c r="A1035" s="56"/>
      <c r="B1035" s="61"/>
      <c r="C1035" s="61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155"/>
    </row>
    <row r="1036" spans="1:16" s="28" customFormat="1" x14ac:dyDescent="0.25">
      <c r="A1036" s="56"/>
      <c r="B1036" s="61"/>
      <c r="C1036" s="61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155"/>
    </row>
    <row r="1037" spans="1:16" s="28" customFormat="1" x14ac:dyDescent="0.25">
      <c r="A1037" s="56"/>
      <c r="B1037" s="61"/>
      <c r="C1037" s="61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155"/>
    </row>
    <row r="1038" spans="1:16" s="28" customFormat="1" x14ac:dyDescent="0.25">
      <c r="A1038" s="56"/>
      <c r="B1038" s="61"/>
      <c r="C1038" s="61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155"/>
    </row>
    <row r="1039" spans="1:16" s="28" customFormat="1" x14ac:dyDescent="0.25">
      <c r="A1039" s="56"/>
      <c r="B1039" s="61"/>
      <c r="C1039" s="61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155"/>
    </row>
    <row r="1040" spans="1:16" s="28" customFormat="1" x14ac:dyDescent="0.25">
      <c r="A1040" s="56"/>
      <c r="B1040" s="61"/>
      <c r="C1040" s="61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155"/>
    </row>
    <row r="1041" spans="1:16" s="28" customFormat="1" x14ac:dyDescent="0.25">
      <c r="A1041" s="56"/>
      <c r="B1041" s="61"/>
      <c r="C1041" s="61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155"/>
    </row>
    <row r="1042" spans="1:16" s="28" customFormat="1" x14ac:dyDescent="0.25">
      <c r="A1042" s="56"/>
      <c r="B1042" s="61"/>
      <c r="C1042" s="61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155"/>
    </row>
    <row r="1043" spans="1:16" s="28" customFormat="1" x14ac:dyDescent="0.25">
      <c r="A1043" s="56"/>
      <c r="B1043" s="61"/>
      <c r="C1043" s="61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155"/>
    </row>
    <row r="1044" spans="1:16" s="28" customFormat="1" x14ac:dyDescent="0.25">
      <c r="A1044" s="56"/>
      <c r="B1044" s="61"/>
      <c r="C1044" s="61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155"/>
    </row>
    <row r="1045" spans="1:16" s="28" customFormat="1" x14ac:dyDescent="0.25">
      <c r="A1045" s="56"/>
      <c r="B1045" s="61"/>
      <c r="C1045" s="61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155"/>
    </row>
    <row r="1046" spans="1:16" s="28" customFormat="1" x14ac:dyDescent="0.25">
      <c r="A1046" s="56"/>
      <c r="B1046" s="61"/>
      <c r="C1046" s="61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155"/>
    </row>
    <row r="1047" spans="1:16" s="28" customFormat="1" x14ac:dyDescent="0.25">
      <c r="A1047" s="56"/>
      <c r="B1047" s="61"/>
      <c r="C1047" s="61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155"/>
    </row>
    <row r="1048" spans="1:16" s="28" customFormat="1" x14ac:dyDescent="0.25">
      <c r="A1048" s="56"/>
      <c r="B1048" s="61"/>
      <c r="C1048" s="61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155"/>
    </row>
    <row r="1049" spans="1:16" s="28" customFormat="1" x14ac:dyDescent="0.25">
      <c r="A1049" s="56"/>
      <c r="B1049" s="61"/>
      <c r="C1049" s="61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155"/>
    </row>
    <row r="1050" spans="1:16" s="28" customFormat="1" x14ac:dyDescent="0.25">
      <c r="A1050" s="56"/>
      <c r="B1050" s="61"/>
      <c r="C1050" s="61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155"/>
    </row>
    <row r="1051" spans="1:16" s="28" customFormat="1" x14ac:dyDescent="0.25">
      <c r="A1051" s="56"/>
      <c r="B1051" s="61"/>
      <c r="C1051" s="61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155"/>
    </row>
    <row r="1052" spans="1:16" s="28" customFormat="1" x14ac:dyDescent="0.25">
      <c r="A1052" s="56"/>
      <c r="B1052" s="61"/>
      <c r="C1052" s="61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155"/>
    </row>
    <row r="1053" spans="1:16" s="28" customFormat="1" x14ac:dyDescent="0.25">
      <c r="A1053" s="56"/>
      <c r="B1053" s="61"/>
      <c r="C1053" s="61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155"/>
    </row>
    <row r="1054" spans="1:16" s="28" customFormat="1" x14ac:dyDescent="0.25">
      <c r="A1054" s="56"/>
      <c r="B1054" s="61"/>
      <c r="C1054" s="61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155"/>
    </row>
    <row r="1055" spans="1:16" s="28" customFormat="1" x14ac:dyDescent="0.25">
      <c r="A1055" s="56"/>
      <c r="B1055" s="61"/>
      <c r="C1055" s="61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155"/>
    </row>
    <row r="1056" spans="1:16" s="28" customFormat="1" x14ac:dyDescent="0.25">
      <c r="A1056" s="56"/>
      <c r="B1056" s="61"/>
      <c r="C1056" s="61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155"/>
    </row>
    <row r="1057" spans="1:16" s="28" customFormat="1" x14ac:dyDescent="0.25">
      <c r="A1057" s="56"/>
      <c r="B1057" s="61"/>
      <c r="C1057" s="61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155"/>
    </row>
    <row r="1058" spans="1:16" s="28" customFormat="1" x14ac:dyDescent="0.25">
      <c r="A1058" s="56"/>
      <c r="B1058" s="61"/>
      <c r="C1058" s="61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155"/>
    </row>
    <row r="1059" spans="1:16" s="28" customFormat="1" x14ac:dyDescent="0.25">
      <c r="A1059" s="56"/>
      <c r="B1059" s="61"/>
      <c r="C1059" s="61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155"/>
    </row>
    <row r="1060" spans="1:16" s="28" customFormat="1" x14ac:dyDescent="0.25">
      <c r="A1060" s="56"/>
      <c r="B1060" s="61"/>
      <c r="C1060" s="61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155"/>
    </row>
    <row r="1061" spans="1:16" s="28" customFormat="1" x14ac:dyDescent="0.25">
      <c r="A1061" s="56"/>
      <c r="B1061" s="61"/>
      <c r="C1061" s="61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155"/>
    </row>
    <row r="1062" spans="1:16" s="28" customFormat="1" x14ac:dyDescent="0.25">
      <c r="A1062" s="56"/>
      <c r="B1062" s="61"/>
      <c r="C1062" s="61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155"/>
    </row>
    <row r="1063" spans="1:16" s="28" customFormat="1" x14ac:dyDescent="0.25">
      <c r="A1063" s="56"/>
      <c r="B1063" s="61"/>
      <c r="C1063" s="61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155"/>
    </row>
    <row r="1064" spans="1:16" s="28" customFormat="1" x14ac:dyDescent="0.25">
      <c r="A1064" s="56"/>
      <c r="B1064" s="61"/>
      <c r="C1064" s="61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155"/>
    </row>
    <row r="1065" spans="1:16" s="28" customFormat="1" x14ac:dyDescent="0.25">
      <c r="A1065" s="56"/>
      <c r="B1065" s="61"/>
      <c r="C1065" s="61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155"/>
    </row>
    <row r="1066" spans="1:16" s="28" customFormat="1" x14ac:dyDescent="0.25">
      <c r="A1066" s="56"/>
      <c r="B1066" s="61"/>
      <c r="C1066" s="61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155"/>
    </row>
    <row r="1067" spans="1:16" s="28" customFormat="1" x14ac:dyDescent="0.25">
      <c r="A1067" s="56"/>
      <c r="B1067" s="61"/>
      <c r="C1067" s="61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155"/>
    </row>
    <row r="1068" spans="1:16" s="28" customFormat="1" x14ac:dyDescent="0.25">
      <c r="A1068" s="56"/>
      <c r="B1068" s="61"/>
      <c r="C1068" s="61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155"/>
    </row>
    <row r="1069" spans="1:16" s="28" customFormat="1" x14ac:dyDescent="0.25">
      <c r="A1069" s="56"/>
      <c r="B1069" s="61"/>
      <c r="C1069" s="61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155"/>
    </row>
    <row r="1070" spans="1:16" s="28" customFormat="1" x14ac:dyDescent="0.25">
      <c r="A1070" s="56"/>
      <c r="B1070" s="61"/>
      <c r="C1070" s="61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155"/>
    </row>
    <row r="1071" spans="1:16" s="28" customFormat="1" x14ac:dyDescent="0.25">
      <c r="A1071" s="56"/>
      <c r="B1071" s="61"/>
      <c r="C1071" s="61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155"/>
    </row>
    <row r="1072" spans="1:16" s="28" customFormat="1" x14ac:dyDescent="0.25">
      <c r="A1072" s="56"/>
      <c r="B1072" s="61"/>
      <c r="C1072" s="61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155"/>
    </row>
    <row r="1073" spans="1:16" s="28" customFormat="1" x14ac:dyDescent="0.25">
      <c r="A1073" s="56"/>
      <c r="B1073" s="61"/>
      <c r="C1073" s="61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155"/>
    </row>
    <row r="1074" spans="1:16" s="28" customFormat="1" x14ac:dyDescent="0.25">
      <c r="A1074" s="56"/>
      <c r="B1074" s="61"/>
      <c r="C1074" s="61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155"/>
    </row>
    <row r="1075" spans="1:16" s="28" customFormat="1" x14ac:dyDescent="0.25">
      <c r="A1075" s="56"/>
      <c r="B1075" s="61"/>
      <c r="C1075" s="61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155"/>
    </row>
    <row r="1076" spans="1:16" s="28" customFormat="1" x14ac:dyDescent="0.25">
      <c r="A1076" s="56"/>
      <c r="B1076" s="61"/>
      <c r="C1076" s="61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155"/>
    </row>
    <row r="1077" spans="1:16" s="28" customFormat="1" x14ac:dyDescent="0.25">
      <c r="A1077" s="56"/>
      <c r="B1077" s="61"/>
      <c r="C1077" s="61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155"/>
    </row>
    <row r="1078" spans="1:16" s="28" customFormat="1" x14ac:dyDescent="0.25">
      <c r="A1078" s="56"/>
      <c r="B1078" s="61"/>
      <c r="C1078" s="61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155"/>
    </row>
    <row r="1079" spans="1:16" s="28" customFormat="1" x14ac:dyDescent="0.25">
      <c r="A1079" s="56"/>
      <c r="B1079" s="61"/>
      <c r="C1079" s="61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155"/>
    </row>
    <row r="1080" spans="1:16" s="28" customFormat="1" x14ac:dyDescent="0.25">
      <c r="A1080" s="56"/>
      <c r="B1080" s="61"/>
      <c r="C1080" s="61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155"/>
    </row>
    <row r="1081" spans="1:16" s="28" customFormat="1" x14ac:dyDescent="0.25">
      <c r="A1081" s="56"/>
      <c r="B1081" s="61"/>
      <c r="C1081" s="61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155"/>
    </row>
    <row r="1082" spans="1:16" s="28" customFormat="1" x14ac:dyDescent="0.25">
      <c r="A1082" s="56"/>
      <c r="B1082" s="61"/>
      <c r="C1082" s="61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155"/>
    </row>
    <row r="1083" spans="1:16" s="28" customFormat="1" x14ac:dyDescent="0.25">
      <c r="A1083" s="56"/>
      <c r="B1083" s="61"/>
      <c r="C1083" s="61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155"/>
    </row>
    <row r="1084" spans="1:16" s="28" customFormat="1" x14ac:dyDescent="0.25">
      <c r="A1084" s="56"/>
      <c r="B1084" s="61"/>
      <c r="C1084" s="61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155"/>
    </row>
    <row r="1085" spans="1:16" s="28" customFormat="1" x14ac:dyDescent="0.25">
      <c r="A1085" s="56"/>
      <c r="B1085" s="61"/>
      <c r="C1085" s="61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155"/>
    </row>
    <row r="1086" spans="1:16" s="28" customFormat="1" x14ac:dyDescent="0.25">
      <c r="A1086" s="56"/>
      <c r="B1086" s="61"/>
      <c r="C1086" s="61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155"/>
    </row>
    <row r="1087" spans="1:16" s="28" customFormat="1" x14ac:dyDescent="0.25">
      <c r="A1087" s="56"/>
      <c r="B1087" s="61"/>
      <c r="C1087" s="61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155"/>
    </row>
    <row r="1088" spans="1:16" s="28" customFormat="1" x14ac:dyDescent="0.25">
      <c r="A1088" s="56"/>
      <c r="B1088" s="61"/>
      <c r="C1088" s="61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155"/>
    </row>
    <row r="1089" spans="1:16" s="28" customFormat="1" x14ac:dyDescent="0.25">
      <c r="A1089" s="56"/>
      <c r="B1089" s="61"/>
      <c r="C1089" s="61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155"/>
    </row>
    <row r="1090" spans="1:16" s="28" customFormat="1" x14ac:dyDescent="0.25">
      <c r="A1090" s="56"/>
      <c r="B1090" s="61"/>
      <c r="C1090" s="61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155"/>
    </row>
    <row r="1091" spans="1:16" s="28" customFormat="1" x14ac:dyDescent="0.25">
      <c r="A1091" s="56"/>
      <c r="B1091" s="61"/>
      <c r="C1091" s="61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155"/>
    </row>
    <row r="1092" spans="1:16" s="28" customFormat="1" x14ac:dyDescent="0.25">
      <c r="A1092" s="56"/>
      <c r="B1092" s="61"/>
      <c r="C1092" s="61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155"/>
    </row>
    <row r="1093" spans="1:16" s="28" customFormat="1" x14ac:dyDescent="0.25">
      <c r="A1093" s="56"/>
      <c r="B1093" s="61"/>
      <c r="C1093" s="61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155"/>
    </row>
    <row r="1094" spans="1:16" s="28" customFormat="1" x14ac:dyDescent="0.25">
      <c r="A1094" s="56"/>
      <c r="B1094" s="61"/>
      <c r="C1094" s="61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155"/>
    </row>
    <row r="1095" spans="1:16" s="28" customFormat="1" x14ac:dyDescent="0.25">
      <c r="A1095" s="56"/>
      <c r="B1095" s="61"/>
      <c r="C1095" s="61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155"/>
    </row>
    <row r="1096" spans="1:16" s="28" customFormat="1" x14ac:dyDescent="0.25">
      <c r="A1096" s="56"/>
      <c r="B1096" s="61"/>
      <c r="C1096" s="61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155"/>
    </row>
    <row r="1097" spans="1:16" s="28" customFormat="1" x14ac:dyDescent="0.25">
      <c r="A1097" s="56"/>
      <c r="B1097" s="61"/>
      <c r="C1097" s="61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155"/>
    </row>
    <row r="1098" spans="1:16" s="28" customFormat="1" x14ac:dyDescent="0.25">
      <c r="A1098" s="56"/>
      <c r="B1098" s="61"/>
      <c r="C1098" s="61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155"/>
    </row>
    <row r="1099" spans="1:16" s="28" customFormat="1" x14ac:dyDescent="0.25">
      <c r="A1099" s="56"/>
      <c r="B1099" s="61"/>
      <c r="C1099" s="61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155"/>
    </row>
    <row r="1100" spans="1:16" s="28" customFormat="1" x14ac:dyDescent="0.25">
      <c r="A1100" s="56"/>
      <c r="B1100" s="61"/>
      <c r="C1100" s="61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155"/>
    </row>
    <row r="1101" spans="1:16" s="28" customFormat="1" x14ac:dyDescent="0.25">
      <c r="A1101" s="56"/>
      <c r="B1101" s="61"/>
      <c r="C1101" s="61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155"/>
    </row>
    <row r="1102" spans="1:16" s="28" customFormat="1" x14ac:dyDescent="0.25">
      <c r="A1102" s="56"/>
      <c r="B1102" s="61"/>
      <c r="C1102" s="61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155"/>
    </row>
    <row r="1103" spans="1:16" s="28" customFormat="1" x14ac:dyDescent="0.25">
      <c r="A1103" s="56"/>
      <c r="B1103" s="61"/>
      <c r="C1103" s="61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155"/>
    </row>
    <row r="1104" spans="1:16" s="28" customFormat="1" x14ac:dyDescent="0.25">
      <c r="A1104" s="56"/>
      <c r="B1104" s="61"/>
      <c r="C1104" s="61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155"/>
    </row>
    <row r="1105" spans="1:16" s="28" customFormat="1" x14ac:dyDescent="0.25">
      <c r="A1105" s="56"/>
      <c r="B1105" s="61"/>
      <c r="C1105" s="61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155"/>
    </row>
    <row r="1106" spans="1:16" s="28" customFormat="1" x14ac:dyDescent="0.25">
      <c r="A1106" s="56"/>
      <c r="B1106" s="61"/>
      <c r="C1106" s="61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155"/>
    </row>
    <row r="1107" spans="1:16" s="28" customFormat="1" x14ac:dyDescent="0.25">
      <c r="A1107" s="56"/>
      <c r="B1107" s="61"/>
      <c r="C1107" s="61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155"/>
    </row>
    <row r="1108" spans="1:16" s="28" customFormat="1" x14ac:dyDescent="0.25">
      <c r="A1108" s="56"/>
      <c r="B1108" s="61"/>
      <c r="C1108" s="61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155"/>
    </row>
    <row r="1109" spans="1:16" s="28" customFormat="1" x14ac:dyDescent="0.25">
      <c r="A1109" s="56"/>
      <c r="B1109" s="61"/>
      <c r="C1109" s="61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155"/>
    </row>
    <row r="1110" spans="1:16" s="28" customFormat="1" x14ac:dyDescent="0.25">
      <c r="A1110" s="56"/>
      <c r="B1110" s="61"/>
      <c r="C1110" s="61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155"/>
    </row>
    <row r="1111" spans="1:16" s="28" customFormat="1" x14ac:dyDescent="0.25">
      <c r="A1111" s="56"/>
      <c r="B1111" s="61"/>
      <c r="C1111" s="61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155"/>
    </row>
    <row r="1112" spans="1:16" s="28" customFormat="1" x14ac:dyDescent="0.25">
      <c r="A1112" s="56"/>
      <c r="B1112" s="61"/>
      <c r="C1112" s="61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155"/>
    </row>
    <row r="1113" spans="1:16" s="28" customFormat="1" x14ac:dyDescent="0.25">
      <c r="A1113" s="56"/>
      <c r="B1113" s="61"/>
      <c r="C1113" s="61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155"/>
    </row>
    <row r="1114" spans="1:16" s="28" customFormat="1" x14ac:dyDescent="0.25">
      <c r="A1114" s="56"/>
      <c r="B1114" s="61"/>
      <c r="C1114" s="61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155"/>
    </row>
    <row r="1115" spans="1:16" s="28" customFormat="1" x14ac:dyDescent="0.25">
      <c r="A1115" s="56"/>
      <c r="B1115" s="61"/>
      <c r="C1115" s="61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155"/>
    </row>
    <row r="1116" spans="1:16" s="28" customFormat="1" x14ac:dyDescent="0.25">
      <c r="A1116" s="56"/>
      <c r="B1116" s="61"/>
      <c r="C1116" s="61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155"/>
    </row>
    <row r="1117" spans="1:16" s="28" customFormat="1" x14ac:dyDescent="0.25">
      <c r="A1117" s="56"/>
      <c r="B1117" s="61"/>
      <c r="C1117" s="61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155"/>
    </row>
    <row r="1118" spans="1:16" s="28" customFormat="1" x14ac:dyDescent="0.25">
      <c r="A1118" s="56"/>
      <c r="B1118" s="61"/>
      <c r="C1118" s="61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155"/>
    </row>
    <row r="1119" spans="1:16" s="28" customFormat="1" x14ac:dyDescent="0.25">
      <c r="A1119" s="56"/>
      <c r="B1119" s="61"/>
      <c r="C1119" s="61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155"/>
    </row>
    <row r="1120" spans="1:16" s="28" customFormat="1" x14ac:dyDescent="0.25">
      <c r="A1120" s="56"/>
      <c r="B1120" s="61"/>
      <c r="C1120" s="61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155"/>
    </row>
    <row r="1121" spans="1:16" s="28" customFormat="1" x14ac:dyDescent="0.25">
      <c r="A1121" s="56"/>
      <c r="B1121" s="61"/>
      <c r="C1121" s="61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155"/>
    </row>
    <row r="1122" spans="1:16" s="28" customFormat="1" x14ac:dyDescent="0.25">
      <c r="A1122" s="56"/>
      <c r="B1122" s="61"/>
      <c r="C1122" s="61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155"/>
    </row>
    <row r="1123" spans="1:16" s="28" customFormat="1" x14ac:dyDescent="0.25">
      <c r="A1123" s="56"/>
      <c r="B1123" s="61"/>
      <c r="C1123" s="61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155"/>
    </row>
    <row r="1124" spans="1:16" s="28" customFormat="1" x14ac:dyDescent="0.25">
      <c r="A1124" s="56"/>
      <c r="B1124" s="61"/>
      <c r="C1124" s="61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155"/>
    </row>
    <row r="1125" spans="1:16" s="28" customFormat="1" x14ac:dyDescent="0.25">
      <c r="A1125" s="56"/>
      <c r="B1125" s="61"/>
      <c r="C1125" s="61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155"/>
    </row>
    <row r="1126" spans="1:16" s="28" customFormat="1" x14ac:dyDescent="0.25">
      <c r="A1126" s="56"/>
      <c r="B1126" s="61"/>
      <c r="C1126" s="61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155"/>
    </row>
    <row r="1127" spans="1:16" s="28" customFormat="1" x14ac:dyDescent="0.25">
      <c r="A1127" s="56"/>
      <c r="B1127" s="61"/>
      <c r="C1127" s="61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155"/>
    </row>
    <row r="1128" spans="1:16" s="28" customFormat="1" x14ac:dyDescent="0.25">
      <c r="A1128" s="56"/>
      <c r="B1128" s="61"/>
      <c r="C1128" s="61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155"/>
    </row>
    <row r="1129" spans="1:16" s="28" customFormat="1" x14ac:dyDescent="0.25">
      <c r="A1129" s="56"/>
      <c r="B1129" s="61"/>
      <c r="C1129" s="61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155"/>
    </row>
    <row r="1130" spans="1:16" s="28" customFormat="1" x14ac:dyDescent="0.25">
      <c r="A1130" s="56"/>
      <c r="B1130" s="61"/>
      <c r="C1130" s="61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155"/>
    </row>
    <row r="1131" spans="1:16" s="28" customFormat="1" x14ac:dyDescent="0.25">
      <c r="A1131" s="56"/>
      <c r="B1131" s="61"/>
      <c r="C1131" s="61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155"/>
    </row>
    <row r="1132" spans="1:16" s="28" customFormat="1" x14ac:dyDescent="0.25">
      <c r="A1132" s="56"/>
      <c r="B1132" s="61"/>
      <c r="C1132" s="61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155"/>
    </row>
    <row r="1133" spans="1:16" s="28" customFormat="1" x14ac:dyDescent="0.25">
      <c r="A1133" s="56"/>
      <c r="B1133" s="61"/>
      <c r="C1133" s="61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155"/>
    </row>
    <row r="1134" spans="1:16" s="28" customFormat="1" x14ac:dyDescent="0.25">
      <c r="A1134" s="56"/>
      <c r="B1134" s="61"/>
      <c r="C1134" s="61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155"/>
    </row>
    <row r="1135" spans="1:16" s="28" customFormat="1" x14ac:dyDescent="0.25">
      <c r="A1135" s="56"/>
      <c r="B1135" s="61"/>
      <c r="C1135" s="61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155"/>
    </row>
    <row r="1136" spans="1:16" s="28" customFormat="1" x14ac:dyDescent="0.25">
      <c r="A1136" s="56"/>
      <c r="B1136" s="61"/>
      <c r="C1136" s="61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155"/>
    </row>
    <row r="1137" spans="1:16" s="28" customFormat="1" x14ac:dyDescent="0.25">
      <c r="A1137" s="56"/>
      <c r="B1137" s="61"/>
      <c r="C1137" s="61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155"/>
    </row>
    <row r="1138" spans="1:16" s="28" customFormat="1" x14ac:dyDescent="0.25">
      <c r="A1138" s="56"/>
      <c r="B1138" s="61"/>
      <c r="C1138" s="61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155"/>
    </row>
    <row r="1139" spans="1:16" s="28" customFormat="1" x14ac:dyDescent="0.25">
      <c r="A1139" s="56"/>
      <c r="B1139" s="61"/>
      <c r="C1139" s="61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155"/>
    </row>
    <row r="1140" spans="1:16" s="28" customFormat="1" x14ac:dyDescent="0.25">
      <c r="A1140" s="56"/>
      <c r="B1140" s="61"/>
      <c r="C1140" s="61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155"/>
    </row>
    <row r="1141" spans="1:16" s="28" customFormat="1" x14ac:dyDescent="0.25">
      <c r="A1141" s="56"/>
      <c r="B1141" s="61"/>
      <c r="C1141" s="61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155"/>
    </row>
    <row r="1142" spans="1:16" s="28" customFormat="1" x14ac:dyDescent="0.25">
      <c r="A1142" s="56"/>
      <c r="B1142" s="61"/>
      <c r="C1142" s="61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155"/>
    </row>
    <row r="1143" spans="1:16" s="28" customFormat="1" x14ac:dyDescent="0.25">
      <c r="A1143" s="56"/>
      <c r="B1143" s="61"/>
      <c r="C1143" s="61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155"/>
    </row>
    <row r="1144" spans="1:16" s="28" customFormat="1" x14ac:dyDescent="0.25">
      <c r="A1144" s="56"/>
      <c r="B1144" s="61"/>
      <c r="C1144" s="61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155"/>
    </row>
    <row r="1145" spans="1:16" s="28" customFormat="1" x14ac:dyDescent="0.25">
      <c r="A1145" s="56"/>
      <c r="B1145" s="61"/>
      <c r="C1145" s="61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155"/>
    </row>
    <row r="1146" spans="1:16" s="28" customFormat="1" x14ac:dyDescent="0.25">
      <c r="A1146" s="56"/>
      <c r="B1146" s="61"/>
      <c r="C1146" s="61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155"/>
    </row>
    <row r="1147" spans="1:16" s="28" customFormat="1" x14ac:dyDescent="0.25">
      <c r="A1147" s="56"/>
      <c r="B1147" s="61"/>
      <c r="C1147" s="61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155"/>
    </row>
    <row r="1148" spans="1:16" s="28" customFormat="1" x14ac:dyDescent="0.25">
      <c r="A1148" s="56"/>
      <c r="B1148" s="61"/>
      <c r="C1148" s="61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155"/>
    </row>
    <row r="1149" spans="1:16" s="28" customFormat="1" x14ac:dyDescent="0.25">
      <c r="A1149" s="56"/>
      <c r="B1149" s="61"/>
      <c r="C1149" s="61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155"/>
    </row>
    <row r="1150" spans="1:16" s="28" customFormat="1" x14ac:dyDescent="0.25">
      <c r="A1150" s="56"/>
      <c r="B1150" s="61"/>
      <c r="C1150" s="61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155"/>
    </row>
    <row r="1151" spans="1:16" s="28" customFormat="1" x14ac:dyDescent="0.25">
      <c r="A1151" s="56"/>
      <c r="B1151" s="61"/>
      <c r="C1151" s="61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155"/>
    </row>
    <row r="1152" spans="1:16" s="28" customFormat="1" x14ac:dyDescent="0.25">
      <c r="A1152" s="56"/>
      <c r="B1152" s="61"/>
      <c r="C1152" s="61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155"/>
    </row>
    <row r="1153" spans="1:16" s="28" customFormat="1" x14ac:dyDescent="0.25">
      <c r="A1153" s="56"/>
      <c r="B1153" s="61"/>
      <c r="C1153" s="61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155"/>
    </row>
    <row r="1154" spans="1:16" s="28" customFormat="1" x14ac:dyDescent="0.25">
      <c r="A1154" s="56"/>
      <c r="B1154" s="61"/>
      <c r="C1154" s="61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155"/>
    </row>
    <row r="1155" spans="1:16" s="28" customFormat="1" x14ac:dyDescent="0.25">
      <c r="A1155" s="56"/>
      <c r="B1155" s="61"/>
      <c r="C1155" s="61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155"/>
    </row>
    <row r="1156" spans="1:16" s="28" customFormat="1" x14ac:dyDescent="0.25">
      <c r="A1156" s="56"/>
      <c r="B1156" s="61"/>
      <c r="C1156" s="61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155"/>
    </row>
    <row r="1157" spans="1:16" s="28" customFormat="1" x14ac:dyDescent="0.25">
      <c r="A1157" s="56"/>
      <c r="B1157" s="61"/>
      <c r="C1157" s="61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155"/>
    </row>
    <row r="1158" spans="1:16" s="28" customFormat="1" x14ac:dyDescent="0.25">
      <c r="A1158" s="56"/>
      <c r="B1158" s="61"/>
      <c r="C1158" s="61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155"/>
    </row>
    <row r="1159" spans="1:16" s="28" customFormat="1" x14ac:dyDescent="0.25">
      <c r="A1159" s="56"/>
      <c r="B1159" s="61"/>
      <c r="C1159" s="61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155"/>
    </row>
    <row r="1160" spans="1:16" s="28" customFormat="1" x14ac:dyDescent="0.25">
      <c r="A1160" s="56"/>
      <c r="B1160" s="61"/>
      <c r="C1160" s="61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155"/>
    </row>
    <row r="1161" spans="1:16" s="28" customFormat="1" x14ac:dyDescent="0.25">
      <c r="A1161" s="56"/>
      <c r="B1161" s="61"/>
      <c r="C1161" s="61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155"/>
    </row>
    <row r="1162" spans="1:16" s="28" customFormat="1" x14ac:dyDescent="0.25">
      <c r="A1162" s="56"/>
      <c r="B1162" s="61"/>
      <c r="C1162" s="61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155"/>
    </row>
    <row r="1163" spans="1:16" s="28" customFormat="1" x14ac:dyDescent="0.25">
      <c r="A1163" s="56"/>
      <c r="B1163" s="61"/>
      <c r="C1163" s="61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155"/>
    </row>
    <row r="1164" spans="1:16" s="28" customFormat="1" x14ac:dyDescent="0.25">
      <c r="A1164" s="56"/>
      <c r="B1164" s="61"/>
      <c r="C1164" s="61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155"/>
    </row>
    <row r="1165" spans="1:16" s="28" customFormat="1" x14ac:dyDescent="0.25">
      <c r="A1165" s="56"/>
      <c r="B1165" s="61"/>
      <c r="C1165" s="61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155"/>
    </row>
    <row r="1166" spans="1:16" s="28" customFormat="1" x14ac:dyDescent="0.25">
      <c r="A1166" s="56"/>
      <c r="B1166" s="61"/>
      <c r="C1166" s="61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155"/>
    </row>
    <row r="1167" spans="1:16" s="28" customFormat="1" x14ac:dyDescent="0.25">
      <c r="A1167" s="56"/>
      <c r="B1167" s="61"/>
      <c r="C1167" s="61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155"/>
    </row>
    <row r="1168" spans="1:16" s="28" customFormat="1" x14ac:dyDescent="0.25">
      <c r="A1168" s="56"/>
      <c r="B1168" s="61"/>
      <c r="C1168" s="61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155"/>
    </row>
    <row r="1169" spans="1:16" s="28" customFormat="1" x14ac:dyDescent="0.25">
      <c r="A1169" s="56"/>
      <c r="B1169" s="61"/>
      <c r="C1169" s="61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155"/>
    </row>
    <row r="1170" spans="1:16" s="28" customFormat="1" x14ac:dyDescent="0.25">
      <c r="A1170" s="56"/>
      <c r="B1170" s="61"/>
      <c r="C1170" s="61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155"/>
    </row>
    <row r="1171" spans="1:16" s="28" customFormat="1" x14ac:dyDescent="0.25">
      <c r="A1171" s="56"/>
      <c r="B1171" s="61"/>
      <c r="C1171" s="61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155"/>
    </row>
    <row r="1172" spans="1:16" s="28" customFormat="1" x14ac:dyDescent="0.25">
      <c r="A1172" s="56"/>
      <c r="B1172" s="61"/>
      <c r="C1172" s="61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155"/>
    </row>
    <row r="1173" spans="1:16" s="28" customFormat="1" x14ac:dyDescent="0.25">
      <c r="A1173" s="56"/>
      <c r="B1173" s="61"/>
      <c r="C1173" s="61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155"/>
    </row>
    <row r="1174" spans="1:16" s="28" customFormat="1" x14ac:dyDescent="0.25">
      <c r="A1174" s="56"/>
      <c r="B1174" s="61"/>
      <c r="C1174" s="61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155"/>
    </row>
    <row r="1175" spans="1:16" s="28" customFormat="1" x14ac:dyDescent="0.25">
      <c r="A1175" s="56"/>
      <c r="B1175" s="61"/>
      <c r="C1175" s="61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155"/>
    </row>
    <row r="1176" spans="1:16" s="28" customFormat="1" x14ac:dyDescent="0.25">
      <c r="A1176" s="56"/>
      <c r="B1176" s="61"/>
      <c r="C1176" s="61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155"/>
    </row>
    <row r="1177" spans="1:16" s="28" customFormat="1" x14ac:dyDescent="0.25">
      <c r="A1177" s="56"/>
      <c r="B1177" s="61"/>
      <c r="C1177" s="61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155"/>
    </row>
    <row r="1178" spans="1:16" s="28" customFormat="1" x14ac:dyDescent="0.25">
      <c r="A1178" s="56"/>
      <c r="B1178" s="61"/>
      <c r="C1178" s="61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155"/>
    </row>
    <row r="1179" spans="1:16" s="28" customFormat="1" x14ac:dyDescent="0.25">
      <c r="A1179" s="56"/>
      <c r="B1179" s="61"/>
      <c r="C1179" s="61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155"/>
    </row>
    <row r="1180" spans="1:16" s="28" customFormat="1" x14ac:dyDescent="0.25">
      <c r="A1180" s="56"/>
      <c r="B1180" s="61"/>
      <c r="C1180" s="61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155"/>
    </row>
    <row r="1181" spans="1:16" s="28" customFormat="1" x14ac:dyDescent="0.25">
      <c r="A1181" s="56"/>
      <c r="B1181" s="61"/>
      <c r="C1181" s="61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155"/>
    </row>
    <row r="1182" spans="1:16" s="28" customFormat="1" x14ac:dyDescent="0.25">
      <c r="A1182" s="56"/>
      <c r="B1182" s="61"/>
      <c r="C1182" s="61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155"/>
    </row>
    <row r="1183" spans="1:16" s="28" customFormat="1" x14ac:dyDescent="0.25">
      <c r="A1183" s="56"/>
      <c r="B1183" s="61"/>
      <c r="C1183" s="61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155"/>
    </row>
    <row r="1184" spans="1:16" s="28" customFormat="1" x14ac:dyDescent="0.25">
      <c r="A1184" s="56"/>
      <c r="B1184" s="61"/>
      <c r="C1184" s="61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155"/>
    </row>
    <row r="1185" spans="1:16" s="28" customFormat="1" x14ac:dyDescent="0.25">
      <c r="A1185" s="56"/>
      <c r="B1185" s="61"/>
      <c r="C1185" s="61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155"/>
    </row>
    <row r="1186" spans="1:16" s="28" customFormat="1" x14ac:dyDescent="0.25">
      <c r="A1186" s="56"/>
      <c r="B1186" s="61"/>
      <c r="C1186" s="61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155"/>
    </row>
    <row r="1187" spans="1:16" s="28" customFormat="1" x14ac:dyDescent="0.25">
      <c r="A1187" s="56"/>
      <c r="B1187" s="61"/>
      <c r="C1187" s="61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155"/>
    </row>
    <row r="1188" spans="1:16" s="28" customFormat="1" x14ac:dyDescent="0.25">
      <c r="A1188" s="56"/>
      <c r="B1188" s="61"/>
      <c r="C1188" s="61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155"/>
    </row>
    <row r="1189" spans="1:16" s="28" customFormat="1" x14ac:dyDescent="0.25">
      <c r="A1189" s="56"/>
      <c r="B1189" s="61"/>
      <c r="C1189" s="61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155"/>
    </row>
    <row r="1190" spans="1:16" s="28" customFormat="1" x14ac:dyDescent="0.25">
      <c r="A1190" s="56"/>
      <c r="B1190" s="61"/>
      <c r="C1190" s="61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155"/>
    </row>
    <row r="1191" spans="1:16" s="28" customFormat="1" x14ac:dyDescent="0.25">
      <c r="A1191" s="56"/>
      <c r="B1191" s="61"/>
      <c r="C1191" s="61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155"/>
    </row>
    <row r="1192" spans="1:16" s="28" customFormat="1" x14ac:dyDescent="0.25">
      <c r="A1192" s="56"/>
      <c r="B1192" s="61"/>
      <c r="C1192" s="61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155"/>
    </row>
    <row r="1193" spans="1:16" s="28" customFormat="1" x14ac:dyDescent="0.25">
      <c r="A1193" s="56"/>
      <c r="B1193" s="61"/>
      <c r="C1193" s="61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155"/>
    </row>
    <row r="1194" spans="1:16" s="28" customFormat="1" x14ac:dyDescent="0.25">
      <c r="A1194" s="56"/>
      <c r="B1194" s="61"/>
      <c r="C1194" s="61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155"/>
    </row>
    <row r="1195" spans="1:16" s="28" customFormat="1" x14ac:dyDescent="0.25">
      <c r="A1195" s="56"/>
      <c r="B1195" s="61"/>
      <c r="C1195" s="61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155"/>
    </row>
    <row r="1196" spans="1:16" s="28" customFormat="1" x14ac:dyDescent="0.25">
      <c r="A1196" s="56"/>
      <c r="B1196" s="61"/>
      <c r="C1196" s="61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155"/>
    </row>
    <row r="1197" spans="1:16" s="28" customFormat="1" x14ac:dyDescent="0.25">
      <c r="A1197" s="56"/>
      <c r="B1197" s="61"/>
      <c r="C1197" s="61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155"/>
    </row>
    <row r="1198" spans="1:16" s="28" customFormat="1" x14ac:dyDescent="0.25">
      <c r="A1198" s="56"/>
      <c r="B1198" s="61"/>
      <c r="C1198" s="61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155"/>
    </row>
    <row r="1199" spans="1:16" s="28" customFormat="1" x14ac:dyDescent="0.25">
      <c r="A1199" s="56"/>
      <c r="B1199" s="61"/>
      <c r="C1199" s="61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155"/>
    </row>
    <row r="1200" spans="1:16" s="28" customFormat="1" x14ac:dyDescent="0.25">
      <c r="A1200" s="56"/>
      <c r="B1200" s="61"/>
      <c r="C1200" s="61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155"/>
    </row>
    <row r="1201" spans="1:16" s="28" customFormat="1" x14ac:dyDescent="0.25">
      <c r="A1201" s="56"/>
      <c r="B1201" s="61"/>
      <c r="C1201" s="61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155"/>
    </row>
    <row r="1202" spans="1:16" s="28" customFormat="1" x14ac:dyDescent="0.25">
      <c r="A1202" s="56"/>
      <c r="B1202" s="61"/>
      <c r="C1202" s="61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155"/>
    </row>
    <row r="1203" spans="1:16" s="28" customFormat="1" x14ac:dyDescent="0.25">
      <c r="A1203" s="56"/>
      <c r="B1203" s="61"/>
      <c r="C1203" s="61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155"/>
    </row>
    <row r="1204" spans="1:16" s="28" customFormat="1" x14ac:dyDescent="0.25">
      <c r="A1204" s="56"/>
      <c r="B1204" s="61"/>
      <c r="C1204" s="61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155"/>
    </row>
    <row r="1205" spans="1:16" s="28" customFormat="1" x14ac:dyDescent="0.25">
      <c r="A1205" s="56"/>
      <c r="B1205" s="61"/>
      <c r="C1205" s="61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155"/>
    </row>
    <row r="1206" spans="1:16" s="28" customFormat="1" x14ac:dyDescent="0.25">
      <c r="A1206" s="56"/>
      <c r="B1206" s="61"/>
      <c r="C1206" s="61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155"/>
    </row>
    <row r="1207" spans="1:16" s="28" customFormat="1" x14ac:dyDescent="0.25">
      <c r="A1207" s="56"/>
      <c r="B1207" s="61"/>
      <c r="C1207" s="61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155"/>
    </row>
    <row r="1208" spans="1:16" s="28" customFormat="1" x14ac:dyDescent="0.25">
      <c r="A1208" s="56"/>
      <c r="B1208" s="61"/>
      <c r="C1208" s="61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155"/>
    </row>
    <row r="1209" spans="1:16" s="28" customFormat="1" x14ac:dyDescent="0.25">
      <c r="A1209" s="56"/>
      <c r="B1209" s="61"/>
      <c r="C1209" s="61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155"/>
    </row>
    <row r="1210" spans="1:16" s="28" customFormat="1" x14ac:dyDescent="0.25">
      <c r="A1210" s="56"/>
      <c r="B1210" s="61"/>
      <c r="C1210" s="61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155"/>
    </row>
    <row r="1211" spans="1:16" s="28" customFormat="1" x14ac:dyDescent="0.25">
      <c r="A1211" s="56"/>
      <c r="B1211" s="61"/>
      <c r="C1211" s="61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155"/>
    </row>
    <row r="1212" spans="1:16" s="28" customFormat="1" x14ac:dyDescent="0.25">
      <c r="A1212" s="56"/>
      <c r="B1212" s="61"/>
      <c r="C1212" s="61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155"/>
    </row>
    <row r="1213" spans="1:16" s="28" customFormat="1" x14ac:dyDescent="0.25">
      <c r="A1213" s="56"/>
      <c r="B1213" s="61"/>
      <c r="C1213" s="61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155"/>
    </row>
    <row r="1214" spans="1:16" s="28" customFormat="1" x14ac:dyDescent="0.25">
      <c r="A1214" s="56"/>
      <c r="B1214" s="61"/>
      <c r="C1214" s="61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155"/>
    </row>
    <row r="1215" spans="1:16" s="28" customFormat="1" x14ac:dyDescent="0.25">
      <c r="A1215" s="56"/>
      <c r="B1215" s="61"/>
      <c r="C1215" s="61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155"/>
    </row>
    <row r="1216" spans="1:16" s="28" customFormat="1" x14ac:dyDescent="0.25">
      <c r="A1216" s="56"/>
      <c r="B1216" s="61"/>
      <c r="C1216" s="61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155"/>
    </row>
    <row r="1217" spans="1:16" s="28" customFormat="1" x14ac:dyDescent="0.25">
      <c r="A1217" s="56"/>
      <c r="B1217" s="61"/>
      <c r="C1217" s="61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155"/>
    </row>
    <row r="1218" spans="1:16" s="28" customFormat="1" x14ac:dyDescent="0.25">
      <c r="A1218" s="56"/>
      <c r="B1218" s="61"/>
      <c r="C1218" s="61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155"/>
    </row>
    <row r="1219" spans="1:16" s="28" customFormat="1" x14ac:dyDescent="0.25">
      <c r="A1219" s="56"/>
      <c r="B1219" s="61"/>
      <c r="C1219" s="61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155"/>
    </row>
    <row r="1220" spans="1:16" s="28" customFormat="1" x14ac:dyDescent="0.25">
      <c r="A1220" s="56"/>
      <c r="B1220" s="61"/>
      <c r="C1220" s="61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155"/>
    </row>
    <row r="1221" spans="1:16" s="28" customFormat="1" x14ac:dyDescent="0.25">
      <c r="A1221" s="56"/>
      <c r="B1221" s="61"/>
      <c r="C1221" s="61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155"/>
    </row>
    <row r="1222" spans="1:16" s="28" customFormat="1" x14ac:dyDescent="0.25">
      <c r="A1222" s="56"/>
      <c r="B1222" s="61"/>
      <c r="C1222" s="61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155"/>
    </row>
    <row r="1223" spans="1:16" s="28" customFormat="1" x14ac:dyDescent="0.25">
      <c r="A1223" s="56"/>
      <c r="B1223" s="61"/>
      <c r="C1223" s="61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155"/>
    </row>
    <row r="1224" spans="1:16" s="28" customFormat="1" x14ac:dyDescent="0.25">
      <c r="A1224" s="56"/>
      <c r="B1224" s="61"/>
      <c r="C1224" s="61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155"/>
    </row>
    <row r="1225" spans="1:16" s="28" customFormat="1" x14ac:dyDescent="0.25">
      <c r="A1225" s="56"/>
      <c r="B1225" s="61"/>
      <c r="C1225" s="61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155"/>
    </row>
    <row r="1226" spans="1:16" s="28" customFormat="1" x14ac:dyDescent="0.25">
      <c r="A1226" s="56"/>
      <c r="B1226" s="61"/>
      <c r="C1226" s="61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155"/>
    </row>
    <row r="1227" spans="1:16" s="28" customFormat="1" x14ac:dyDescent="0.25">
      <c r="A1227" s="56"/>
      <c r="B1227" s="61"/>
      <c r="C1227" s="61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155"/>
    </row>
    <row r="1228" spans="1:16" s="28" customFormat="1" x14ac:dyDescent="0.25">
      <c r="A1228" s="56"/>
      <c r="B1228" s="61"/>
      <c r="C1228" s="61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155"/>
    </row>
    <row r="1229" spans="1:16" s="28" customFormat="1" x14ac:dyDescent="0.25">
      <c r="A1229" s="56"/>
      <c r="B1229" s="61"/>
      <c r="C1229" s="61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155"/>
    </row>
    <row r="1230" spans="1:16" s="28" customFormat="1" x14ac:dyDescent="0.25">
      <c r="A1230" s="56"/>
      <c r="B1230" s="61"/>
      <c r="C1230" s="61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155"/>
    </row>
    <row r="1231" spans="1:16" s="28" customFormat="1" x14ac:dyDescent="0.25">
      <c r="A1231" s="56"/>
      <c r="B1231" s="61"/>
      <c r="C1231" s="61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155"/>
    </row>
    <row r="1232" spans="1:16" s="28" customFormat="1" x14ac:dyDescent="0.25">
      <c r="A1232" s="56"/>
      <c r="B1232" s="61"/>
      <c r="C1232" s="61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155"/>
    </row>
    <row r="1233" spans="1:16" s="28" customFormat="1" x14ac:dyDescent="0.25">
      <c r="A1233" s="56"/>
      <c r="B1233" s="61"/>
      <c r="C1233" s="61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155"/>
    </row>
    <row r="1234" spans="1:16" s="28" customFormat="1" x14ac:dyDescent="0.25">
      <c r="A1234" s="56"/>
      <c r="B1234" s="61"/>
      <c r="C1234" s="61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155"/>
    </row>
    <row r="1235" spans="1:16" s="28" customFormat="1" x14ac:dyDescent="0.25">
      <c r="A1235" s="56"/>
      <c r="B1235" s="61"/>
      <c r="C1235" s="61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155"/>
    </row>
    <row r="1236" spans="1:16" s="28" customFormat="1" x14ac:dyDescent="0.25">
      <c r="A1236" s="56"/>
      <c r="B1236" s="61"/>
      <c r="C1236" s="61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155"/>
    </row>
    <row r="1237" spans="1:16" s="28" customFormat="1" x14ac:dyDescent="0.25">
      <c r="A1237" s="56"/>
      <c r="B1237" s="61"/>
      <c r="C1237" s="61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155"/>
    </row>
    <row r="1238" spans="1:16" s="28" customFormat="1" x14ac:dyDescent="0.25">
      <c r="A1238" s="56"/>
      <c r="B1238" s="61"/>
      <c r="C1238" s="61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155"/>
    </row>
    <row r="1239" spans="1:16" s="28" customFormat="1" x14ac:dyDescent="0.25">
      <c r="A1239" s="56"/>
      <c r="B1239" s="61"/>
      <c r="C1239" s="61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155"/>
    </row>
    <row r="1240" spans="1:16" s="28" customFormat="1" x14ac:dyDescent="0.25">
      <c r="A1240" s="56"/>
      <c r="B1240" s="61"/>
      <c r="C1240" s="61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155"/>
    </row>
    <row r="1241" spans="1:16" s="28" customFormat="1" x14ac:dyDescent="0.25">
      <c r="A1241" s="56"/>
      <c r="B1241" s="61"/>
      <c r="C1241" s="61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155"/>
    </row>
    <row r="1242" spans="1:16" s="28" customFormat="1" x14ac:dyDescent="0.25">
      <c r="A1242" s="56"/>
      <c r="B1242" s="61"/>
      <c r="C1242" s="61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155"/>
    </row>
    <row r="1243" spans="1:16" s="28" customFormat="1" x14ac:dyDescent="0.25">
      <c r="A1243" s="56"/>
      <c r="B1243" s="61"/>
      <c r="C1243" s="61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155"/>
    </row>
    <row r="1244" spans="1:16" s="28" customFormat="1" x14ac:dyDescent="0.25">
      <c r="A1244" s="56"/>
      <c r="B1244" s="61"/>
      <c r="C1244" s="61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155"/>
    </row>
    <row r="1245" spans="1:16" s="28" customFormat="1" x14ac:dyDescent="0.25">
      <c r="A1245" s="56"/>
      <c r="B1245" s="61"/>
      <c r="C1245" s="61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155"/>
    </row>
    <row r="1246" spans="1:16" s="28" customFormat="1" x14ac:dyDescent="0.25">
      <c r="A1246" s="56"/>
      <c r="B1246" s="61"/>
      <c r="C1246" s="61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155"/>
    </row>
    <row r="1247" spans="1:16" s="28" customFormat="1" x14ac:dyDescent="0.25">
      <c r="A1247" s="56"/>
      <c r="B1247" s="61"/>
      <c r="C1247" s="61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155"/>
    </row>
    <row r="1248" spans="1:16" s="28" customFormat="1" x14ac:dyDescent="0.25">
      <c r="A1248" s="56"/>
      <c r="B1248" s="61"/>
      <c r="C1248" s="61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155"/>
    </row>
    <row r="1249" spans="1:16" s="28" customFormat="1" x14ac:dyDescent="0.25">
      <c r="A1249" s="56"/>
      <c r="B1249" s="61"/>
      <c r="C1249" s="61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155"/>
    </row>
    <row r="1250" spans="1:16" s="28" customFormat="1" x14ac:dyDescent="0.25">
      <c r="A1250" s="56"/>
      <c r="B1250" s="61"/>
      <c r="C1250" s="61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155"/>
    </row>
    <row r="1251" spans="1:16" s="28" customFormat="1" x14ac:dyDescent="0.25">
      <c r="A1251" s="56"/>
      <c r="B1251" s="61"/>
      <c r="C1251" s="61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155"/>
    </row>
    <row r="1252" spans="1:16" s="28" customFormat="1" x14ac:dyDescent="0.25">
      <c r="A1252" s="56"/>
      <c r="B1252" s="61"/>
      <c r="C1252" s="61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155"/>
    </row>
    <row r="1253" spans="1:16" s="28" customFormat="1" x14ac:dyDescent="0.25">
      <c r="A1253" s="56"/>
      <c r="B1253" s="61"/>
      <c r="C1253" s="61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155"/>
    </row>
    <row r="1254" spans="1:16" s="28" customFormat="1" x14ac:dyDescent="0.25">
      <c r="A1254" s="56"/>
      <c r="B1254" s="61"/>
      <c r="C1254" s="61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155"/>
    </row>
    <row r="1255" spans="1:16" s="28" customFormat="1" x14ac:dyDescent="0.25">
      <c r="A1255" s="56"/>
      <c r="B1255" s="61"/>
      <c r="C1255" s="61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155"/>
    </row>
    <row r="1256" spans="1:16" s="28" customFormat="1" x14ac:dyDescent="0.25">
      <c r="A1256" s="56"/>
      <c r="B1256" s="61"/>
      <c r="C1256" s="61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155"/>
    </row>
    <row r="1257" spans="1:16" s="28" customFormat="1" x14ac:dyDescent="0.25">
      <c r="A1257" s="56"/>
      <c r="B1257" s="61"/>
      <c r="C1257" s="61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155"/>
    </row>
    <row r="1258" spans="1:16" s="28" customFormat="1" x14ac:dyDescent="0.25">
      <c r="A1258" s="56"/>
      <c r="B1258" s="61"/>
      <c r="C1258" s="61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155"/>
    </row>
    <row r="1259" spans="1:16" s="28" customFormat="1" x14ac:dyDescent="0.25">
      <c r="A1259" s="56"/>
      <c r="B1259" s="61"/>
      <c r="C1259" s="61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155"/>
    </row>
    <row r="1260" spans="1:16" s="28" customFormat="1" x14ac:dyDescent="0.25">
      <c r="A1260" s="56"/>
      <c r="B1260" s="61"/>
      <c r="C1260" s="61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155"/>
    </row>
    <row r="1261" spans="1:16" s="28" customFormat="1" x14ac:dyDescent="0.25">
      <c r="A1261" s="56"/>
      <c r="B1261" s="61"/>
      <c r="C1261" s="61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155"/>
    </row>
    <row r="1262" spans="1:16" s="28" customFormat="1" x14ac:dyDescent="0.25">
      <c r="A1262" s="56"/>
      <c r="B1262" s="61"/>
      <c r="C1262" s="61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155"/>
    </row>
    <row r="1263" spans="1:16" s="28" customFormat="1" x14ac:dyDescent="0.25">
      <c r="A1263" s="56"/>
      <c r="B1263" s="61"/>
      <c r="C1263" s="61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155"/>
    </row>
    <row r="1264" spans="1:16" s="28" customFormat="1" x14ac:dyDescent="0.25">
      <c r="A1264" s="56"/>
      <c r="B1264" s="61"/>
      <c r="C1264" s="61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155"/>
    </row>
    <row r="1265" spans="1:16" s="28" customFormat="1" x14ac:dyDescent="0.25">
      <c r="A1265" s="56"/>
      <c r="B1265" s="61"/>
      <c r="C1265" s="61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155"/>
    </row>
    <row r="1266" spans="1:16" s="28" customFormat="1" x14ac:dyDescent="0.25">
      <c r="A1266" s="56"/>
      <c r="B1266" s="61"/>
      <c r="C1266" s="61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155"/>
    </row>
    <row r="1267" spans="1:16" s="28" customFormat="1" x14ac:dyDescent="0.25">
      <c r="A1267" s="56"/>
      <c r="B1267" s="61"/>
      <c r="C1267" s="61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155"/>
    </row>
    <row r="1268" spans="1:16" s="28" customFormat="1" x14ac:dyDescent="0.25">
      <c r="A1268" s="56"/>
      <c r="B1268" s="61"/>
      <c r="C1268" s="61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155"/>
    </row>
    <row r="1269" spans="1:16" s="28" customFormat="1" x14ac:dyDescent="0.25">
      <c r="A1269" s="56"/>
      <c r="B1269" s="61"/>
      <c r="C1269" s="61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155"/>
    </row>
    <row r="1270" spans="1:16" s="28" customFormat="1" x14ac:dyDescent="0.25">
      <c r="A1270" s="56"/>
      <c r="B1270" s="61"/>
      <c r="C1270" s="61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155"/>
    </row>
    <row r="1271" spans="1:16" s="28" customFormat="1" x14ac:dyDescent="0.25">
      <c r="A1271" s="56"/>
      <c r="B1271" s="61"/>
      <c r="C1271" s="61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155"/>
    </row>
    <row r="1272" spans="1:16" s="28" customFormat="1" x14ac:dyDescent="0.25">
      <c r="A1272" s="56"/>
      <c r="B1272" s="61"/>
      <c r="C1272" s="61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155"/>
    </row>
    <row r="1273" spans="1:16" s="28" customFormat="1" x14ac:dyDescent="0.25">
      <c r="A1273" s="56"/>
      <c r="B1273" s="61"/>
      <c r="C1273" s="61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155"/>
    </row>
    <row r="1274" spans="1:16" s="28" customFormat="1" x14ac:dyDescent="0.25">
      <c r="A1274" s="56"/>
      <c r="B1274" s="61"/>
      <c r="C1274" s="61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155"/>
    </row>
    <row r="1275" spans="1:16" s="28" customFormat="1" x14ac:dyDescent="0.25">
      <c r="A1275" s="56"/>
      <c r="B1275" s="61"/>
      <c r="C1275" s="61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155"/>
    </row>
    <row r="1276" spans="1:16" s="28" customFormat="1" x14ac:dyDescent="0.25">
      <c r="A1276" s="56"/>
      <c r="B1276" s="61"/>
      <c r="C1276" s="61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155"/>
    </row>
    <row r="1277" spans="1:16" s="28" customFormat="1" x14ac:dyDescent="0.25">
      <c r="A1277" s="56"/>
      <c r="B1277" s="61"/>
      <c r="C1277" s="61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155"/>
    </row>
    <row r="1278" spans="1:16" s="28" customFormat="1" x14ac:dyDescent="0.25">
      <c r="A1278" s="56"/>
      <c r="B1278" s="61"/>
      <c r="C1278" s="61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155"/>
    </row>
    <row r="1279" spans="1:16" s="28" customFormat="1" x14ac:dyDescent="0.25">
      <c r="A1279" s="56"/>
      <c r="B1279" s="61"/>
      <c r="C1279" s="61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155"/>
    </row>
    <row r="1280" spans="1:16" s="28" customFormat="1" x14ac:dyDescent="0.25">
      <c r="A1280" s="56"/>
      <c r="B1280" s="61"/>
      <c r="C1280" s="61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155"/>
    </row>
    <row r="1281" spans="1:16" s="28" customFormat="1" x14ac:dyDescent="0.25">
      <c r="A1281" s="56"/>
      <c r="B1281" s="61"/>
      <c r="C1281" s="61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155"/>
    </row>
    <row r="1282" spans="1:16" s="28" customFormat="1" x14ac:dyDescent="0.25">
      <c r="A1282" s="56"/>
      <c r="B1282" s="61"/>
      <c r="C1282" s="61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155"/>
    </row>
    <row r="1283" spans="1:16" s="28" customFormat="1" x14ac:dyDescent="0.25">
      <c r="A1283" s="56"/>
      <c r="B1283" s="61"/>
      <c r="C1283" s="61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155"/>
    </row>
    <row r="1284" spans="1:16" s="28" customFormat="1" x14ac:dyDescent="0.25">
      <c r="A1284" s="56"/>
      <c r="B1284" s="61"/>
      <c r="C1284" s="61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155"/>
    </row>
    <row r="1285" spans="1:16" s="28" customFormat="1" x14ac:dyDescent="0.25">
      <c r="A1285" s="56"/>
      <c r="B1285" s="61"/>
      <c r="C1285" s="61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155"/>
    </row>
    <row r="1286" spans="1:16" s="28" customFormat="1" x14ac:dyDescent="0.25">
      <c r="A1286" s="56"/>
      <c r="B1286" s="61"/>
      <c r="C1286" s="61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155"/>
    </row>
    <row r="1287" spans="1:16" s="28" customFormat="1" x14ac:dyDescent="0.25">
      <c r="A1287" s="56"/>
      <c r="B1287" s="61"/>
      <c r="C1287" s="61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155"/>
    </row>
    <row r="1288" spans="1:16" s="28" customFormat="1" x14ac:dyDescent="0.25">
      <c r="A1288" s="56"/>
      <c r="B1288" s="61"/>
      <c r="C1288" s="61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155"/>
    </row>
    <row r="1289" spans="1:16" s="28" customFormat="1" x14ac:dyDescent="0.25">
      <c r="A1289" s="56"/>
      <c r="B1289" s="61"/>
      <c r="C1289" s="61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155"/>
    </row>
    <row r="1290" spans="1:16" s="28" customFormat="1" x14ac:dyDescent="0.25">
      <c r="A1290" s="56"/>
      <c r="B1290" s="61"/>
      <c r="C1290" s="61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155"/>
    </row>
    <row r="1291" spans="1:16" s="28" customFormat="1" x14ac:dyDescent="0.25">
      <c r="A1291" s="56"/>
      <c r="B1291" s="61"/>
      <c r="C1291" s="61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155"/>
    </row>
    <row r="1292" spans="1:16" s="28" customFormat="1" x14ac:dyDescent="0.25">
      <c r="A1292" s="56"/>
      <c r="B1292" s="61"/>
      <c r="C1292" s="61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155"/>
    </row>
    <row r="1293" spans="1:16" s="28" customFormat="1" x14ac:dyDescent="0.25">
      <c r="A1293" s="56"/>
      <c r="B1293" s="61"/>
      <c r="C1293" s="61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155"/>
    </row>
    <row r="1294" spans="1:16" s="28" customFormat="1" x14ac:dyDescent="0.25">
      <c r="A1294" s="56"/>
      <c r="B1294" s="61"/>
      <c r="C1294" s="61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155"/>
    </row>
    <row r="1295" spans="1:16" s="28" customFormat="1" x14ac:dyDescent="0.25">
      <c r="A1295" s="56"/>
      <c r="B1295" s="61"/>
      <c r="C1295" s="61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155"/>
    </row>
    <row r="1296" spans="1:16" s="28" customFormat="1" x14ac:dyDescent="0.25">
      <c r="A1296" s="56"/>
      <c r="B1296" s="61"/>
      <c r="C1296" s="61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155"/>
    </row>
    <row r="1297" spans="1:16" s="28" customFormat="1" x14ac:dyDescent="0.25">
      <c r="A1297" s="56"/>
      <c r="B1297" s="61"/>
      <c r="C1297" s="61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155"/>
    </row>
    <row r="1298" spans="1:16" s="28" customFormat="1" x14ac:dyDescent="0.25">
      <c r="A1298" s="56"/>
      <c r="B1298" s="61"/>
      <c r="C1298" s="61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155"/>
    </row>
    <row r="1299" spans="1:16" s="28" customFormat="1" x14ac:dyDescent="0.25">
      <c r="A1299" s="56"/>
      <c r="B1299" s="61"/>
      <c r="C1299" s="61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155"/>
    </row>
    <row r="1300" spans="1:16" s="28" customFormat="1" x14ac:dyDescent="0.25">
      <c r="A1300" s="56"/>
      <c r="B1300" s="61"/>
      <c r="C1300" s="61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155"/>
    </row>
    <row r="1301" spans="1:16" s="28" customFormat="1" x14ac:dyDescent="0.25">
      <c r="A1301" s="56"/>
      <c r="B1301" s="61"/>
      <c r="C1301" s="61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155"/>
    </row>
    <row r="1302" spans="1:16" s="28" customFormat="1" x14ac:dyDescent="0.25">
      <c r="A1302" s="56"/>
      <c r="B1302" s="61"/>
      <c r="C1302" s="61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155"/>
    </row>
    <row r="1303" spans="1:16" s="28" customFormat="1" x14ac:dyDescent="0.25">
      <c r="A1303" s="56"/>
      <c r="B1303" s="61"/>
      <c r="C1303" s="61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155"/>
    </row>
    <row r="1304" spans="1:16" s="28" customFormat="1" x14ac:dyDescent="0.25">
      <c r="A1304" s="56"/>
      <c r="B1304" s="61"/>
      <c r="C1304" s="61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155"/>
    </row>
    <row r="1305" spans="1:16" s="28" customFormat="1" x14ac:dyDescent="0.25">
      <c r="A1305" s="56"/>
      <c r="B1305" s="61"/>
      <c r="C1305" s="61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155"/>
    </row>
    <row r="1306" spans="1:16" s="28" customFormat="1" x14ac:dyDescent="0.25">
      <c r="A1306" s="56"/>
      <c r="B1306" s="61"/>
      <c r="C1306" s="61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155"/>
    </row>
    <row r="1307" spans="1:16" s="28" customFormat="1" x14ac:dyDescent="0.25">
      <c r="A1307" s="56"/>
      <c r="B1307" s="61"/>
      <c r="C1307" s="61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155"/>
    </row>
    <row r="1308" spans="1:16" s="28" customFormat="1" x14ac:dyDescent="0.25">
      <c r="A1308" s="56"/>
      <c r="B1308" s="61"/>
      <c r="C1308" s="61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155"/>
    </row>
    <row r="1309" spans="1:16" s="28" customFormat="1" x14ac:dyDescent="0.25">
      <c r="A1309" s="56"/>
      <c r="B1309" s="61"/>
      <c r="C1309" s="61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155"/>
    </row>
    <row r="1310" spans="1:16" s="28" customFormat="1" x14ac:dyDescent="0.25">
      <c r="A1310" s="56"/>
      <c r="B1310" s="61"/>
      <c r="C1310" s="61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155"/>
    </row>
    <row r="1311" spans="1:16" s="28" customFormat="1" x14ac:dyDescent="0.25">
      <c r="A1311" s="56"/>
      <c r="B1311" s="61"/>
      <c r="C1311" s="61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155"/>
    </row>
    <row r="1312" spans="1:16" s="28" customFormat="1" x14ac:dyDescent="0.25">
      <c r="A1312" s="56"/>
      <c r="B1312" s="61"/>
      <c r="C1312" s="61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155"/>
    </row>
    <row r="1313" spans="1:16" s="28" customFormat="1" x14ac:dyDescent="0.25">
      <c r="A1313" s="56"/>
      <c r="B1313" s="61"/>
      <c r="C1313" s="61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155"/>
    </row>
    <row r="1314" spans="1:16" s="28" customFormat="1" x14ac:dyDescent="0.25">
      <c r="A1314" s="56"/>
      <c r="B1314" s="61"/>
      <c r="C1314" s="61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155"/>
    </row>
    <row r="1315" spans="1:16" s="28" customFormat="1" x14ac:dyDescent="0.25">
      <c r="A1315" s="56"/>
      <c r="B1315" s="61"/>
      <c r="C1315" s="61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155"/>
    </row>
    <row r="1316" spans="1:16" s="28" customFormat="1" x14ac:dyDescent="0.25">
      <c r="A1316" s="56"/>
      <c r="B1316" s="61"/>
      <c r="C1316" s="61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155"/>
    </row>
    <row r="1317" spans="1:16" s="28" customFormat="1" x14ac:dyDescent="0.25">
      <c r="A1317" s="56"/>
      <c r="B1317" s="61"/>
      <c r="C1317" s="61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155"/>
    </row>
    <row r="1318" spans="1:16" s="28" customFormat="1" x14ac:dyDescent="0.25">
      <c r="A1318" s="56"/>
      <c r="B1318" s="61"/>
      <c r="C1318" s="61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155"/>
    </row>
    <row r="1319" spans="1:16" s="28" customFormat="1" x14ac:dyDescent="0.25">
      <c r="A1319" s="56"/>
      <c r="B1319" s="61"/>
      <c r="C1319" s="61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155"/>
    </row>
    <row r="1320" spans="1:16" s="28" customFormat="1" x14ac:dyDescent="0.25">
      <c r="A1320" s="56"/>
      <c r="B1320" s="61"/>
      <c r="C1320" s="61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155"/>
    </row>
    <row r="1321" spans="1:16" s="28" customFormat="1" x14ac:dyDescent="0.25">
      <c r="A1321" s="56"/>
      <c r="B1321" s="61"/>
      <c r="C1321" s="61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155"/>
    </row>
    <row r="1322" spans="1:16" s="28" customFormat="1" x14ac:dyDescent="0.25">
      <c r="A1322" s="56"/>
      <c r="B1322" s="61"/>
      <c r="C1322" s="61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155"/>
    </row>
    <row r="1323" spans="1:16" s="28" customFormat="1" x14ac:dyDescent="0.25">
      <c r="A1323" s="56"/>
      <c r="B1323" s="61"/>
      <c r="C1323" s="61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155"/>
    </row>
    <row r="1324" spans="1:16" s="28" customFormat="1" x14ac:dyDescent="0.25">
      <c r="A1324" s="56"/>
      <c r="B1324" s="61"/>
      <c r="C1324" s="61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155"/>
    </row>
    <row r="1325" spans="1:16" s="28" customFormat="1" x14ac:dyDescent="0.25">
      <c r="A1325" s="56"/>
      <c r="B1325" s="61"/>
      <c r="C1325" s="61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155"/>
    </row>
    <row r="1326" spans="1:16" s="28" customFormat="1" x14ac:dyDescent="0.25">
      <c r="A1326" s="56"/>
      <c r="B1326" s="61"/>
      <c r="C1326" s="61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155"/>
    </row>
    <row r="1327" spans="1:16" s="28" customFormat="1" x14ac:dyDescent="0.25">
      <c r="A1327" s="56"/>
      <c r="B1327" s="61"/>
      <c r="C1327" s="61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155"/>
    </row>
    <row r="1328" spans="1:16" s="28" customFormat="1" x14ac:dyDescent="0.25">
      <c r="A1328" s="56"/>
      <c r="B1328" s="61"/>
      <c r="C1328" s="61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155"/>
    </row>
    <row r="1329" spans="1:16" s="28" customFormat="1" x14ac:dyDescent="0.25">
      <c r="A1329" s="56"/>
      <c r="B1329" s="61"/>
      <c r="C1329" s="61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155"/>
    </row>
    <row r="1330" spans="1:16" s="28" customFormat="1" x14ac:dyDescent="0.25">
      <c r="A1330" s="56"/>
      <c r="B1330" s="61"/>
      <c r="C1330" s="61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155"/>
    </row>
    <row r="1331" spans="1:16" s="28" customFormat="1" x14ac:dyDescent="0.25">
      <c r="A1331" s="56"/>
      <c r="B1331" s="61"/>
      <c r="C1331" s="61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155"/>
    </row>
    <row r="1332" spans="1:16" s="28" customFormat="1" x14ac:dyDescent="0.25">
      <c r="A1332" s="56"/>
      <c r="B1332" s="61"/>
      <c r="C1332" s="61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155"/>
    </row>
    <row r="1333" spans="1:16" s="28" customFormat="1" x14ac:dyDescent="0.25">
      <c r="A1333" s="56"/>
      <c r="B1333" s="61"/>
      <c r="C1333" s="61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155"/>
    </row>
    <row r="1334" spans="1:16" s="28" customFormat="1" x14ac:dyDescent="0.25">
      <c r="A1334" s="56"/>
      <c r="B1334" s="61"/>
      <c r="C1334" s="61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155"/>
    </row>
    <row r="1335" spans="1:16" s="28" customFormat="1" x14ac:dyDescent="0.25">
      <c r="A1335" s="56"/>
      <c r="B1335" s="61"/>
      <c r="C1335" s="61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155"/>
    </row>
    <row r="1336" spans="1:16" s="28" customFormat="1" x14ac:dyDescent="0.25">
      <c r="A1336" s="56"/>
      <c r="B1336" s="61"/>
      <c r="C1336" s="61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155"/>
    </row>
    <row r="1337" spans="1:16" s="28" customFormat="1" x14ac:dyDescent="0.25">
      <c r="A1337" s="56"/>
      <c r="B1337" s="61"/>
      <c r="C1337" s="61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155"/>
    </row>
    <row r="1338" spans="1:16" s="28" customFormat="1" x14ac:dyDescent="0.25">
      <c r="A1338" s="56"/>
      <c r="B1338" s="61"/>
      <c r="C1338" s="61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155"/>
    </row>
    <row r="1339" spans="1:16" s="28" customFormat="1" x14ac:dyDescent="0.25">
      <c r="A1339" s="56"/>
      <c r="B1339" s="61"/>
      <c r="C1339" s="61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155"/>
    </row>
    <row r="1340" spans="1:16" s="28" customFormat="1" x14ac:dyDescent="0.25">
      <c r="A1340" s="56"/>
      <c r="B1340" s="61"/>
      <c r="C1340" s="61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155"/>
    </row>
    <row r="1341" spans="1:16" s="28" customFormat="1" x14ac:dyDescent="0.25">
      <c r="A1341" s="56"/>
      <c r="B1341" s="61"/>
      <c r="C1341" s="61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155"/>
    </row>
    <row r="1342" spans="1:16" s="28" customFormat="1" x14ac:dyDescent="0.25">
      <c r="A1342" s="56"/>
      <c r="B1342" s="61"/>
      <c r="C1342" s="61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155"/>
    </row>
    <row r="1343" spans="1:16" s="28" customFormat="1" x14ac:dyDescent="0.25">
      <c r="A1343" s="56"/>
      <c r="B1343" s="61"/>
      <c r="C1343" s="61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155"/>
    </row>
    <row r="1344" spans="1:16" s="28" customFormat="1" x14ac:dyDescent="0.25">
      <c r="A1344" s="56"/>
      <c r="B1344" s="61"/>
      <c r="C1344" s="61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155"/>
    </row>
    <row r="1345" spans="1:16" s="28" customFormat="1" x14ac:dyDescent="0.25">
      <c r="A1345" s="56"/>
      <c r="B1345" s="61"/>
      <c r="C1345" s="61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155"/>
    </row>
    <row r="1346" spans="1:16" s="28" customFormat="1" x14ac:dyDescent="0.25">
      <c r="A1346" s="56"/>
      <c r="B1346" s="61"/>
      <c r="C1346" s="61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155"/>
    </row>
    <row r="1347" spans="1:16" s="28" customFormat="1" x14ac:dyDescent="0.25">
      <c r="A1347" s="56"/>
      <c r="B1347" s="61"/>
      <c r="C1347" s="61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155"/>
    </row>
    <row r="1348" spans="1:16" s="28" customFormat="1" x14ac:dyDescent="0.25">
      <c r="A1348" s="56"/>
      <c r="B1348" s="61"/>
      <c r="C1348" s="61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155"/>
    </row>
    <row r="1349" spans="1:16" s="28" customFormat="1" x14ac:dyDescent="0.25">
      <c r="A1349" s="56"/>
      <c r="B1349" s="61"/>
      <c r="C1349" s="61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155"/>
    </row>
    <row r="1350" spans="1:16" s="28" customFormat="1" x14ac:dyDescent="0.25">
      <c r="A1350" s="56"/>
      <c r="B1350" s="61"/>
      <c r="C1350" s="61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155"/>
    </row>
    <row r="1351" spans="1:16" s="28" customFormat="1" x14ac:dyDescent="0.25">
      <c r="A1351" s="56"/>
      <c r="B1351" s="61"/>
      <c r="C1351" s="61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155"/>
    </row>
    <row r="1352" spans="1:16" s="28" customFormat="1" x14ac:dyDescent="0.25">
      <c r="A1352" s="56"/>
      <c r="B1352" s="61"/>
      <c r="C1352" s="61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155"/>
    </row>
    <row r="1353" spans="1:16" s="28" customFormat="1" x14ac:dyDescent="0.25">
      <c r="A1353" s="56"/>
      <c r="B1353" s="61"/>
      <c r="C1353" s="61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155"/>
    </row>
    <row r="1354" spans="1:16" s="28" customFormat="1" x14ac:dyDescent="0.25">
      <c r="A1354" s="56"/>
      <c r="B1354" s="61"/>
      <c r="C1354" s="61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155"/>
    </row>
    <row r="1355" spans="1:16" s="28" customFormat="1" x14ac:dyDescent="0.25">
      <c r="A1355" s="56"/>
      <c r="B1355" s="61"/>
      <c r="C1355" s="61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155"/>
    </row>
    <row r="1356" spans="1:16" s="28" customFormat="1" x14ac:dyDescent="0.25">
      <c r="A1356" s="56"/>
      <c r="B1356" s="61"/>
      <c r="C1356" s="61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155"/>
    </row>
    <row r="1357" spans="1:16" s="28" customFormat="1" x14ac:dyDescent="0.25">
      <c r="A1357" s="56"/>
      <c r="B1357" s="61"/>
      <c r="C1357" s="61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155"/>
    </row>
    <row r="1358" spans="1:16" s="28" customFormat="1" x14ac:dyDescent="0.25">
      <c r="A1358" s="56"/>
      <c r="B1358" s="61"/>
      <c r="C1358" s="61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155"/>
    </row>
    <row r="1359" spans="1:16" s="28" customFormat="1" x14ac:dyDescent="0.25">
      <c r="A1359" s="56"/>
      <c r="B1359" s="61"/>
      <c r="C1359" s="61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155"/>
    </row>
    <row r="1360" spans="1:16" s="28" customFormat="1" x14ac:dyDescent="0.25">
      <c r="A1360" s="56"/>
      <c r="B1360" s="61"/>
      <c r="C1360" s="61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155"/>
    </row>
    <row r="1361" spans="1:16" s="28" customFormat="1" x14ac:dyDescent="0.25">
      <c r="A1361" s="56"/>
      <c r="B1361" s="61"/>
      <c r="C1361" s="61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155"/>
    </row>
    <row r="1362" spans="1:16" s="28" customFormat="1" x14ac:dyDescent="0.25">
      <c r="A1362" s="56"/>
      <c r="B1362" s="61"/>
      <c r="C1362" s="61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155"/>
    </row>
    <row r="1363" spans="1:16" s="28" customFormat="1" x14ac:dyDescent="0.25">
      <c r="A1363" s="56"/>
      <c r="B1363" s="61"/>
      <c r="C1363" s="61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155"/>
    </row>
    <row r="1364" spans="1:16" s="28" customFormat="1" x14ac:dyDescent="0.25">
      <c r="A1364" s="56"/>
      <c r="B1364" s="61"/>
      <c r="C1364" s="61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155"/>
    </row>
    <row r="1365" spans="1:16" s="28" customFormat="1" x14ac:dyDescent="0.25">
      <c r="A1365" s="56"/>
      <c r="B1365" s="61"/>
      <c r="C1365" s="61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155"/>
    </row>
    <row r="1366" spans="1:16" s="28" customFormat="1" x14ac:dyDescent="0.25">
      <c r="A1366" s="56"/>
      <c r="B1366" s="61"/>
      <c r="C1366" s="61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155"/>
    </row>
    <row r="1367" spans="1:16" s="28" customFormat="1" x14ac:dyDescent="0.25">
      <c r="A1367" s="56"/>
      <c r="B1367" s="61"/>
      <c r="C1367" s="61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155"/>
    </row>
    <row r="1368" spans="1:16" s="28" customFormat="1" x14ac:dyDescent="0.25">
      <c r="A1368" s="56"/>
      <c r="B1368" s="61"/>
      <c r="C1368" s="61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155"/>
    </row>
    <row r="1369" spans="1:16" s="28" customFormat="1" x14ac:dyDescent="0.25">
      <c r="A1369" s="56"/>
      <c r="B1369" s="61"/>
      <c r="C1369" s="61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155"/>
    </row>
    <row r="1370" spans="1:16" s="28" customFormat="1" x14ac:dyDescent="0.25">
      <c r="A1370" s="56"/>
      <c r="B1370" s="61"/>
      <c r="C1370" s="61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155"/>
    </row>
    <row r="1371" spans="1:16" s="28" customFormat="1" x14ac:dyDescent="0.25">
      <c r="A1371" s="56"/>
      <c r="B1371" s="61"/>
      <c r="C1371" s="61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155"/>
    </row>
    <row r="1372" spans="1:16" s="28" customFormat="1" x14ac:dyDescent="0.25">
      <c r="A1372" s="56"/>
      <c r="B1372" s="61"/>
      <c r="C1372" s="61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155"/>
    </row>
    <row r="1373" spans="1:16" s="28" customFormat="1" x14ac:dyDescent="0.25">
      <c r="A1373" s="56"/>
      <c r="B1373" s="61"/>
      <c r="C1373" s="61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155"/>
    </row>
    <row r="1374" spans="1:16" s="28" customFormat="1" x14ac:dyDescent="0.25">
      <c r="A1374" s="56"/>
      <c r="B1374" s="61"/>
      <c r="C1374" s="61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155"/>
    </row>
    <row r="1375" spans="1:16" s="28" customFormat="1" x14ac:dyDescent="0.25">
      <c r="A1375" s="56"/>
      <c r="B1375" s="61"/>
      <c r="C1375" s="61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155"/>
    </row>
    <row r="1376" spans="1:16" s="28" customFormat="1" x14ac:dyDescent="0.25">
      <c r="A1376" s="56"/>
      <c r="B1376" s="61"/>
      <c r="C1376" s="61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155"/>
    </row>
    <row r="1377" spans="1:16" s="28" customFormat="1" x14ac:dyDescent="0.25">
      <c r="A1377" s="56"/>
      <c r="B1377" s="61"/>
      <c r="C1377" s="61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155"/>
    </row>
    <row r="1378" spans="1:16" s="28" customFormat="1" x14ac:dyDescent="0.25">
      <c r="A1378" s="56"/>
      <c r="B1378" s="61"/>
      <c r="C1378" s="61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155"/>
    </row>
    <row r="1379" spans="1:16" s="28" customFormat="1" x14ac:dyDescent="0.25">
      <c r="A1379" s="56"/>
      <c r="B1379" s="61"/>
      <c r="C1379" s="61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155"/>
    </row>
    <row r="1380" spans="1:16" s="28" customFormat="1" x14ac:dyDescent="0.25">
      <c r="A1380" s="56"/>
      <c r="B1380" s="61"/>
      <c r="C1380" s="61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155"/>
    </row>
    <row r="1381" spans="1:16" s="28" customFormat="1" x14ac:dyDescent="0.25">
      <c r="A1381" s="56"/>
      <c r="B1381" s="61"/>
      <c r="C1381" s="61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155"/>
    </row>
    <row r="1382" spans="1:16" s="28" customFormat="1" x14ac:dyDescent="0.25">
      <c r="A1382" s="56"/>
      <c r="B1382" s="61"/>
      <c r="C1382" s="61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155"/>
    </row>
    <row r="1383" spans="1:16" s="28" customFormat="1" x14ac:dyDescent="0.25">
      <c r="A1383" s="56"/>
      <c r="B1383" s="61"/>
      <c r="C1383" s="61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155"/>
    </row>
    <row r="1384" spans="1:16" s="28" customFormat="1" x14ac:dyDescent="0.25">
      <c r="A1384" s="56"/>
      <c r="B1384" s="61"/>
      <c r="C1384" s="61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155"/>
    </row>
    <row r="1385" spans="1:16" s="28" customFormat="1" x14ac:dyDescent="0.25">
      <c r="A1385" s="56"/>
      <c r="B1385" s="61"/>
      <c r="C1385" s="61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155"/>
    </row>
    <row r="1386" spans="1:16" s="28" customFormat="1" x14ac:dyDescent="0.25">
      <c r="A1386" s="56"/>
      <c r="B1386" s="61"/>
      <c r="C1386" s="61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155"/>
    </row>
    <row r="1387" spans="1:16" s="28" customFormat="1" x14ac:dyDescent="0.25">
      <c r="A1387" s="56"/>
      <c r="B1387" s="61"/>
      <c r="C1387" s="61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155"/>
    </row>
    <row r="1388" spans="1:16" s="28" customFormat="1" x14ac:dyDescent="0.25">
      <c r="A1388" s="56"/>
      <c r="B1388" s="61"/>
      <c r="C1388" s="61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155"/>
    </row>
    <row r="1389" spans="1:16" s="28" customFormat="1" x14ac:dyDescent="0.25">
      <c r="A1389" s="56"/>
      <c r="B1389" s="61"/>
      <c r="C1389" s="61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155"/>
    </row>
    <row r="1390" spans="1:16" s="28" customFormat="1" x14ac:dyDescent="0.25">
      <c r="A1390" s="56"/>
      <c r="B1390" s="61"/>
      <c r="C1390" s="61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155"/>
    </row>
    <row r="1391" spans="1:16" s="28" customFormat="1" x14ac:dyDescent="0.25">
      <c r="A1391" s="56"/>
      <c r="B1391" s="61"/>
      <c r="C1391" s="61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155"/>
    </row>
    <row r="1392" spans="1:16" s="28" customFormat="1" x14ac:dyDescent="0.25">
      <c r="A1392" s="56"/>
      <c r="B1392" s="61"/>
      <c r="C1392" s="61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155"/>
    </row>
    <row r="1393" spans="1:16" s="28" customFormat="1" x14ac:dyDescent="0.25">
      <c r="A1393" s="56"/>
      <c r="B1393" s="61"/>
      <c r="C1393" s="61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155"/>
    </row>
    <row r="1394" spans="1:16" s="28" customFormat="1" x14ac:dyDescent="0.25">
      <c r="A1394" s="56"/>
      <c r="B1394" s="61"/>
      <c r="C1394" s="61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155"/>
    </row>
    <row r="1395" spans="1:16" s="28" customFormat="1" x14ac:dyDescent="0.25">
      <c r="A1395" s="56"/>
      <c r="B1395" s="61"/>
      <c r="C1395" s="61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155"/>
    </row>
    <row r="1396" spans="1:16" s="28" customFormat="1" x14ac:dyDescent="0.25">
      <c r="A1396" s="56"/>
      <c r="B1396" s="61"/>
      <c r="C1396" s="61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155"/>
    </row>
    <row r="1397" spans="1:16" s="28" customFormat="1" x14ac:dyDescent="0.25">
      <c r="A1397" s="56"/>
      <c r="B1397" s="61"/>
      <c r="C1397" s="61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155"/>
    </row>
    <row r="1398" spans="1:16" s="28" customFormat="1" x14ac:dyDescent="0.25">
      <c r="A1398" s="56"/>
      <c r="B1398" s="61"/>
      <c r="C1398" s="61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155"/>
    </row>
    <row r="1399" spans="1:16" s="28" customFormat="1" x14ac:dyDescent="0.25">
      <c r="A1399" s="56"/>
      <c r="B1399" s="61"/>
      <c r="C1399" s="61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155"/>
    </row>
    <row r="1400" spans="1:16" s="28" customFormat="1" x14ac:dyDescent="0.25">
      <c r="A1400" s="56"/>
      <c r="B1400" s="61"/>
      <c r="C1400" s="61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155"/>
    </row>
    <row r="1401" spans="1:16" s="28" customFormat="1" x14ac:dyDescent="0.25">
      <c r="A1401" s="56"/>
      <c r="B1401" s="61"/>
      <c r="C1401" s="61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155"/>
    </row>
    <row r="1402" spans="1:16" s="28" customFormat="1" x14ac:dyDescent="0.25">
      <c r="A1402" s="56"/>
      <c r="B1402" s="61"/>
      <c r="C1402" s="61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155"/>
    </row>
    <row r="1403" spans="1:16" s="28" customFormat="1" x14ac:dyDescent="0.25">
      <c r="A1403" s="56"/>
      <c r="B1403" s="61"/>
      <c r="C1403" s="61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155"/>
    </row>
    <row r="1404" spans="1:16" s="28" customFormat="1" x14ac:dyDescent="0.25">
      <c r="A1404" s="56"/>
      <c r="B1404" s="61"/>
      <c r="C1404" s="61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155"/>
    </row>
    <row r="1405" spans="1:16" s="28" customFormat="1" x14ac:dyDescent="0.25">
      <c r="A1405" s="56"/>
      <c r="B1405" s="61"/>
      <c r="C1405" s="61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155"/>
    </row>
    <row r="1406" spans="1:16" s="28" customFormat="1" x14ac:dyDescent="0.25">
      <c r="A1406" s="56"/>
      <c r="B1406" s="61"/>
      <c r="C1406" s="61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155"/>
    </row>
    <row r="1407" spans="1:16" s="28" customFormat="1" x14ac:dyDescent="0.25">
      <c r="A1407" s="56"/>
      <c r="B1407" s="61"/>
      <c r="C1407" s="61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155"/>
    </row>
    <row r="1408" spans="1:16" s="28" customFormat="1" x14ac:dyDescent="0.25">
      <c r="A1408" s="56"/>
      <c r="B1408" s="61"/>
      <c r="C1408" s="61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155"/>
    </row>
    <row r="1409" spans="1:16" s="28" customFormat="1" x14ac:dyDescent="0.25">
      <c r="A1409" s="56"/>
      <c r="B1409" s="61"/>
      <c r="C1409" s="61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155"/>
    </row>
    <row r="1410" spans="1:16" s="28" customFormat="1" x14ac:dyDescent="0.25">
      <c r="A1410" s="56"/>
      <c r="B1410" s="61"/>
      <c r="C1410" s="61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155"/>
    </row>
    <row r="1411" spans="1:16" s="28" customFormat="1" x14ac:dyDescent="0.25">
      <c r="A1411" s="56"/>
      <c r="B1411" s="61"/>
      <c r="C1411" s="61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155"/>
    </row>
    <row r="1412" spans="1:16" s="28" customFormat="1" x14ac:dyDescent="0.25">
      <c r="A1412" s="56"/>
      <c r="B1412" s="61"/>
      <c r="C1412" s="61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155"/>
    </row>
    <row r="1413" spans="1:16" s="28" customFormat="1" x14ac:dyDescent="0.25">
      <c r="A1413" s="56"/>
      <c r="B1413" s="61"/>
      <c r="C1413" s="61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155"/>
    </row>
    <row r="1414" spans="1:16" s="28" customFormat="1" x14ac:dyDescent="0.25">
      <c r="A1414" s="56"/>
      <c r="B1414" s="61"/>
      <c r="C1414" s="61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155"/>
    </row>
    <row r="1415" spans="1:16" s="28" customFormat="1" x14ac:dyDescent="0.25">
      <c r="A1415" s="56"/>
      <c r="B1415" s="61"/>
      <c r="C1415" s="61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155"/>
    </row>
    <row r="1416" spans="1:16" s="28" customFormat="1" x14ac:dyDescent="0.25">
      <c r="A1416" s="56"/>
      <c r="B1416" s="61"/>
      <c r="C1416" s="61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155"/>
    </row>
    <row r="1417" spans="1:16" s="28" customFormat="1" x14ac:dyDescent="0.25">
      <c r="A1417" s="56"/>
      <c r="B1417" s="61"/>
      <c r="C1417" s="61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155"/>
    </row>
    <row r="1418" spans="1:16" s="28" customFormat="1" x14ac:dyDescent="0.25">
      <c r="A1418" s="56"/>
      <c r="B1418" s="61"/>
      <c r="C1418" s="61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155"/>
    </row>
    <row r="1419" spans="1:16" s="28" customFormat="1" x14ac:dyDescent="0.25">
      <c r="A1419" s="56"/>
      <c r="B1419" s="61"/>
      <c r="C1419" s="61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155"/>
    </row>
    <row r="1420" spans="1:16" s="28" customFormat="1" x14ac:dyDescent="0.25">
      <c r="A1420" s="56"/>
      <c r="B1420" s="61"/>
      <c r="C1420" s="61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155"/>
    </row>
    <row r="1421" spans="1:16" s="28" customFormat="1" x14ac:dyDescent="0.25">
      <c r="A1421" s="56"/>
      <c r="B1421" s="61"/>
      <c r="C1421" s="61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155"/>
    </row>
    <row r="1422" spans="1:16" s="28" customFormat="1" x14ac:dyDescent="0.25">
      <c r="A1422" s="56"/>
      <c r="B1422" s="61"/>
      <c r="C1422" s="61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155"/>
    </row>
    <row r="1423" spans="1:16" s="28" customFormat="1" x14ac:dyDescent="0.25">
      <c r="A1423" s="56"/>
      <c r="B1423" s="61"/>
      <c r="C1423" s="61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155"/>
    </row>
    <row r="1424" spans="1:16" s="28" customFormat="1" x14ac:dyDescent="0.25">
      <c r="A1424" s="56"/>
      <c r="B1424" s="61"/>
      <c r="C1424" s="61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155"/>
    </row>
    <row r="1425" spans="1:16" s="28" customFormat="1" x14ac:dyDescent="0.25">
      <c r="A1425" s="56"/>
      <c r="B1425" s="61"/>
      <c r="C1425" s="61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155"/>
    </row>
    <row r="1426" spans="1:16" s="28" customFormat="1" x14ac:dyDescent="0.25">
      <c r="A1426" s="56"/>
      <c r="B1426" s="61"/>
      <c r="C1426" s="61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155"/>
    </row>
    <row r="1427" spans="1:16" s="28" customFormat="1" x14ac:dyDescent="0.25">
      <c r="A1427" s="56"/>
      <c r="B1427" s="61"/>
      <c r="C1427" s="61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155"/>
    </row>
    <row r="1428" spans="1:16" s="28" customFormat="1" x14ac:dyDescent="0.25">
      <c r="A1428" s="56"/>
      <c r="B1428" s="61"/>
      <c r="C1428" s="61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155"/>
    </row>
    <row r="1429" spans="1:16" s="28" customFormat="1" x14ac:dyDescent="0.25">
      <c r="A1429" s="56"/>
      <c r="B1429" s="61"/>
      <c r="C1429" s="61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155"/>
    </row>
    <row r="1430" spans="1:16" s="28" customFormat="1" x14ac:dyDescent="0.25">
      <c r="A1430" s="56"/>
      <c r="B1430" s="61"/>
      <c r="C1430" s="61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155"/>
    </row>
    <row r="1431" spans="1:16" s="28" customFormat="1" x14ac:dyDescent="0.25">
      <c r="A1431" s="56"/>
      <c r="B1431" s="61"/>
      <c r="C1431" s="61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155"/>
    </row>
    <row r="1432" spans="1:16" s="28" customFormat="1" x14ac:dyDescent="0.25">
      <c r="A1432" s="56"/>
      <c r="B1432" s="61"/>
      <c r="C1432" s="61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155"/>
    </row>
    <row r="1433" spans="1:16" s="28" customFormat="1" x14ac:dyDescent="0.25">
      <c r="A1433" s="56"/>
      <c r="B1433" s="61"/>
      <c r="C1433" s="61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155"/>
    </row>
    <row r="1434" spans="1:16" s="28" customFormat="1" x14ac:dyDescent="0.25">
      <c r="A1434" s="56"/>
      <c r="B1434" s="61"/>
      <c r="C1434" s="61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155"/>
    </row>
    <row r="1435" spans="1:16" s="28" customFormat="1" x14ac:dyDescent="0.25">
      <c r="A1435" s="56"/>
      <c r="B1435" s="61"/>
      <c r="C1435" s="61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155"/>
    </row>
    <row r="1436" spans="1:16" s="28" customFormat="1" x14ac:dyDescent="0.25">
      <c r="A1436" s="56"/>
      <c r="B1436" s="61"/>
      <c r="C1436" s="61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155"/>
    </row>
    <row r="1437" spans="1:16" s="28" customFormat="1" x14ac:dyDescent="0.25">
      <c r="A1437" s="56"/>
      <c r="B1437" s="61"/>
      <c r="C1437" s="61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155"/>
    </row>
    <row r="1438" spans="1:16" s="28" customFormat="1" x14ac:dyDescent="0.25">
      <c r="A1438" s="56"/>
      <c r="B1438" s="61"/>
      <c r="C1438" s="61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155"/>
    </row>
    <row r="1439" spans="1:16" s="28" customFormat="1" x14ac:dyDescent="0.25">
      <c r="A1439" s="56"/>
      <c r="B1439" s="61"/>
      <c r="C1439" s="61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155"/>
    </row>
    <row r="1440" spans="1:16" s="28" customFormat="1" x14ac:dyDescent="0.25">
      <c r="A1440" s="56"/>
      <c r="B1440" s="61"/>
      <c r="C1440" s="61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155"/>
    </row>
    <row r="1441" spans="1:16" s="28" customFormat="1" x14ac:dyDescent="0.25">
      <c r="A1441" s="56"/>
      <c r="B1441" s="61"/>
      <c r="C1441" s="61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155"/>
    </row>
    <row r="1442" spans="1:16" s="28" customFormat="1" x14ac:dyDescent="0.25">
      <c r="A1442" s="56"/>
      <c r="B1442" s="61"/>
      <c r="C1442" s="61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155"/>
    </row>
    <row r="1443" spans="1:16" s="28" customFormat="1" x14ac:dyDescent="0.25">
      <c r="A1443" s="56"/>
      <c r="B1443" s="61"/>
      <c r="C1443" s="61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155"/>
    </row>
    <row r="1444" spans="1:16" s="28" customFormat="1" x14ac:dyDescent="0.25">
      <c r="A1444" s="56"/>
      <c r="B1444" s="61"/>
      <c r="C1444" s="61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155"/>
    </row>
    <row r="1445" spans="1:16" s="28" customFormat="1" x14ac:dyDescent="0.25">
      <c r="A1445" s="56"/>
      <c r="B1445" s="61"/>
      <c r="C1445" s="61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155"/>
    </row>
    <row r="1446" spans="1:16" s="28" customFormat="1" x14ac:dyDescent="0.25">
      <c r="A1446" s="56"/>
      <c r="B1446" s="61"/>
      <c r="C1446" s="61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155"/>
    </row>
    <row r="1447" spans="1:16" s="28" customFormat="1" x14ac:dyDescent="0.25">
      <c r="A1447" s="56"/>
      <c r="B1447" s="61"/>
      <c r="C1447" s="61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155"/>
    </row>
    <row r="1448" spans="1:16" s="28" customFormat="1" x14ac:dyDescent="0.25">
      <c r="A1448" s="56"/>
      <c r="B1448" s="61"/>
      <c r="C1448" s="61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155"/>
    </row>
    <row r="1449" spans="1:16" s="28" customFormat="1" x14ac:dyDescent="0.25">
      <c r="A1449" s="56"/>
      <c r="B1449" s="61"/>
      <c r="C1449" s="61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155"/>
    </row>
    <row r="1450" spans="1:16" s="28" customFormat="1" x14ac:dyDescent="0.25">
      <c r="A1450" s="56"/>
      <c r="B1450" s="61"/>
      <c r="C1450" s="61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155"/>
    </row>
    <row r="1451" spans="1:16" s="28" customFormat="1" x14ac:dyDescent="0.25">
      <c r="A1451" s="56"/>
      <c r="B1451" s="61"/>
      <c r="C1451" s="61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155"/>
    </row>
    <row r="1452" spans="1:16" s="28" customFormat="1" x14ac:dyDescent="0.25">
      <c r="A1452" s="56"/>
      <c r="B1452" s="61"/>
      <c r="C1452" s="61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155"/>
    </row>
    <row r="1453" spans="1:16" s="28" customFormat="1" x14ac:dyDescent="0.25">
      <c r="A1453" s="56"/>
      <c r="B1453" s="61"/>
      <c r="C1453" s="61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155"/>
    </row>
    <row r="1454" spans="1:16" s="28" customFormat="1" x14ac:dyDescent="0.25">
      <c r="A1454" s="56"/>
      <c r="B1454" s="61"/>
      <c r="C1454" s="61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155"/>
    </row>
    <row r="1455" spans="1:16" s="28" customFormat="1" x14ac:dyDescent="0.25">
      <c r="A1455" s="56"/>
      <c r="B1455" s="61"/>
      <c r="C1455" s="61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155"/>
    </row>
    <row r="1456" spans="1:16" s="28" customFormat="1" x14ac:dyDescent="0.25">
      <c r="A1456" s="56"/>
      <c r="B1456" s="61"/>
      <c r="C1456" s="61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155"/>
    </row>
    <row r="1457" spans="1:16" s="28" customFormat="1" x14ac:dyDescent="0.25">
      <c r="A1457" s="56"/>
      <c r="B1457" s="61"/>
      <c r="C1457" s="61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155"/>
    </row>
    <row r="1458" spans="1:16" s="28" customFormat="1" x14ac:dyDescent="0.25">
      <c r="A1458" s="56"/>
      <c r="B1458" s="61"/>
      <c r="C1458" s="61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155"/>
    </row>
    <row r="1459" spans="1:16" s="28" customFormat="1" x14ac:dyDescent="0.25">
      <c r="A1459" s="56"/>
      <c r="B1459" s="61"/>
      <c r="C1459" s="61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155"/>
    </row>
    <row r="1460" spans="1:16" s="28" customFormat="1" x14ac:dyDescent="0.25">
      <c r="A1460" s="56"/>
      <c r="B1460" s="61"/>
      <c r="C1460" s="61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155"/>
    </row>
    <row r="1461" spans="1:16" s="28" customFormat="1" x14ac:dyDescent="0.25">
      <c r="A1461" s="56"/>
      <c r="B1461" s="61"/>
      <c r="C1461" s="61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155"/>
    </row>
    <row r="1462" spans="1:16" s="28" customFormat="1" x14ac:dyDescent="0.25">
      <c r="A1462" s="56"/>
      <c r="B1462" s="61"/>
      <c r="C1462" s="61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155"/>
    </row>
    <row r="1463" spans="1:16" s="28" customFormat="1" x14ac:dyDescent="0.25">
      <c r="A1463" s="56"/>
      <c r="B1463" s="61"/>
      <c r="C1463" s="61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155"/>
    </row>
    <row r="1464" spans="1:16" s="28" customFormat="1" x14ac:dyDescent="0.25">
      <c r="A1464" s="56"/>
      <c r="B1464" s="61"/>
      <c r="C1464" s="61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155"/>
    </row>
    <row r="1465" spans="1:16" s="28" customFormat="1" x14ac:dyDescent="0.25">
      <c r="A1465" s="56"/>
      <c r="B1465" s="61"/>
      <c r="C1465" s="61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155"/>
    </row>
    <row r="1466" spans="1:16" s="28" customFormat="1" x14ac:dyDescent="0.25">
      <c r="A1466" s="56"/>
      <c r="B1466" s="61"/>
      <c r="C1466" s="61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155"/>
    </row>
    <row r="1467" spans="1:16" s="28" customFormat="1" x14ac:dyDescent="0.25">
      <c r="A1467" s="56"/>
      <c r="B1467" s="61"/>
      <c r="C1467" s="61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155"/>
    </row>
    <row r="1468" spans="1:16" s="28" customFormat="1" x14ac:dyDescent="0.25">
      <c r="A1468" s="56"/>
      <c r="B1468" s="61"/>
      <c r="C1468" s="61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155"/>
    </row>
    <row r="1469" spans="1:16" s="28" customFormat="1" x14ac:dyDescent="0.25">
      <c r="A1469" s="56"/>
      <c r="B1469" s="61"/>
      <c r="C1469" s="61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155"/>
    </row>
    <row r="1470" spans="1:16" s="28" customFormat="1" x14ac:dyDescent="0.25">
      <c r="A1470" s="56"/>
      <c r="B1470" s="61"/>
      <c r="C1470" s="61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155"/>
    </row>
    <row r="1471" spans="1:16" s="28" customFormat="1" x14ac:dyDescent="0.25">
      <c r="A1471" s="56"/>
      <c r="B1471" s="61"/>
      <c r="C1471" s="61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155"/>
    </row>
    <row r="1472" spans="1:16" s="28" customFormat="1" x14ac:dyDescent="0.25">
      <c r="A1472" s="56"/>
      <c r="B1472" s="61"/>
      <c r="C1472" s="61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155"/>
    </row>
    <row r="1473" spans="1:16" s="28" customFormat="1" x14ac:dyDescent="0.25">
      <c r="A1473" s="56"/>
      <c r="B1473" s="61"/>
      <c r="C1473" s="61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155"/>
    </row>
    <row r="1474" spans="1:16" s="28" customFormat="1" x14ac:dyDescent="0.25">
      <c r="A1474" s="56"/>
      <c r="B1474" s="61"/>
      <c r="C1474" s="61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155"/>
    </row>
    <row r="1475" spans="1:16" s="28" customFormat="1" x14ac:dyDescent="0.25">
      <c r="A1475" s="56"/>
      <c r="B1475" s="61"/>
      <c r="C1475" s="61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155"/>
    </row>
    <row r="1476" spans="1:16" s="28" customFormat="1" x14ac:dyDescent="0.25">
      <c r="A1476" s="56"/>
      <c r="B1476" s="61"/>
      <c r="C1476" s="61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155"/>
    </row>
    <row r="1477" spans="1:16" s="28" customFormat="1" x14ac:dyDescent="0.25">
      <c r="A1477" s="56"/>
      <c r="B1477" s="61"/>
      <c r="C1477" s="61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155"/>
    </row>
    <row r="1478" spans="1:16" s="28" customFormat="1" x14ac:dyDescent="0.25">
      <c r="A1478" s="56"/>
      <c r="B1478" s="61"/>
      <c r="C1478" s="61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155"/>
    </row>
    <row r="1479" spans="1:16" s="28" customFormat="1" x14ac:dyDescent="0.25">
      <c r="A1479" s="56"/>
      <c r="B1479" s="61"/>
      <c r="C1479" s="61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155"/>
    </row>
    <row r="1480" spans="1:16" s="28" customFormat="1" x14ac:dyDescent="0.25">
      <c r="A1480" s="56"/>
      <c r="B1480" s="61"/>
      <c r="C1480" s="61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155"/>
    </row>
    <row r="1481" spans="1:16" s="28" customFormat="1" x14ac:dyDescent="0.25">
      <c r="A1481" s="56"/>
      <c r="B1481" s="61"/>
      <c r="C1481" s="61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155"/>
    </row>
    <row r="1482" spans="1:16" s="28" customFormat="1" x14ac:dyDescent="0.25">
      <c r="A1482" s="56"/>
      <c r="B1482" s="61"/>
      <c r="C1482" s="61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155"/>
    </row>
    <row r="1483" spans="1:16" s="28" customFormat="1" x14ac:dyDescent="0.25">
      <c r="A1483" s="56"/>
      <c r="B1483" s="61"/>
      <c r="C1483" s="61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155"/>
    </row>
    <row r="1484" spans="1:16" s="28" customFormat="1" x14ac:dyDescent="0.25">
      <c r="A1484" s="56"/>
      <c r="B1484" s="61"/>
      <c r="C1484" s="61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155"/>
    </row>
    <row r="1485" spans="1:16" s="28" customFormat="1" x14ac:dyDescent="0.25">
      <c r="A1485" s="56"/>
      <c r="B1485" s="61"/>
      <c r="C1485" s="61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155"/>
    </row>
    <row r="1486" spans="1:16" s="28" customFormat="1" x14ac:dyDescent="0.25">
      <c r="A1486" s="56"/>
      <c r="B1486" s="61"/>
      <c r="C1486" s="61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155"/>
    </row>
    <row r="1487" spans="1:16" s="28" customFormat="1" x14ac:dyDescent="0.25">
      <c r="A1487" s="56"/>
      <c r="B1487" s="61"/>
      <c r="C1487" s="61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155"/>
    </row>
    <row r="1488" spans="1:16" s="28" customFormat="1" x14ac:dyDescent="0.25">
      <c r="A1488" s="56"/>
      <c r="B1488" s="61"/>
      <c r="C1488" s="61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155"/>
    </row>
    <row r="1489" spans="1:16" s="28" customFormat="1" x14ac:dyDescent="0.25">
      <c r="A1489" s="56"/>
      <c r="B1489" s="61"/>
      <c r="C1489" s="61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155"/>
    </row>
    <row r="1490" spans="1:16" s="28" customFormat="1" x14ac:dyDescent="0.25">
      <c r="A1490" s="56"/>
      <c r="B1490" s="61"/>
      <c r="C1490" s="61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155"/>
    </row>
    <row r="1491" spans="1:16" s="28" customFormat="1" x14ac:dyDescent="0.25">
      <c r="A1491" s="56"/>
      <c r="B1491" s="61"/>
      <c r="C1491" s="61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155"/>
    </row>
    <row r="1492" spans="1:16" s="28" customFormat="1" x14ac:dyDescent="0.25">
      <c r="A1492" s="56"/>
      <c r="B1492" s="61"/>
      <c r="C1492" s="61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155"/>
    </row>
    <row r="1493" spans="1:16" s="28" customFormat="1" x14ac:dyDescent="0.25">
      <c r="A1493" s="56"/>
      <c r="B1493" s="61"/>
      <c r="C1493" s="61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155"/>
    </row>
    <row r="1494" spans="1:16" s="28" customFormat="1" x14ac:dyDescent="0.25">
      <c r="A1494" s="56"/>
      <c r="B1494" s="61"/>
      <c r="C1494" s="61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155"/>
    </row>
    <row r="1495" spans="1:16" s="28" customFormat="1" x14ac:dyDescent="0.25">
      <c r="A1495" s="56"/>
      <c r="B1495" s="61"/>
      <c r="C1495" s="61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155"/>
    </row>
    <row r="1496" spans="1:16" s="28" customFormat="1" x14ac:dyDescent="0.25">
      <c r="A1496" s="56"/>
      <c r="B1496" s="61"/>
      <c r="C1496" s="61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155"/>
    </row>
    <row r="1497" spans="1:16" s="28" customFormat="1" x14ac:dyDescent="0.25">
      <c r="A1497" s="56"/>
      <c r="B1497" s="61"/>
      <c r="C1497" s="61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155"/>
    </row>
    <row r="1498" spans="1:16" s="28" customFormat="1" x14ac:dyDescent="0.25">
      <c r="A1498" s="56"/>
      <c r="B1498" s="61"/>
      <c r="C1498" s="61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155"/>
    </row>
    <row r="1499" spans="1:16" s="28" customFormat="1" x14ac:dyDescent="0.25">
      <c r="A1499" s="56"/>
      <c r="B1499" s="61"/>
      <c r="C1499" s="61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155"/>
    </row>
    <row r="1500" spans="1:16" s="28" customFormat="1" x14ac:dyDescent="0.25">
      <c r="A1500" s="56"/>
      <c r="B1500" s="61"/>
      <c r="C1500" s="61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155"/>
    </row>
    <row r="1501" spans="1:16" s="28" customFormat="1" x14ac:dyDescent="0.25">
      <c r="A1501" s="56"/>
      <c r="B1501" s="61"/>
      <c r="C1501" s="61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155"/>
    </row>
    <row r="1502" spans="1:16" s="28" customFormat="1" x14ac:dyDescent="0.25">
      <c r="A1502" s="56"/>
      <c r="B1502" s="61"/>
      <c r="C1502" s="61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155"/>
    </row>
    <row r="1503" spans="1:16" s="28" customFormat="1" x14ac:dyDescent="0.25">
      <c r="A1503" s="56"/>
      <c r="B1503" s="61"/>
      <c r="C1503" s="61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155"/>
    </row>
    <row r="1504" spans="1:16" s="28" customFormat="1" x14ac:dyDescent="0.25">
      <c r="A1504" s="56"/>
      <c r="B1504" s="61"/>
      <c r="C1504" s="61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155"/>
    </row>
    <row r="1505" spans="1:16" s="28" customFormat="1" x14ac:dyDescent="0.25">
      <c r="A1505" s="56"/>
      <c r="B1505" s="61"/>
      <c r="C1505" s="61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155"/>
    </row>
    <row r="1506" spans="1:16" s="28" customFormat="1" x14ac:dyDescent="0.25">
      <c r="A1506" s="56"/>
      <c r="B1506" s="61"/>
      <c r="C1506" s="61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155"/>
    </row>
    <row r="1507" spans="1:16" s="28" customFormat="1" x14ac:dyDescent="0.25">
      <c r="A1507" s="56"/>
      <c r="B1507" s="61"/>
      <c r="C1507" s="61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155"/>
    </row>
    <row r="1508" spans="1:16" s="28" customFormat="1" x14ac:dyDescent="0.25">
      <c r="A1508" s="56"/>
      <c r="B1508" s="61"/>
      <c r="C1508" s="61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155"/>
    </row>
    <row r="1509" spans="1:16" s="28" customFormat="1" x14ac:dyDescent="0.25">
      <c r="A1509" s="56"/>
      <c r="B1509" s="61"/>
      <c r="C1509" s="61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155"/>
    </row>
    <row r="1510" spans="1:16" s="28" customFormat="1" x14ac:dyDescent="0.25">
      <c r="A1510" s="56"/>
      <c r="B1510" s="61"/>
      <c r="C1510" s="61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155"/>
    </row>
    <row r="1511" spans="1:16" s="28" customFormat="1" x14ac:dyDescent="0.25">
      <c r="A1511" s="56"/>
      <c r="B1511" s="61"/>
      <c r="C1511" s="61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155"/>
    </row>
    <row r="1512" spans="1:16" s="28" customFormat="1" x14ac:dyDescent="0.25">
      <c r="A1512" s="56"/>
      <c r="B1512" s="61"/>
      <c r="C1512" s="61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155"/>
    </row>
    <row r="1513" spans="1:16" s="28" customFormat="1" x14ac:dyDescent="0.25">
      <c r="A1513" s="56"/>
      <c r="B1513" s="61"/>
      <c r="C1513" s="61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155"/>
    </row>
    <row r="1514" spans="1:16" s="28" customFormat="1" x14ac:dyDescent="0.25">
      <c r="A1514" s="56"/>
      <c r="B1514" s="61"/>
      <c r="C1514" s="61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155"/>
    </row>
    <row r="1515" spans="1:16" s="28" customFormat="1" x14ac:dyDescent="0.25">
      <c r="A1515" s="56"/>
      <c r="B1515" s="61"/>
      <c r="C1515" s="61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155"/>
    </row>
    <row r="1516" spans="1:16" s="28" customFormat="1" x14ac:dyDescent="0.25">
      <c r="A1516" s="56"/>
      <c r="B1516" s="61"/>
      <c r="C1516" s="61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155"/>
    </row>
    <row r="1517" spans="1:16" s="28" customFormat="1" x14ac:dyDescent="0.25">
      <c r="A1517" s="56"/>
      <c r="B1517" s="61"/>
      <c r="C1517" s="61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155"/>
    </row>
    <row r="1518" spans="1:16" s="28" customFormat="1" x14ac:dyDescent="0.25">
      <c r="A1518" s="56"/>
      <c r="B1518" s="61"/>
      <c r="C1518" s="61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155"/>
    </row>
    <row r="1519" spans="1:16" s="28" customFormat="1" x14ac:dyDescent="0.25">
      <c r="A1519" s="56"/>
      <c r="B1519" s="61"/>
      <c r="C1519" s="61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155"/>
    </row>
    <row r="1520" spans="1:16" s="28" customFormat="1" x14ac:dyDescent="0.25">
      <c r="A1520" s="56"/>
      <c r="B1520" s="61"/>
      <c r="C1520" s="61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155"/>
    </row>
    <row r="1521" spans="1:16" s="28" customFormat="1" x14ac:dyDescent="0.25">
      <c r="A1521" s="56"/>
      <c r="B1521" s="61"/>
      <c r="C1521" s="61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155"/>
    </row>
    <row r="1522" spans="1:16" s="28" customFormat="1" x14ac:dyDescent="0.25">
      <c r="A1522" s="56"/>
      <c r="B1522" s="61"/>
      <c r="C1522" s="61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155"/>
    </row>
    <row r="1523" spans="1:16" s="28" customFormat="1" x14ac:dyDescent="0.25">
      <c r="A1523" s="56"/>
      <c r="B1523" s="61"/>
      <c r="C1523" s="61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155"/>
    </row>
    <row r="1524" spans="1:16" s="28" customFormat="1" x14ac:dyDescent="0.25">
      <c r="A1524" s="56"/>
      <c r="B1524" s="61"/>
      <c r="C1524" s="61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155"/>
    </row>
    <row r="1525" spans="1:16" s="28" customFormat="1" x14ac:dyDescent="0.25">
      <c r="A1525" s="56"/>
      <c r="B1525" s="61"/>
      <c r="C1525" s="61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155"/>
    </row>
    <row r="1526" spans="1:16" s="28" customFormat="1" x14ac:dyDescent="0.25">
      <c r="A1526" s="56"/>
      <c r="B1526" s="61"/>
      <c r="C1526" s="61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155"/>
    </row>
    <row r="1527" spans="1:16" s="28" customFormat="1" x14ac:dyDescent="0.25">
      <c r="A1527" s="56"/>
      <c r="B1527" s="61"/>
      <c r="C1527" s="61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155"/>
    </row>
    <row r="1528" spans="1:16" s="28" customFormat="1" x14ac:dyDescent="0.25">
      <c r="A1528" s="56"/>
      <c r="B1528" s="61"/>
      <c r="C1528" s="61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155"/>
    </row>
    <row r="1529" spans="1:16" s="28" customFormat="1" x14ac:dyDescent="0.25">
      <c r="A1529" s="56"/>
      <c r="B1529" s="61"/>
      <c r="C1529" s="61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155"/>
    </row>
    <row r="1530" spans="1:16" s="28" customFormat="1" x14ac:dyDescent="0.25">
      <c r="A1530" s="56"/>
      <c r="B1530" s="61"/>
      <c r="C1530" s="61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155"/>
    </row>
    <row r="1531" spans="1:16" s="28" customFormat="1" x14ac:dyDescent="0.25">
      <c r="A1531" s="56"/>
      <c r="B1531" s="61"/>
      <c r="C1531" s="61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155"/>
    </row>
    <row r="1532" spans="1:16" s="28" customFormat="1" x14ac:dyDescent="0.25">
      <c r="A1532" s="56"/>
      <c r="B1532" s="61"/>
      <c r="C1532" s="61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155"/>
    </row>
    <row r="1533" spans="1:16" s="28" customFormat="1" x14ac:dyDescent="0.25">
      <c r="A1533" s="56"/>
      <c r="B1533" s="61"/>
      <c r="C1533" s="61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155"/>
    </row>
    <row r="1534" spans="1:16" s="28" customFormat="1" x14ac:dyDescent="0.25">
      <c r="A1534" s="56"/>
      <c r="B1534" s="61"/>
      <c r="C1534" s="61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155"/>
    </row>
    <row r="1535" spans="1:16" s="28" customFormat="1" x14ac:dyDescent="0.25">
      <c r="A1535" s="56"/>
      <c r="B1535" s="61"/>
      <c r="C1535" s="61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155"/>
    </row>
    <row r="1536" spans="1:16" s="28" customFormat="1" x14ac:dyDescent="0.25">
      <c r="A1536" s="56"/>
      <c r="B1536" s="61"/>
      <c r="C1536" s="61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155"/>
    </row>
    <row r="1537" spans="1:16" s="28" customFormat="1" x14ac:dyDescent="0.25">
      <c r="A1537" s="56"/>
      <c r="B1537" s="61"/>
      <c r="C1537" s="61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155"/>
    </row>
    <row r="1538" spans="1:16" s="28" customFormat="1" x14ac:dyDescent="0.25">
      <c r="A1538" s="56"/>
      <c r="B1538" s="61"/>
      <c r="C1538" s="61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155"/>
    </row>
    <row r="1539" spans="1:16" s="28" customFormat="1" x14ac:dyDescent="0.25">
      <c r="A1539" s="56"/>
      <c r="B1539" s="61"/>
      <c r="C1539" s="61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155"/>
    </row>
    <row r="1540" spans="1:16" s="28" customFormat="1" x14ac:dyDescent="0.25">
      <c r="A1540" s="56"/>
      <c r="B1540" s="61"/>
      <c r="C1540" s="61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155"/>
    </row>
    <row r="1541" spans="1:16" s="28" customFormat="1" x14ac:dyDescent="0.25">
      <c r="A1541" s="56"/>
      <c r="B1541" s="61"/>
      <c r="C1541" s="61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155"/>
    </row>
    <row r="1542" spans="1:16" s="28" customFormat="1" x14ac:dyDescent="0.25">
      <c r="A1542" s="56"/>
      <c r="B1542" s="61"/>
      <c r="C1542" s="61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155"/>
    </row>
    <row r="1543" spans="1:16" s="28" customFormat="1" x14ac:dyDescent="0.25">
      <c r="A1543" s="56"/>
      <c r="B1543" s="61"/>
      <c r="C1543" s="61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155"/>
    </row>
    <row r="1544" spans="1:16" s="28" customFormat="1" x14ac:dyDescent="0.25">
      <c r="A1544" s="56"/>
      <c r="B1544" s="61"/>
      <c r="C1544" s="61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155"/>
    </row>
    <row r="1545" spans="1:16" s="28" customFormat="1" x14ac:dyDescent="0.25">
      <c r="A1545" s="56"/>
      <c r="B1545" s="61"/>
      <c r="C1545" s="61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155"/>
    </row>
    <row r="1546" spans="1:16" s="28" customFormat="1" x14ac:dyDescent="0.25">
      <c r="A1546" s="56"/>
      <c r="B1546" s="61"/>
      <c r="C1546" s="61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155"/>
    </row>
    <row r="1547" spans="1:16" s="28" customFormat="1" x14ac:dyDescent="0.25">
      <c r="A1547" s="56"/>
      <c r="B1547" s="61"/>
      <c r="C1547" s="61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155"/>
    </row>
    <row r="1548" spans="1:16" s="28" customFormat="1" x14ac:dyDescent="0.25">
      <c r="A1548" s="56"/>
      <c r="B1548" s="61"/>
      <c r="C1548" s="61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155"/>
    </row>
    <row r="1549" spans="1:16" s="28" customFormat="1" x14ac:dyDescent="0.25">
      <c r="A1549" s="56"/>
      <c r="B1549" s="61"/>
      <c r="C1549" s="61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155"/>
    </row>
    <row r="1550" spans="1:16" s="28" customFormat="1" x14ac:dyDescent="0.25">
      <c r="A1550" s="56"/>
      <c r="B1550" s="61"/>
      <c r="C1550" s="61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155"/>
    </row>
    <row r="1551" spans="1:16" s="28" customFormat="1" x14ac:dyDescent="0.25">
      <c r="A1551" s="56"/>
      <c r="B1551" s="61"/>
      <c r="C1551" s="61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155"/>
    </row>
    <row r="1552" spans="1:16" s="28" customFormat="1" x14ac:dyDescent="0.25">
      <c r="A1552" s="56"/>
      <c r="B1552" s="61"/>
      <c r="C1552" s="61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155"/>
    </row>
    <row r="1553" spans="1:16" s="28" customFormat="1" x14ac:dyDescent="0.25">
      <c r="A1553" s="56"/>
      <c r="B1553" s="61"/>
      <c r="C1553" s="61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155"/>
    </row>
    <row r="1554" spans="1:16" s="28" customFormat="1" x14ac:dyDescent="0.25">
      <c r="A1554" s="56"/>
      <c r="B1554" s="61"/>
      <c r="C1554" s="61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155"/>
    </row>
    <row r="1555" spans="1:16" s="28" customFormat="1" x14ac:dyDescent="0.25">
      <c r="A1555" s="56"/>
      <c r="B1555" s="61"/>
      <c r="C1555" s="61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155"/>
    </row>
    <row r="1556" spans="1:16" s="28" customFormat="1" x14ac:dyDescent="0.25">
      <c r="A1556" s="56"/>
      <c r="B1556" s="61"/>
      <c r="C1556" s="61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155"/>
    </row>
    <row r="1557" spans="1:16" s="28" customFormat="1" x14ac:dyDescent="0.25">
      <c r="A1557" s="56"/>
      <c r="B1557" s="61"/>
      <c r="C1557" s="61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155"/>
    </row>
    <row r="1558" spans="1:16" s="28" customFormat="1" x14ac:dyDescent="0.25">
      <c r="A1558" s="56"/>
      <c r="B1558" s="61"/>
      <c r="C1558" s="61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155"/>
    </row>
    <row r="1559" spans="1:16" s="28" customFormat="1" x14ac:dyDescent="0.25">
      <c r="A1559" s="56"/>
      <c r="B1559" s="61"/>
      <c r="C1559" s="61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155"/>
    </row>
    <row r="1560" spans="1:16" s="28" customFormat="1" x14ac:dyDescent="0.25">
      <c r="A1560" s="56"/>
      <c r="B1560" s="61"/>
      <c r="C1560" s="61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155"/>
    </row>
    <row r="1561" spans="1:16" s="28" customFormat="1" x14ac:dyDescent="0.25">
      <c r="A1561" s="56"/>
      <c r="B1561" s="61"/>
      <c r="C1561" s="61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155"/>
    </row>
    <row r="1562" spans="1:16" s="28" customFormat="1" x14ac:dyDescent="0.25">
      <c r="A1562" s="56"/>
      <c r="B1562" s="61"/>
      <c r="C1562" s="61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155"/>
    </row>
    <row r="1563" spans="1:16" s="28" customFormat="1" x14ac:dyDescent="0.25">
      <c r="A1563" s="56"/>
      <c r="B1563" s="61"/>
      <c r="C1563" s="61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155"/>
    </row>
    <row r="1564" spans="1:16" s="28" customFormat="1" x14ac:dyDescent="0.25">
      <c r="A1564" s="56"/>
      <c r="B1564" s="61"/>
      <c r="C1564" s="61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155"/>
    </row>
    <row r="1565" spans="1:16" s="28" customFormat="1" x14ac:dyDescent="0.25">
      <c r="A1565" s="56"/>
      <c r="B1565" s="61"/>
      <c r="C1565" s="61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155"/>
    </row>
    <row r="1566" spans="1:16" s="28" customFormat="1" x14ac:dyDescent="0.25">
      <c r="A1566" s="56"/>
      <c r="B1566" s="61"/>
      <c r="C1566" s="61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155"/>
    </row>
    <row r="1567" spans="1:16" s="28" customFormat="1" x14ac:dyDescent="0.25">
      <c r="A1567" s="56"/>
      <c r="B1567" s="61"/>
      <c r="C1567" s="61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155"/>
    </row>
    <row r="1568" spans="1:16" s="28" customFormat="1" x14ac:dyDescent="0.25">
      <c r="A1568" s="56"/>
      <c r="B1568" s="61"/>
      <c r="C1568" s="61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155"/>
    </row>
    <row r="1569" spans="1:16" s="28" customFormat="1" x14ac:dyDescent="0.25">
      <c r="A1569" s="56"/>
      <c r="B1569" s="61"/>
      <c r="C1569" s="61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155"/>
    </row>
    <row r="1570" spans="1:16" s="28" customFormat="1" x14ac:dyDescent="0.25">
      <c r="A1570" s="56"/>
      <c r="B1570" s="61"/>
      <c r="C1570" s="61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155"/>
    </row>
    <row r="1571" spans="1:16" s="28" customFormat="1" x14ac:dyDescent="0.25">
      <c r="A1571" s="56"/>
      <c r="B1571" s="61"/>
      <c r="C1571" s="61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155"/>
    </row>
    <row r="1572" spans="1:16" s="28" customFormat="1" x14ac:dyDescent="0.25">
      <c r="A1572" s="56"/>
      <c r="B1572" s="61"/>
      <c r="C1572" s="61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155"/>
    </row>
    <row r="1573" spans="1:16" s="28" customFormat="1" x14ac:dyDescent="0.25">
      <c r="A1573" s="56"/>
      <c r="B1573" s="61"/>
      <c r="C1573" s="61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155"/>
    </row>
    <row r="1574" spans="1:16" s="28" customFormat="1" x14ac:dyDescent="0.25">
      <c r="A1574" s="56"/>
      <c r="B1574" s="61"/>
      <c r="C1574" s="61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155"/>
    </row>
    <row r="1575" spans="1:16" s="28" customFormat="1" x14ac:dyDescent="0.25">
      <c r="A1575" s="56"/>
      <c r="B1575" s="61"/>
      <c r="C1575" s="61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155"/>
    </row>
    <row r="1576" spans="1:16" s="28" customFormat="1" x14ac:dyDescent="0.25">
      <c r="A1576" s="56"/>
      <c r="B1576" s="61"/>
      <c r="C1576" s="61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155"/>
    </row>
    <row r="1577" spans="1:16" s="28" customFormat="1" x14ac:dyDescent="0.25">
      <c r="A1577" s="56"/>
      <c r="B1577" s="61"/>
      <c r="C1577" s="61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155"/>
    </row>
    <row r="1578" spans="1:16" s="28" customFormat="1" x14ac:dyDescent="0.25">
      <c r="A1578" s="56"/>
      <c r="B1578" s="61"/>
      <c r="C1578" s="61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155"/>
    </row>
    <row r="1579" spans="1:16" s="28" customFormat="1" x14ac:dyDescent="0.25">
      <c r="A1579" s="56"/>
      <c r="B1579" s="61"/>
      <c r="C1579" s="61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155"/>
    </row>
    <row r="1580" spans="1:16" s="28" customFormat="1" x14ac:dyDescent="0.25">
      <c r="A1580" s="56"/>
      <c r="B1580" s="61"/>
      <c r="C1580" s="61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155"/>
    </row>
    <row r="1581" spans="1:16" s="28" customFormat="1" x14ac:dyDescent="0.25">
      <c r="A1581" s="56"/>
      <c r="B1581" s="61"/>
      <c r="C1581" s="61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155"/>
    </row>
    <row r="1582" spans="1:16" s="28" customFormat="1" x14ac:dyDescent="0.25">
      <c r="A1582" s="56"/>
      <c r="B1582" s="61"/>
      <c r="C1582" s="61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155"/>
    </row>
    <row r="1583" spans="1:16" s="28" customFormat="1" x14ac:dyDescent="0.25">
      <c r="A1583" s="56"/>
      <c r="B1583" s="61"/>
      <c r="C1583" s="61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155"/>
    </row>
    <row r="1584" spans="1:16" s="28" customFormat="1" x14ac:dyDescent="0.25">
      <c r="A1584" s="56"/>
      <c r="B1584" s="61"/>
      <c r="C1584" s="61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155"/>
    </row>
    <row r="1585" spans="1:16" s="28" customFormat="1" x14ac:dyDescent="0.25">
      <c r="A1585" s="56"/>
      <c r="B1585" s="61"/>
      <c r="C1585" s="61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155"/>
    </row>
    <row r="1586" spans="1:16" s="28" customFormat="1" x14ac:dyDescent="0.25">
      <c r="A1586" s="56"/>
      <c r="B1586" s="61"/>
      <c r="C1586" s="61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155"/>
    </row>
    <row r="1587" spans="1:16" s="28" customFormat="1" x14ac:dyDescent="0.25">
      <c r="A1587" s="56"/>
      <c r="B1587" s="61"/>
      <c r="C1587" s="61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155"/>
    </row>
    <row r="1588" spans="1:16" s="28" customFormat="1" x14ac:dyDescent="0.25">
      <c r="A1588" s="56"/>
      <c r="B1588" s="61"/>
      <c r="C1588" s="61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155"/>
    </row>
    <row r="1589" spans="1:16" s="28" customFormat="1" x14ac:dyDescent="0.25">
      <c r="A1589" s="56"/>
      <c r="B1589" s="61"/>
      <c r="C1589" s="61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155"/>
    </row>
    <row r="1590" spans="1:16" s="28" customFormat="1" x14ac:dyDescent="0.25">
      <c r="A1590" s="56"/>
      <c r="B1590" s="61"/>
      <c r="C1590" s="61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155"/>
    </row>
    <row r="1591" spans="1:16" s="28" customFormat="1" x14ac:dyDescent="0.25">
      <c r="A1591" s="56"/>
      <c r="B1591" s="61"/>
      <c r="C1591" s="61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155"/>
    </row>
    <row r="1592" spans="1:16" s="28" customFormat="1" x14ac:dyDescent="0.25">
      <c r="A1592" s="56"/>
      <c r="B1592" s="61"/>
      <c r="C1592" s="61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155"/>
    </row>
    <row r="1593" spans="1:16" s="28" customFormat="1" x14ac:dyDescent="0.25">
      <c r="A1593" s="56"/>
      <c r="B1593" s="61"/>
      <c r="C1593" s="61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155"/>
    </row>
    <row r="1594" spans="1:16" s="28" customFormat="1" x14ac:dyDescent="0.25">
      <c r="A1594" s="56"/>
      <c r="B1594" s="61"/>
      <c r="C1594" s="61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155"/>
    </row>
    <row r="1595" spans="1:16" s="28" customFormat="1" x14ac:dyDescent="0.25">
      <c r="A1595" s="56"/>
      <c r="B1595" s="61"/>
      <c r="C1595" s="61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155"/>
    </row>
    <row r="1596" spans="1:16" s="28" customFormat="1" x14ac:dyDescent="0.25">
      <c r="A1596" s="56"/>
      <c r="B1596" s="61"/>
      <c r="C1596" s="61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155"/>
    </row>
    <row r="1597" spans="1:16" s="28" customFormat="1" x14ac:dyDescent="0.25">
      <c r="A1597" s="56"/>
      <c r="B1597" s="61"/>
      <c r="C1597" s="61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155"/>
    </row>
    <row r="1598" spans="1:16" s="28" customFormat="1" x14ac:dyDescent="0.25">
      <c r="A1598" s="56"/>
      <c r="B1598" s="61"/>
      <c r="C1598" s="61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155"/>
    </row>
    <row r="1599" spans="1:16" s="28" customFormat="1" x14ac:dyDescent="0.25">
      <c r="A1599" s="56"/>
      <c r="B1599" s="61"/>
      <c r="C1599" s="61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155"/>
    </row>
    <row r="1600" spans="1:16" s="28" customFormat="1" x14ac:dyDescent="0.25">
      <c r="A1600" s="56"/>
      <c r="B1600" s="61"/>
      <c r="C1600" s="61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155"/>
    </row>
    <row r="1601" spans="1:16" s="28" customFormat="1" x14ac:dyDescent="0.25">
      <c r="A1601" s="56"/>
      <c r="B1601" s="61"/>
      <c r="C1601" s="61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155"/>
    </row>
    <row r="1602" spans="1:16" s="28" customFormat="1" x14ac:dyDescent="0.25">
      <c r="A1602" s="56"/>
      <c r="B1602" s="61"/>
      <c r="C1602" s="61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155"/>
    </row>
    <row r="1603" spans="1:16" s="28" customFormat="1" x14ac:dyDescent="0.25">
      <c r="A1603" s="56"/>
      <c r="B1603" s="61"/>
      <c r="C1603" s="61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155"/>
    </row>
    <row r="1604" spans="1:16" s="28" customFormat="1" x14ac:dyDescent="0.25">
      <c r="A1604" s="56"/>
      <c r="B1604" s="61"/>
      <c r="C1604" s="61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155"/>
    </row>
    <row r="1605" spans="1:16" s="28" customFormat="1" x14ac:dyDescent="0.25">
      <c r="A1605" s="56"/>
      <c r="B1605" s="61"/>
      <c r="C1605" s="61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155"/>
    </row>
    <row r="1606" spans="1:16" s="28" customFormat="1" x14ac:dyDescent="0.25">
      <c r="A1606" s="56"/>
      <c r="B1606" s="61"/>
      <c r="C1606" s="61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155"/>
    </row>
    <row r="1607" spans="1:16" s="28" customFormat="1" x14ac:dyDescent="0.25">
      <c r="A1607" s="56"/>
      <c r="B1607" s="61"/>
      <c r="C1607" s="61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155"/>
    </row>
    <row r="1608" spans="1:16" s="28" customFormat="1" x14ac:dyDescent="0.25">
      <c r="A1608" s="56"/>
      <c r="B1608" s="61"/>
      <c r="C1608" s="61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155"/>
    </row>
    <row r="1609" spans="1:16" s="28" customFormat="1" x14ac:dyDescent="0.25">
      <c r="A1609" s="56"/>
      <c r="B1609" s="61"/>
      <c r="C1609" s="61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155"/>
    </row>
    <row r="1610" spans="1:16" s="28" customFormat="1" x14ac:dyDescent="0.25">
      <c r="A1610" s="56"/>
      <c r="B1610" s="61"/>
      <c r="C1610" s="61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155"/>
    </row>
    <row r="1611" spans="1:16" s="28" customFormat="1" x14ac:dyDescent="0.25">
      <c r="A1611" s="56"/>
      <c r="B1611" s="61"/>
      <c r="C1611" s="61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155"/>
    </row>
    <row r="1612" spans="1:16" s="28" customFormat="1" x14ac:dyDescent="0.25">
      <c r="A1612" s="56"/>
      <c r="B1612" s="61"/>
      <c r="C1612" s="61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155"/>
    </row>
    <row r="1613" spans="1:16" s="28" customFormat="1" x14ac:dyDescent="0.25">
      <c r="A1613" s="56"/>
      <c r="B1613" s="61"/>
      <c r="C1613" s="61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155"/>
    </row>
    <row r="1614" spans="1:16" s="28" customFormat="1" x14ac:dyDescent="0.25">
      <c r="A1614" s="56"/>
      <c r="B1614" s="61"/>
      <c r="C1614" s="61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155"/>
    </row>
    <row r="1615" spans="1:16" s="28" customFormat="1" x14ac:dyDescent="0.25">
      <c r="A1615" s="56"/>
      <c r="B1615" s="61"/>
      <c r="C1615" s="61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155"/>
    </row>
    <row r="1616" spans="1:16" s="28" customFormat="1" x14ac:dyDescent="0.25">
      <c r="A1616" s="56"/>
      <c r="B1616" s="61"/>
      <c r="C1616" s="61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155"/>
    </row>
    <row r="1617" spans="1:16" s="28" customFormat="1" x14ac:dyDescent="0.25">
      <c r="A1617" s="56"/>
      <c r="B1617" s="61"/>
      <c r="C1617" s="61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155"/>
    </row>
    <row r="1618" spans="1:16" s="28" customFormat="1" x14ac:dyDescent="0.25">
      <c r="A1618" s="56"/>
      <c r="B1618" s="61"/>
      <c r="C1618" s="61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155"/>
    </row>
    <row r="1619" spans="1:16" s="28" customFormat="1" x14ac:dyDescent="0.25">
      <c r="A1619" s="56"/>
      <c r="B1619" s="61"/>
      <c r="C1619" s="61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155"/>
    </row>
    <row r="1620" spans="1:16" s="28" customFormat="1" x14ac:dyDescent="0.25">
      <c r="A1620" s="56"/>
      <c r="B1620" s="61"/>
      <c r="C1620" s="61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155"/>
    </row>
    <row r="1621" spans="1:16" s="28" customFormat="1" x14ac:dyDescent="0.25">
      <c r="A1621" s="56"/>
      <c r="B1621" s="61"/>
      <c r="C1621" s="61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155"/>
    </row>
    <row r="1622" spans="1:16" s="28" customFormat="1" x14ac:dyDescent="0.25">
      <c r="A1622" s="56"/>
      <c r="B1622" s="61"/>
      <c r="C1622" s="61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155"/>
    </row>
    <row r="1623" spans="1:16" s="28" customFormat="1" x14ac:dyDescent="0.25">
      <c r="A1623" s="56"/>
      <c r="B1623" s="61"/>
      <c r="C1623" s="61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155"/>
    </row>
    <row r="1624" spans="1:16" s="28" customFormat="1" x14ac:dyDescent="0.25">
      <c r="A1624" s="56"/>
      <c r="B1624" s="61"/>
      <c r="C1624" s="61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155"/>
    </row>
    <row r="1625" spans="1:16" s="28" customFormat="1" x14ac:dyDescent="0.25">
      <c r="A1625" s="56"/>
      <c r="B1625" s="61"/>
      <c r="C1625" s="61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155"/>
    </row>
    <row r="1626" spans="1:16" s="28" customFormat="1" x14ac:dyDescent="0.25">
      <c r="A1626" s="56"/>
      <c r="B1626" s="61"/>
      <c r="C1626" s="61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155"/>
    </row>
    <row r="1627" spans="1:16" s="28" customFormat="1" x14ac:dyDescent="0.25">
      <c r="A1627" s="56"/>
      <c r="B1627" s="61"/>
      <c r="C1627" s="61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155"/>
    </row>
    <row r="1628" spans="1:16" s="28" customFormat="1" x14ac:dyDescent="0.25">
      <c r="A1628" s="56"/>
      <c r="B1628" s="61"/>
      <c r="C1628" s="61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155"/>
    </row>
    <row r="1629" spans="1:16" s="28" customFormat="1" x14ac:dyDescent="0.25">
      <c r="A1629" s="56"/>
      <c r="B1629" s="61"/>
      <c r="C1629" s="61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155"/>
    </row>
    <row r="1630" spans="1:16" s="28" customFormat="1" x14ac:dyDescent="0.25">
      <c r="A1630" s="56"/>
      <c r="B1630" s="61"/>
      <c r="C1630" s="61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155"/>
    </row>
    <row r="1631" spans="1:16" s="28" customFormat="1" x14ac:dyDescent="0.25">
      <c r="A1631" s="56"/>
      <c r="B1631" s="61"/>
      <c r="C1631" s="61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155"/>
    </row>
    <row r="1632" spans="1:16" s="28" customFormat="1" x14ac:dyDescent="0.25">
      <c r="A1632" s="56"/>
      <c r="B1632" s="61"/>
      <c r="C1632" s="61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155"/>
    </row>
    <row r="1633" spans="1:16" s="28" customFormat="1" x14ac:dyDescent="0.25">
      <c r="A1633" s="56"/>
      <c r="B1633" s="61"/>
      <c r="C1633" s="61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155"/>
    </row>
    <row r="1634" spans="1:16" s="28" customFormat="1" x14ac:dyDescent="0.25">
      <c r="A1634" s="56"/>
      <c r="B1634" s="61"/>
      <c r="C1634" s="61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155"/>
    </row>
    <row r="1635" spans="1:16" s="28" customFormat="1" x14ac:dyDescent="0.25">
      <c r="A1635" s="56"/>
      <c r="B1635" s="61"/>
      <c r="C1635" s="61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155"/>
    </row>
    <row r="1636" spans="1:16" s="28" customFormat="1" x14ac:dyDescent="0.25">
      <c r="A1636" s="56"/>
      <c r="B1636" s="61"/>
      <c r="C1636" s="61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155"/>
    </row>
    <row r="1637" spans="1:16" s="28" customFormat="1" x14ac:dyDescent="0.25">
      <c r="A1637" s="56"/>
      <c r="B1637" s="61"/>
      <c r="C1637" s="61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155"/>
    </row>
    <row r="1638" spans="1:16" s="28" customFormat="1" x14ac:dyDescent="0.25">
      <c r="A1638" s="56"/>
      <c r="B1638" s="61"/>
      <c r="C1638" s="61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155"/>
    </row>
    <row r="1639" spans="1:16" s="28" customFormat="1" x14ac:dyDescent="0.25">
      <c r="A1639" s="56"/>
      <c r="B1639" s="61"/>
      <c r="C1639" s="61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155"/>
    </row>
    <row r="1640" spans="1:16" s="28" customFormat="1" x14ac:dyDescent="0.25">
      <c r="A1640" s="56"/>
      <c r="B1640" s="61"/>
      <c r="C1640" s="61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155"/>
    </row>
    <row r="1641" spans="1:16" s="28" customFormat="1" x14ac:dyDescent="0.25">
      <c r="A1641" s="56"/>
      <c r="B1641" s="61"/>
      <c r="C1641" s="61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155"/>
    </row>
    <row r="1642" spans="1:16" s="28" customFormat="1" x14ac:dyDescent="0.25">
      <c r="A1642" s="56"/>
      <c r="B1642" s="61"/>
      <c r="C1642" s="61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155"/>
    </row>
    <row r="1643" spans="1:16" s="28" customFormat="1" x14ac:dyDescent="0.25">
      <c r="A1643" s="56"/>
      <c r="B1643" s="61"/>
      <c r="C1643" s="61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155"/>
    </row>
    <row r="1644" spans="1:16" s="28" customFormat="1" x14ac:dyDescent="0.25">
      <c r="A1644" s="56"/>
      <c r="B1644" s="61"/>
      <c r="C1644" s="61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155"/>
    </row>
    <row r="1645" spans="1:16" s="28" customFormat="1" x14ac:dyDescent="0.25">
      <c r="A1645" s="56"/>
      <c r="B1645" s="61"/>
      <c r="C1645" s="61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155"/>
    </row>
    <row r="1646" spans="1:16" s="28" customFormat="1" x14ac:dyDescent="0.25">
      <c r="A1646" s="56"/>
      <c r="B1646" s="61"/>
      <c r="C1646" s="61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155"/>
    </row>
    <row r="1647" spans="1:16" s="28" customFormat="1" x14ac:dyDescent="0.25">
      <c r="A1647" s="56"/>
      <c r="B1647" s="61"/>
      <c r="C1647" s="61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155"/>
    </row>
    <row r="1648" spans="1:16" s="28" customFormat="1" x14ac:dyDescent="0.25">
      <c r="A1648" s="56"/>
      <c r="B1648" s="61"/>
      <c r="C1648" s="61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155"/>
    </row>
    <row r="1649" spans="1:16" s="28" customFormat="1" x14ac:dyDescent="0.25">
      <c r="A1649" s="56"/>
      <c r="B1649" s="61"/>
      <c r="C1649" s="61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155"/>
    </row>
    <row r="1650" spans="1:16" s="28" customFormat="1" x14ac:dyDescent="0.25">
      <c r="A1650" s="56"/>
      <c r="B1650" s="61"/>
      <c r="C1650" s="61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155"/>
    </row>
    <row r="1651" spans="1:16" s="28" customFormat="1" x14ac:dyDescent="0.25">
      <c r="A1651" s="56"/>
      <c r="B1651" s="61"/>
      <c r="C1651" s="61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155"/>
    </row>
    <row r="1652" spans="1:16" s="28" customFormat="1" x14ac:dyDescent="0.25">
      <c r="A1652" s="56"/>
      <c r="B1652" s="61"/>
      <c r="C1652" s="61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155"/>
    </row>
    <row r="1653" spans="1:16" s="28" customFormat="1" x14ac:dyDescent="0.25">
      <c r="A1653" s="56"/>
      <c r="B1653" s="61"/>
      <c r="C1653" s="61"/>
      <c r="D1653" s="35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155"/>
    </row>
    <row r="1654" spans="1:16" s="28" customFormat="1" x14ac:dyDescent="0.25">
      <c r="A1654" s="56"/>
      <c r="B1654" s="61"/>
      <c r="C1654" s="61"/>
      <c r="D1654" s="35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155"/>
    </row>
    <row r="1655" spans="1:16" s="28" customFormat="1" x14ac:dyDescent="0.25">
      <c r="A1655" s="56"/>
      <c r="B1655" s="61"/>
      <c r="C1655" s="61"/>
      <c r="D1655" s="35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155"/>
    </row>
    <row r="1656" spans="1:16" s="28" customFormat="1" x14ac:dyDescent="0.25">
      <c r="A1656" s="56"/>
      <c r="B1656" s="61"/>
      <c r="C1656" s="61"/>
      <c r="D1656" s="35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155"/>
    </row>
    <row r="1657" spans="1:16" s="28" customFormat="1" x14ac:dyDescent="0.25">
      <c r="A1657" s="56"/>
      <c r="B1657" s="61"/>
      <c r="C1657" s="61"/>
      <c r="D1657" s="35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155"/>
    </row>
    <row r="1658" spans="1:16" s="28" customFormat="1" x14ac:dyDescent="0.25">
      <c r="A1658" s="56"/>
      <c r="B1658" s="61"/>
      <c r="C1658" s="61"/>
      <c r="D1658" s="35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155"/>
    </row>
    <row r="1659" spans="1:16" s="28" customFormat="1" x14ac:dyDescent="0.25">
      <c r="A1659" s="56"/>
      <c r="B1659" s="61"/>
      <c r="C1659" s="61"/>
      <c r="D1659" s="35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155"/>
    </row>
    <row r="1660" spans="1:16" s="28" customFormat="1" x14ac:dyDescent="0.25">
      <c r="A1660" s="56"/>
      <c r="B1660" s="61"/>
      <c r="C1660" s="61"/>
      <c r="D1660" s="35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155"/>
    </row>
    <row r="1661" spans="1:16" s="28" customFormat="1" x14ac:dyDescent="0.25">
      <c r="A1661" s="56"/>
      <c r="B1661" s="61"/>
      <c r="C1661" s="61"/>
      <c r="D1661" s="35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155"/>
    </row>
    <row r="1662" spans="1:16" s="28" customFormat="1" x14ac:dyDescent="0.25">
      <c r="A1662" s="56"/>
      <c r="B1662" s="61"/>
      <c r="C1662" s="61"/>
      <c r="D1662" s="35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155"/>
    </row>
    <row r="1663" spans="1:16" s="28" customFormat="1" x14ac:dyDescent="0.25">
      <c r="A1663" s="56"/>
      <c r="B1663" s="61"/>
      <c r="C1663" s="61"/>
      <c r="D1663" s="35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155"/>
    </row>
    <row r="1664" spans="1:16" s="28" customFormat="1" x14ac:dyDescent="0.25">
      <c r="A1664" s="56"/>
      <c r="B1664" s="61"/>
      <c r="C1664" s="61"/>
      <c r="D1664" s="35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155"/>
    </row>
    <row r="1665" spans="1:16" s="28" customFormat="1" x14ac:dyDescent="0.25">
      <c r="A1665" s="56"/>
      <c r="B1665" s="61"/>
      <c r="C1665" s="61"/>
      <c r="D1665" s="35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155"/>
    </row>
    <row r="1666" spans="1:16" s="28" customFormat="1" x14ac:dyDescent="0.25">
      <c r="A1666" s="56"/>
      <c r="B1666" s="61"/>
      <c r="C1666" s="61"/>
      <c r="D1666" s="35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155"/>
    </row>
    <row r="1667" spans="1:16" s="28" customFormat="1" x14ac:dyDescent="0.25">
      <c r="A1667" s="56"/>
      <c r="B1667" s="61"/>
      <c r="C1667" s="61"/>
      <c r="D1667" s="35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155"/>
    </row>
    <row r="1668" spans="1:16" s="28" customFormat="1" x14ac:dyDescent="0.25">
      <c r="A1668" s="56"/>
      <c r="B1668" s="61"/>
      <c r="C1668" s="61"/>
      <c r="D1668" s="35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155"/>
    </row>
    <row r="1669" spans="1:16" s="28" customFormat="1" x14ac:dyDescent="0.25">
      <c r="A1669" s="56"/>
      <c r="B1669" s="61"/>
      <c r="C1669" s="61"/>
      <c r="D1669" s="35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155"/>
    </row>
    <row r="1670" spans="1:16" s="28" customFormat="1" x14ac:dyDescent="0.25">
      <c r="A1670" s="56"/>
      <c r="B1670" s="61"/>
      <c r="C1670" s="61"/>
      <c r="D1670" s="35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155"/>
    </row>
    <row r="1671" spans="1:16" s="28" customFormat="1" x14ac:dyDescent="0.25">
      <c r="A1671" s="56"/>
      <c r="B1671" s="61"/>
      <c r="C1671" s="61"/>
      <c r="D1671" s="35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155"/>
    </row>
    <row r="1672" spans="1:16" s="28" customFormat="1" x14ac:dyDescent="0.25">
      <c r="A1672" s="56"/>
      <c r="B1672" s="61"/>
      <c r="C1672" s="61"/>
      <c r="D1672" s="35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155"/>
    </row>
    <row r="1673" spans="1:16" s="28" customFormat="1" x14ac:dyDescent="0.25">
      <c r="A1673" s="56"/>
      <c r="B1673" s="61"/>
      <c r="C1673" s="61"/>
      <c r="D1673" s="35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155"/>
    </row>
    <row r="1674" spans="1:16" s="28" customFormat="1" x14ac:dyDescent="0.25">
      <c r="A1674" s="56"/>
      <c r="B1674" s="61"/>
      <c r="C1674" s="61"/>
      <c r="D1674" s="35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155"/>
    </row>
    <row r="1675" spans="1:16" s="28" customFormat="1" x14ac:dyDescent="0.25">
      <c r="A1675" s="56"/>
      <c r="B1675" s="61"/>
      <c r="C1675" s="61"/>
      <c r="D1675" s="35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155"/>
    </row>
    <row r="1676" spans="1:16" s="28" customFormat="1" x14ac:dyDescent="0.25">
      <c r="A1676" s="56"/>
      <c r="B1676" s="61"/>
      <c r="C1676" s="61"/>
      <c r="D1676" s="35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155"/>
    </row>
    <row r="1677" spans="1:16" s="28" customFormat="1" x14ac:dyDescent="0.25">
      <c r="A1677" s="56"/>
      <c r="B1677" s="61"/>
      <c r="C1677" s="61"/>
      <c r="D1677" s="35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155"/>
    </row>
    <row r="1678" spans="1:16" s="28" customFormat="1" x14ac:dyDescent="0.25">
      <c r="A1678" s="56"/>
      <c r="B1678" s="61"/>
      <c r="C1678" s="61"/>
      <c r="D1678" s="35"/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155"/>
    </row>
    <row r="1679" spans="1:16" s="28" customFormat="1" x14ac:dyDescent="0.25">
      <c r="A1679" s="56"/>
      <c r="B1679" s="61"/>
      <c r="C1679" s="61"/>
      <c r="D1679" s="35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155"/>
    </row>
    <row r="1680" spans="1:16" s="28" customFormat="1" x14ac:dyDescent="0.25">
      <c r="A1680" s="56"/>
      <c r="B1680" s="61"/>
      <c r="C1680" s="61"/>
      <c r="D1680" s="35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155"/>
    </row>
    <row r="1681" spans="1:16" s="28" customFormat="1" x14ac:dyDescent="0.25">
      <c r="A1681" s="56"/>
      <c r="B1681" s="61"/>
      <c r="C1681" s="61"/>
      <c r="D1681" s="35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155"/>
    </row>
    <row r="1682" spans="1:16" s="28" customFormat="1" x14ac:dyDescent="0.25">
      <c r="A1682" s="56"/>
      <c r="B1682" s="61"/>
      <c r="C1682" s="61"/>
      <c r="D1682" s="35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155"/>
    </row>
    <row r="1683" spans="1:16" s="28" customFormat="1" x14ac:dyDescent="0.25">
      <c r="A1683" s="56"/>
      <c r="B1683" s="61"/>
      <c r="C1683" s="61"/>
      <c r="D1683" s="35"/>
      <c r="E1683" s="47"/>
      <c r="F1683" s="47"/>
      <c r="G1683" s="47"/>
      <c r="H1683" s="47"/>
      <c r="I1683" s="47"/>
      <c r="J1683" s="47"/>
      <c r="K1683" s="47"/>
      <c r="L1683" s="47"/>
      <c r="M1683" s="47"/>
      <c r="N1683" s="47"/>
      <c r="O1683" s="47"/>
      <c r="P1683" s="155"/>
    </row>
    <row r="1684" spans="1:16" s="28" customFormat="1" x14ac:dyDescent="0.25">
      <c r="A1684" s="56"/>
      <c r="B1684" s="61"/>
      <c r="C1684" s="61"/>
      <c r="D1684" s="35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155"/>
    </row>
    <row r="1685" spans="1:16" s="28" customFormat="1" x14ac:dyDescent="0.25">
      <c r="A1685" s="56"/>
      <c r="B1685" s="61"/>
      <c r="C1685" s="61"/>
      <c r="D1685" s="35"/>
      <c r="E1685" s="47"/>
      <c r="F1685" s="47"/>
      <c r="G1685" s="47"/>
      <c r="H1685" s="47"/>
      <c r="I1685" s="47"/>
      <c r="J1685" s="47"/>
      <c r="K1685" s="47"/>
      <c r="L1685" s="47"/>
      <c r="M1685" s="47"/>
      <c r="N1685" s="47"/>
      <c r="O1685" s="47"/>
      <c r="P1685" s="155"/>
    </row>
    <row r="1686" spans="1:16" s="28" customFormat="1" x14ac:dyDescent="0.25">
      <c r="A1686" s="56"/>
      <c r="B1686" s="61"/>
      <c r="C1686" s="61"/>
      <c r="D1686" s="35"/>
      <c r="E1686" s="47"/>
      <c r="F1686" s="47"/>
      <c r="G1686" s="47"/>
      <c r="H1686" s="47"/>
      <c r="I1686" s="47"/>
      <c r="J1686" s="47"/>
      <c r="K1686" s="47"/>
      <c r="L1686" s="47"/>
      <c r="M1686" s="47"/>
      <c r="N1686" s="47"/>
      <c r="O1686" s="47"/>
      <c r="P1686" s="155"/>
    </row>
    <row r="1687" spans="1:16" s="28" customFormat="1" x14ac:dyDescent="0.25">
      <c r="A1687" s="56"/>
      <c r="B1687" s="61"/>
      <c r="C1687" s="61"/>
      <c r="D1687" s="35"/>
      <c r="E1687" s="47"/>
      <c r="F1687" s="47"/>
      <c r="G1687" s="47"/>
      <c r="H1687" s="47"/>
      <c r="I1687" s="47"/>
      <c r="J1687" s="47"/>
      <c r="K1687" s="47"/>
      <c r="L1687" s="47"/>
      <c r="M1687" s="47"/>
      <c r="N1687" s="47"/>
      <c r="O1687" s="47"/>
      <c r="P1687" s="155"/>
    </row>
    <row r="1688" spans="1:16" s="28" customFormat="1" x14ac:dyDescent="0.25">
      <c r="A1688" s="56"/>
      <c r="B1688" s="61"/>
      <c r="C1688" s="61"/>
      <c r="D1688" s="35"/>
      <c r="E1688" s="47"/>
      <c r="F1688" s="47"/>
      <c r="G1688" s="47"/>
      <c r="H1688" s="47"/>
      <c r="I1688" s="47"/>
      <c r="J1688" s="47"/>
      <c r="K1688" s="47"/>
      <c r="L1688" s="47"/>
      <c r="M1688" s="47"/>
      <c r="N1688" s="47"/>
      <c r="O1688" s="47"/>
      <c r="P1688" s="155"/>
    </row>
    <row r="1689" spans="1:16" s="28" customFormat="1" x14ac:dyDescent="0.25">
      <c r="A1689" s="56"/>
      <c r="B1689" s="61"/>
      <c r="C1689" s="61"/>
      <c r="D1689" s="35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155"/>
    </row>
    <row r="1690" spans="1:16" s="28" customFormat="1" x14ac:dyDescent="0.25">
      <c r="A1690" s="56"/>
      <c r="B1690" s="61"/>
      <c r="C1690" s="61"/>
      <c r="D1690" s="35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155"/>
    </row>
    <row r="1691" spans="1:16" s="28" customFormat="1" x14ac:dyDescent="0.25">
      <c r="A1691" s="56"/>
      <c r="B1691" s="61"/>
      <c r="C1691" s="61"/>
      <c r="D1691" s="35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155"/>
    </row>
    <row r="1692" spans="1:16" s="28" customFormat="1" x14ac:dyDescent="0.25">
      <c r="A1692" s="56"/>
      <c r="B1692" s="61"/>
      <c r="C1692" s="61"/>
      <c r="D1692" s="35"/>
      <c r="E1692" s="47"/>
      <c r="F1692" s="47"/>
      <c r="G1692" s="47"/>
      <c r="H1692" s="47"/>
      <c r="I1692" s="47"/>
      <c r="J1692" s="47"/>
      <c r="K1692" s="47"/>
      <c r="L1692" s="47"/>
      <c r="M1692" s="47"/>
      <c r="N1692" s="47"/>
      <c r="O1692" s="47"/>
      <c r="P1692" s="155"/>
    </row>
    <row r="1693" spans="1:16" s="28" customFormat="1" x14ac:dyDescent="0.25">
      <c r="A1693" s="56"/>
      <c r="B1693" s="61"/>
      <c r="C1693" s="61"/>
      <c r="D1693" s="35"/>
      <c r="E1693" s="47"/>
      <c r="F1693" s="47"/>
      <c r="G1693" s="47"/>
      <c r="H1693" s="47"/>
      <c r="I1693" s="47"/>
      <c r="J1693" s="47"/>
      <c r="K1693" s="47"/>
      <c r="L1693" s="47"/>
      <c r="M1693" s="47"/>
      <c r="N1693" s="47"/>
      <c r="O1693" s="47"/>
      <c r="P1693" s="155"/>
    </row>
    <row r="1694" spans="1:16" s="28" customFormat="1" x14ac:dyDescent="0.25">
      <c r="A1694" s="56"/>
      <c r="B1694" s="61"/>
      <c r="C1694" s="61"/>
      <c r="D1694" s="35"/>
      <c r="E1694" s="47"/>
      <c r="F1694" s="47"/>
      <c r="G1694" s="47"/>
      <c r="H1694" s="47"/>
      <c r="I1694" s="47"/>
      <c r="J1694" s="47"/>
      <c r="K1694" s="47"/>
      <c r="L1694" s="47"/>
      <c r="M1694" s="47"/>
      <c r="N1694" s="47"/>
      <c r="O1694" s="47"/>
      <c r="P1694" s="155"/>
    </row>
    <row r="1695" spans="1:16" s="28" customFormat="1" x14ac:dyDescent="0.25">
      <c r="A1695" s="56"/>
      <c r="B1695" s="61"/>
      <c r="C1695" s="61"/>
      <c r="D1695" s="35"/>
      <c r="E1695" s="47"/>
      <c r="F1695" s="47"/>
      <c r="G1695" s="47"/>
      <c r="H1695" s="47"/>
      <c r="I1695" s="47"/>
      <c r="J1695" s="47"/>
      <c r="K1695" s="47"/>
      <c r="L1695" s="47"/>
      <c r="M1695" s="47"/>
      <c r="N1695" s="47"/>
      <c r="O1695" s="47"/>
      <c r="P1695" s="155"/>
    </row>
    <row r="1696" spans="1:16" s="28" customFormat="1" x14ac:dyDescent="0.25">
      <c r="A1696" s="56"/>
      <c r="B1696" s="61"/>
      <c r="C1696" s="61"/>
      <c r="D1696" s="35"/>
      <c r="E1696" s="47"/>
      <c r="F1696" s="47"/>
      <c r="G1696" s="47"/>
      <c r="H1696" s="47"/>
      <c r="I1696" s="47"/>
      <c r="J1696" s="47"/>
      <c r="K1696" s="47"/>
      <c r="L1696" s="47"/>
      <c r="M1696" s="47"/>
      <c r="N1696" s="47"/>
      <c r="O1696" s="47"/>
      <c r="P1696" s="155"/>
    </row>
    <row r="1697" spans="1:16" s="28" customFormat="1" x14ac:dyDescent="0.25">
      <c r="A1697" s="56"/>
      <c r="B1697" s="61"/>
      <c r="C1697" s="61"/>
      <c r="D1697" s="35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155"/>
    </row>
    <row r="1698" spans="1:16" s="28" customFormat="1" x14ac:dyDescent="0.25">
      <c r="A1698" s="56"/>
      <c r="B1698" s="61"/>
      <c r="C1698" s="61"/>
      <c r="D1698" s="35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155"/>
    </row>
    <row r="1699" spans="1:16" s="28" customFormat="1" x14ac:dyDescent="0.25">
      <c r="A1699" s="56"/>
      <c r="B1699" s="61"/>
      <c r="C1699" s="61"/>
      <c r="D1699" s="35"/>
      <c r="E1699" s="47"/>
      <c r="F1699" s="47"/>
      <c r="G1699" s="47"/>
      <c r="H1699" s="47"/>
      <c r="I1699" s="47"/>
      <c r="J1699" s="47"/>
      <c r="K1699" s="47"/>
      <c r="L1699" s="47"/>
      <c r="M1699" s="47"/>
      <c r="N1699" s="47"/>
      <c r="O1699" s="47"/>
      <c r="P1699" s="155"/>
    </row>
    <row r="1700" spans="1:16" s="28" customFormat="1" x14ac:dyDescent="0.25">
      <c r="A1700" s="56"/>
      <c r="B1700" s="61"/>
      <c r="C1700" s="61"/>
      <c r="D1700" s="35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155"/>
    </row>
    <row r="1701" spans="1:16" s="28" customFormat="1" x14ac:dyDescent="0.25">
      <c r="A1701" s="56"/>
      <c r="B1701" s="61"/>
      <c r="C1701" s="61"/>
      <c r="D1701" s="35"/>
      <c r="E1701" s="47"/>
      <c r="F1701" s="47"/>
      <c r="G1701" s="47"/>
      <c r="H1701" s="47"/>
      <c r="I1701" s="47"/>
      <c r="J1701" s="47"/>
      <c r="K1701" s="47"/>
      <c r="L1701" s="47"/>
      <c r="M1701" s="47"/>
      <c r="N1701" s="47"/>
      <c r="O1701" s="47"/>
      <c r="P1701" s="155"/>
    </row>
    <row r="1702" spans="1:16" s="28" customFormat="1" x14ac:dyDescent="0.25">
      <c r="A1702" s="56"/>
      <c r="B1702" s="61"/>
      <c r="C1702" s="61"/>
      <c r="D1702" s="35"/>
      <c r="E1702" s="47"/>
      <c r="F1702" s="47"/>
      <c r="G1702" s="47"/>
      <c r="H1702" s="47"/>
      <c r="I1702" s="47"/>
      <c r="J1702" s="47"/>
      <c r="K1702" s="47"/>
      <c r="L1702" s="47"/>
      <c r="M1702" s="47"/>
      <c r="N1702" s="47"/>
      <c r="O1702" s="47"/>
      <c r="P1702" s="155"/>
    </row>
    <row r="1703" spans="1:16" s="28" customFormat="1" x14ac:dyDescent="0.25">
      <c r="A1703" s="56"/>
      <c r="B1703" s="61"/>
      <c r="C1703" s="61"/>
      <c r="D1703" s="35"/>
      <c r="E1703" s="47"/>
      <c r="F1703" s="47"/>
      <c r="G1703" s="47"/>
      <c r="H1703" s="47"/>
      <c r="I1703" s="47"/>
      <c r="J1703" s="47"/>
      <c r="K1703" s="47"/>
      <c r="L1703" s="47"/>
      <c r="M1703" s="47"/>
      <c r="N1703" s="47"/>
      <c r="O1703" s="47"/>
      <c r="P1703" s="155"/>
    </row>
  </sheetData>
  <mergeCells count="25">
    <mergeCell ref="A329:D329"/>
    <mergeCell ref="A10:P10"/>
    <mergeCell ref="A14:A16"/>
    <mergeCell ref="C14:C16"/>
    <mergeCell ref="B14:B16"/>
    <mergeCell ref="D14:D16"/>
    <mergeCell ref="G15:H15"/>
    <mergeCell ref="J14:O14"/>
    <mergeCell ref="I15:I16"/>
    <mergeCell ref="P14:P16"/>
    <mergeCell ref="J15:J16"/>
    <mergeCell ref="K15:K16"/>
    <mergeCell ref="E15:E16"/>
    <mergeCell ref="F15:F16"/>
    <mergeCell ref="E14:I14"/>
    <mergeCell ref="L15:L16"/>
    <mergeCell ref="A11:P11"/>
    <mergeCell ref="A12:P12"/>
    <mergeCell ref="M15:N15"/>
    <mergeCell ref="O15:O16"/>
    <mergeCell ref="K3:P3"/>
    <mergeCell ref="K4:P4"/>
    <mergeCell ref="K5:P5"/>
    <mergeCell ref="K6:P6"/>
    <mergeCell ref="K8:P8"/>
  </mergeCells>
  <phoneticPr fontId="3" type="noConversion"/>
  <printOptions horizontalCentered="1"/>
  <pageMargins left="0.19685039370078741" right="0" top="0.98425196850393704" bottom="0.59055118110236227" header="0.59055118110236227" footer="0.31496062992125984"/>
  <pageSetup paperSize="9" scale="44" fitToHeight="100" orientation="landscape" useFirstPageNumber="1" r:id="rId1"/>
  <headerFooter scaleWithDoc="0" alignWithMargins="0">
    <oddHeader xml:space="preserve">&amp;R
</oddHeader>
    <oddFooter>&amp;R&amp;9Сторінка &amp;P</oddFooter>
  </headerFooter>
  <rowBreaks count="3" manualBreakCount="3">
    <brk id="34" max="15" man="1"/>
    <brk id="62" max="15" man="1"/>
    <brk id="31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S279"/>
  <sheetViews>
    <sheetView showGridLines="0" showZeros="0" tabSelected="1" view="pageBreakPreview" topLeftCell="A256" zoomScale="70" zoomScaleNormal="87" zoomScaleSheetLayoutView="70" workbookViewId="0">
      <selection activeCell="L263" sqref="L263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3.1640625" style="4" customWidth="1"/>
    <col min="5" max="5" width="23.83203125" style="4" customWidth="1"/>
    <col min="6" max="6" width="22.33203125" style="4" customWidth="1"/>
    <col min="7" max="7" width="20.1640625" style="4" customWidth="1"/>
    <col min="8" max="8" width="19.6640625" style="4" customWidth="1"/>
    <col min="9" max="9" width="21.33203125" style="4" bestFit="1" customWidth="1"/>
    <col min="10" max="10" width="21.1640625" style="4" customWidth="1"/>
    <col min="11" max="11" width="19.83203125" style="4" customWidth="1"/>
    <col min="12" max="12" width="18" style="4" customWidth="1"/>
    <col min="13" max="13" width="14.83203125" style="4" customWidth="1"/>
    <col min="14" max="14" width="21.5" style="4" customWidth="1"/>
    <col min="15" max="15" width="22.83203125" style="4" customWidth="1"/>
    <col min="16" max="16384" width="9.1640625" style="4"/>
  </cols>
  <sheetData>
    <row r="1" spans="1:15" ht="27.75" customHeight="1" x14ac:dyDescent="0.4">
      <c r="J1" s="169" t="s">
        <v>612</v>
      </c>
      <c r="K1" s="169"/>
      <c r="L1" s="169"/>
      <c r="M1" s="169"/>
      <c r="N1" s="169"/>
      <c r="O1" s="169"/>
    </row>
    <row r="2" spans="1:15" ht="24" customHeight="1" x14ac:dyDescent="0.25">
      <c r="J2" s="92" t="s">
        <v>581</v>
      </c>
      <c r="K2" s="92"/>
      <c r="L2" s="92"/>
      <c r="M2" s="92"/>
      <c r="N2" s="92"/>
      <c r="O2" s="92"/>
    </row>
    <row r="3" spans="1:15" ht="26.25" customHeight="1" x14ac:dyDescent="0.4">
      <c r="J3" s="162" t="s">
        <v>580</v>
      </c>
      <c r="K3" s="162"/>
      <c r="L3" s="162"/>
      <c r="M3" s="162"/>
      <c r="N3" s="162"/>
      <c r="O3" s="162"/>
    </row>
    <row r="4" spans="1:15" ht="26.25" customHeight="1" x14ac:dyDescent="0.4">
      <c r="J4" s="162" t="s">
        <v>613</v>
      </c>
      <c r="K4" s="162"/>
      <c r="L4" s="162"/>
      <c r="M4" s="162"/>
      <c r="N4" s="162"/>
      <c r="O4" s="162"/>
    </row>
    <row r="5" spans="1:15" ht="29.25" customHeight="1" x14ac:dyDescent="0.4">
      <c r="J5" s="162" t="s">
        <v>614</v>
      </c>
      <c r="K5" s="162"/>
      <c r="L5" s="162"/>
      <c r="M5" s="162"/>
      <c r="N5" s="162"/>
      <c r="O5" s="162"/>
    </row>
    <row r="6" spans="1:15" ht="29.25" customHeight="1" x14ac:dyDescent="0.4">
      <c r="J6" s="162" t="s">
        <v>582</v>
      </c>
      <c r="K6" s="162"/>
      <c r="L6" s="162"/>
      <c r="M6" s="162"/>
      <c r="N6" s="162"/>
      <c r="O6" s="162"/>
    </row>
    <row r="7" spans="1:15" ht="29.25" customHeight="1" x14ac:dyDescent="0.4">
      <c r="J7" s="151" t="s">
        <v>535</v>
      </c>
      <c r="K7" s="151"/>
      <c r="L7" s="151"/>
      <c r="M7" s="151"/>
      <c r="N7" s="151"/>
      <c r="O7" s="151"/>
    </row>
    <row r="8" spans="1:15" ht="29.25" customHeight="1" x14ac:dyDescent="0.4">
      <c r="J8" s="162" t="s">
        <v>625</v>
      </c>
      <c r="K8" s="162"/>
      <c r="L8" s="162"/>
      <c r="M8" s="162"/>
      <c r="N8" s="162"/>
      <c r="O8" s="162"/>
    </row>
    <row r="9" spans="1:15" ht="29.25" customHeight="1" x14ac:dyDescent="0.25">
      <c r="J9" s="92"/>
      <c r="K9" s="92"/>
      <c r="L9" s="92"/>
      <c r="M9" s="92"/>
      <c r="N9" s="92"/>
      <c r="O9" s="92"/>
    </row>
    <row r="10" spans="1:15" ht="105.75" customHeight="1" x14ac:dyDescent="0.25">
      <c r="A10" s="170" t="s">
        <v>450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</row>
    <row r="11" spans="1:15" ht="23.25" customHeight="1" x14ac:dyDescent="0.25">
      <c r="A11" s="168" t="s">
        <v>587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</row>
    <row r="12" spans="1:15" ht="21" customHeight="1" x14ac:dyDescent="0.25">
      <c r="A12" s="159" t="s">
        <v>586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</row>
    <row r="13" spans="1:15" s="17" customFormat="1" ht="20.25" customHeight="1" x14ac:dyDescent="0.3">
      <c r="A13" s="14"/>
      <c r="B13" s="15"/>
      <c r="C13" s="16"/>
      <c r="O13" s="153" t="s">
        <v>358</v>
      </c>
    </row>
    <row r="14" spans="1:15" s="52" customFormat="1" ht="21.75" customHeight="1" x14ac:dyDescent="0.25">
      <c r="A14" s="161" t="s">
        <v>337</v>
      </c>
      <c r="B14" s="161" t="s">
        <v>327</v>
      </c>
      <c r="C14" s="161" t="s">
        <v>339</v>
      </c>
      <c r="D14" s="167" t="s">
        <v>224</v>
      </c>
      <c r="E14" s="167"/>
      <c r="F14" s="167"/>
      <c r="G14" s="167"/>
      <c r="H14" s="167"/>
      <c r="I14" s="167" t="s">
        <v>225</v>
      </c>
      <c r="J14" s="167"/>
      <c r="K14" s="167"/>
      <c r="L14" s="167"/>
      <c r="M14" s="167"/>
      <c r="N14" s="167"/>
      <c r="O14" s="167" t="s">
        <v>226</v>
      </c>
    </row>
    <row r="15" spans="1:15" s="52" customFormat="1" ht="29.25" customHeight="1" x14ac:dyDescent="0.25">
      <c r="A15" s="161"/>
      <c r="B15" s="161"/>
      <c r="C15" s="161"/>
      <c r="D15" s="166" t="s">
        <v>328</v>
      </c>
      <c r="E15" s="166" t="s">
        <v>227</v>
      </c>
      <c r="F15" s="160" t="s">
        <v>228</v>
      </c>
      <c r="G15" s="160"/>
      <c r="H15" s="166" t="s">
        <v>229</v>
      </c>
      <c r="I15" s="166" t="s">
        <v>328</v>
      </c>
      <c r="J15" s="166" t="s">
        <v>329</v>
      </c>
      <c r="K15" s="166" t="s">
        <v>227</v>
      </c>
      <c r="L15" s="160" t="s">
        <v>228</v>
      </c>
      <c r="M15" s="160"/>
      <c r="N15" s="166" t="s">
        <v>229</v>
      </c>
      <c r="O15" s="167"/>
    </row>
    <row r="16" spans="1:15" s="52" customFormat="1" ht="60.75" customHeight="1" x14ac:dyDescent="0.25">
      <c r="A16" s="161"/>
      <c r="B16" s="161"/>
      <c r="C16" s="161"/>
      <c r="D16" s="166"/>
      <c r="E16" s="166"/>
      <c r="F16" s="149" t="s">
        <v>230</v>
      </c>
      <c r="G16" s="149" t="s">
        <v>231</v>
      </c>
      <c r="H16" s="166"/>
      <c r="I16" s="166"/>
      <c r="J16" s="166"/>
      <c r="K16" s="166"/>
      <c r="L16" s="149" t="s">
        <v>230</v>
      </c>
      <c r="M16" s="149" t="s">
        <v>231</v>
      </c>
      <c r="N16" s="166"/>
      <c r="O16" s="167"/>
    </row>
    <row r="17" spans="1:15" s="52" customFormat="1" ht="21" customHeight="1" x14ac:dyDescent="0.25">
      <c r="A17" s="7" t="s">
        <v>43</v>
      </c>
      <c r="B17" s="8"/>
      <c r="C17" s="9" t="s">
        <v>44</v>
      </c>
      <c r="D17" s="48">
        <f>D19+D20+D21+D22</f>
        <v>261995496</v>
      </c>
      <c r="E17" s="48">
        <f t="shared" ref="E17:O17" si="0">E19+E20+E21+E22</f>
        <v>261995496</v>
      </c>
      <c r="F17" s="48">
        <f>F19+F20+F21+F22</f>
        <v>196758100</v>
      </c>
      <c r="G17" s="48">
        <f t="shared" si="0"/>
        <v>5782983</v>
      </c>
      <c r="H17" s="48">
        <f t="shared" si="0"/>
        <v>0</v>
      </c>
      <c r="I17" s="48">
        <f t="shared" si="0"/>
        <v>2500000</v>
      </c>
      <c r="J17" s="48">
        <f t="shared" si="0"/>
        <v>600000</v>
      </c>
      <c r="K17" s="48">
        <f t="shared" si="0"/>
        <v>1900000</v>
      </c>
      <c r="L17" s="48">
        <f t="shared" si="0"/>
        <v>1332000</v>
      </c>
      <c r="M17" s="48">
        <f t="shared" si="0"/>
        <v>71500</v>
      </c>
      <c r="N17" s="48">
        <f t="shared" si="0"/>
        <v>600000</v>
      </c>
      <c r="O17" s="48">
        <f t="shared" si="0"/>
        <v>264495496</v>
      </c>
    </row>
    <row r="18" spans="1:15" s="52" customFormat="1" ht="61.5" hidden="1" customHeight="1" x14ac:dyDescent="0.25">
      <c r="A18" s="7"/>
      <c r="B18" s="8"/>
      <c r="C18" s="9" t="s">
        <v>439</v>
      </c>
      <c r="D18" s="48">
        <f>D23</f>
        <v>0</v>
      </c>
      <c r="E18" s="48">
        <f t="shared" ref="E18:O18" si="1">E23</f>
        <v>0</v>
      </c>
      <c r="F18" s="48">
        <f t="shared" si="1"/>
        <v>0</v>
      </c>
      <c r="G18" s="48">
        <f t="shared" si="1"/>
        <v>0</v>
      </c>
      <c r="H18" s="48">
        <f t="shared" si="1"/>
        <v>0</v>
      </c>
      <c r="I18" s="48">
        <f t="shared" si="1"/>
        <v>0</v>
      </c>
      <c r="J18" s="48">
        <f t="shared" si="1"/>
        <v>0</v>
      </c>
      <c r="K18" s="48">
        <f t="shared" si="1"/>
        <v>0</v>
      </c>
      <c r="L18" s="48">
        <f t="shared" si="1"/>
        <v>0</v>
      </c>
      <c r="M18" s="48">
        <f t="shared" si="1"/>
        <v>0</v>
      </c>
      <c r="N18" s="48">
        <f t="shared" si="1"/>
        <v>0</v>
      </c>
      <c r="O18" s="48">
        <f t="shared" si="1"/>
        <v>0</v>
      </c>
    </row>
    <row r="19" spans="1:15" ht="37.5" customHeight="1" x14ac:dyDescent="0.25">
      <c r="A19" s="37" t="s">
        <v>119</v>
      </c>
      <c r="B19" s="37" t="s">
        <v>46</v>
      </c>
      <c r="C19" s="6" t="s">
        <v>494</v>
      </c>
      <c r="D19" s="49">
        <f>'дод 3'!E21+'дод 3'!E77+'дод 3'!E136+'дод 3'!E168+'дод 3'!E205+'дод 3'!E212+'дод 3'!E229+'дод 3'!E267+'дод 3'!E271+'дод 3'!E290+'дод 3'!E297+'дод 3'!E300+'дод 3'!E311+'дод 3'!E308</f>
        <v>260959996</v>
      </c>
      <c r="E19" s="49">
        <f>'дод 3'!F21+'дод 3'!F77+'дод 3'!F136+'дод 3'!F168+'дод 3'!F205+'дод 3'!F212+'дод 3'!F229+'дод 3'!F267+'дод 3'!F271+'дод 3'!F290+'дод 3'!F297+'дод 3'!F300+'дод 3'!F311+'дод 3'!F308</f>
        <v>260959996</v>
      </c>
      <c r="F19" s="49">
        <f>'дод 3'!G21+'дод 3'!G77+'дод 3'!G136+'дод 3'!G168+'дод 3'!G205+'дод 3'!G212+'дод 3'!G229+'дод 3'!G267+'дод 3'!G271+'дод 3'!G290+'дод 3'!G297+'дод 3'!G300+'дод 3'!G311+'дод 3'!G308</f>
        <v>196758100</v>
      </c>
      <c r="G19" s="49">
        <f>'дод 3'!H21+'дод 3'!H77+'дод 3'!H136+'дод 3'!H168+'дод 3'!H205+'дод 3'!H212+'дод 3'!H229+'дод 3'!H267+'дод 3'!H271+'дод 3'!H290+'дод 3'!H297+'дод 3'!H300+'дод 3'!H311+'дод 3'!H308</f>
        <v>5782983</v>
      </c>
      <c r="H19" s="49">
        <f>'дод 3'!I21+'дод 3'!I77+'дод 3'!I136+'дод 3'!I168+'дод 3'!I205+'дод 3'!I212+'дод 3'!I229+'дод 3'!I267+'дод 3'!I271+'дод 3'!I290+'дод 3'!I297+'дод 3'!I300+'дод 3'!I311+'дод 3'!I308</f>
        <v>0</v>
      </c>
      <c r="I19" s="49">
        <f>'дод 3'!J21+'дод 3'!J77+'дод 3'!J136+'дод 3'!J168+'дод 3'!J205+'дод 3'!J212+'дод 3'!J229+'дод 3'!J267+'дод 3'!J271+'дод 3'!J290+'дод 3'!J297+'дод 3'!J300+'дод 3'!J311+'дод 3'!J308</f>
        <v>2500000</v>
      </c>
      <c r="J19" s="49">
        <f>'дод 3'!K21+'дод 3'!K77+'дод 3'!K136+'дод 3'!K168+'дод 3'!K205+'дод 3'!K212+'дод 3'!K229+'дод 3'!K267+'дод 3'!K271+'дод 3'!K290+'дод 3'!K297+'дод 3'!K300+'дод 3'!K311+'дод 3'!K308</f>
        <v>600000</v>
      </c>
      <c r="K19" s="49">
        <f>'дод 3'!L21+'дод 3'!L77+'дод 3'!L136+'дод 3'!L168+'дод 3'!L205+'дод 3'!L212+'дод 3'!L229+'дод 3'!L267+'дод 3'!L271+'дод 3'!L290+'дод 3'!L297+'дод 3'!L300+'дод 3'!L311+'дод 3'!L308</f>
        <v>1900000</v>
      </c>
      <c r="L19" s="49">
        <f>'дод 3'!M21+'дод 3'!M77+'дод 3'!M136+'дод 3'!M168+'дод 3'!M205+'дод 3'!M212+'дод 3'!M229+'дод 3'!M267+'дод 3'!M271+'дод 3'!M290+'дод 3'!M297+'дод 3'!M300+'дод 3'!M311+'дод 3'!M308</f>
        <v>1332000</v>
      </c>
      <c r="M19" s="49">
        <f>'дод 3'!N21+'дод 3'!N77+'дод 3'!N136+'дод 3'!N168+'дод 3'!N205+'дод 3'!N212+'дод 3'!N229+'дод 3'!N267+'дод 3'!N271+'дод 3'!N290+'дод 3'!N297+'дод 3'!N300+'дод 3'!N311+'дод 3'!N308</f>
        <v>71500</v>
      </c>
      <c r="N19" s="49">
        <f>'дод 3'!O21+'дод 3'!O77+'дод 3'!O136+'дод 3'!O168+'дод 3'!O205+'дод 3'!O212+'дод 3'!O229+'дод 3'!O267+'дод 3'!O271+'дод 3'!O290+'дод 3'!O297+'дод 3'!O300+'дод 3'!O311+'дод 3'!O308</f>
        <v>600000</v>
      </c>
      <c r="O19" s="49">
        <f>'дод 3'!P21+'дод 3'!P77+'дод 3'!P136+'дод 3'!P168+'дод 3'!P205+'дод 3'!P212+'дод 3'!P229+'дод 3'!P267+'дод 3'!P271+'дод 3'!P290+'дод 3'!P297+'дод 3'!P300+'дод 3'!P311+'дод 3'!P308</f>
        <v>263459996</v>
      </c>
    </row>
    <row r="20" spans="1:15" ht="33" hidden="1" customHeight="1" x14ac:dyDescent="0.25">
      <c r="A20" s="58" t="s">
        <v>90</v>
      </c>
      <c r="B20" s="58" t="s">
        <v>462</v>
      </c>
      <c r="C20" s="6" t="s">
        <v>453</v>
      </c>
      <c r="D20" s="49">
        <f>'дод 3'!E22</f>
        <v>0</v>
      </c>
      <c r="E20" s="49">
        <f>'дод 3'!F22</f>
        <v>0</v>
      </c>
      <c r="F20" s="49">
        <f>'дод 3'!G22</f>
        <v>0</v>
      </c>
      <c r="G20" s="49">
        <f>'дод 3'!H22</f>
        <v>0</v>
      </c>
      <c r="H20" s="49">
        <f>'дод 3'!I22</f>
        <v>0</v>
      </c>
      <c r="I20" s="49">
        <f>'дод 3'!J22</f>
        <v>0</v>
      </c>
      <c r="J20" s="49">
        <f>'дод 3'!K22</f>
        <v>0</v>
      </c>
      <c r="K20" s="49">
        <f>'дод 3'!L22</f>
        <v>0</v>
      </c>
      <c r="L20" s="49">
        <f>'дод 3'!M22</f>
        <v>0</v>
      </c>
      <c r="M20" s="49">
        <f>'дод 3'!N22</f>
        <v>0</v>
      </c>
      <c r="N20" s="49">
        <f>'дод 3'!O22</f>
        <v>0</v>
      </c>
      <c r="O20" s="49">
        <f>'дод 3'!P22</f>
        <v>0</v>
      </c>
    </row>
    <row r="21" spans="1:15" ht="22.5" customHeight="1" x14ac:dyDescent="0.25">
      <c r="A21" s="37" t="s">
        <v>45</v>
      </c>
      <c r="B21" s="37" t="s">
        <v>93</v>
      </c>
      <c r="C21" s="6" t="s">
        <v>242</v>
      </c>
      <c r="D21" s="49">
        <f>'дод 3'!E23+'дод 3'!E169+'дод 3'!E230</f>
        <v>1035500</v>
      </c>
      <c r="E21" s="49">
        <f>'дод 3'!F23+'дод 3'!F169+'дод 3'!F230</f>
        <v>1035500</v>
      </c>
      <c r="F21" s="49">
        <f>'дод 3'!G23+'дод 3'!G169+'дод 3'!G230</f>
        <v>0</v>
      </c>
      <c r="G21" s="49">
        <f>'дод 3'!H23+'дод 3'!H169+'дод 3'!H230</f>
        <v>0</v>
      </c>
      <c r="H21" s="49">
        <f>'дод 3'!I23+'дод 3'!I169+'дод 3'!I230</f>
        <v>0</v>
      </c>
      <c r="I21" s="49">
        <f>'дод 3'!J23+'дод 3'!J169+'дод 3'!J230</f>
        <v>0</v>
      </c>
      <c r="J21" s="49">
        <f>'дод 3'!K23+'дод 3'!K169+'дод 3'!K230</f>
        <v>0</v>
      </c>
      <c r="K21" s="49">
        <f>'дод 3'!L23+'дод 3'!L169+'дод 3'!L230</f>
        <v>0</v>
      </c>
      <c r="L21" s="49">
        <f>'дод 3'!M23+'дод 3'!M169+'дод 3'!M230</f>
        <v>0</v>
      </c>
      <c r="M21" s="49">
        <f>'дод 3'!N23+'дод 3'!N169+'дод 3'!N230</f>
        <v>0</v>
      </c>
      <c r="N21" s="49">
        <f>'дод 3'!O23+'дод 3'!O169+'дод 3'!O230</f>
        <v>0</v>
      </c>
      <c r="O21" s="49">
        <f>'дод 3'!P23+'дод 3'!P169+'дод 3'!P230</f>
        <v>1035500</v>
      </c>
    </row>
    <row r="22" spans="1:15" ht="27" hidden="1" customHeight="1" x14ac:dyDescent="0.25">
      <c r="A22" s="58" t="s">
        <v>435</v>
      </c>
      <c r="B22" s="58" t="s">
        <v>119</v>
      </c>
      <c r="C22" s="6" t="s">
        <v>436</v>
      </c>
      <c r="D22" s="49">
        <f>'дод 3'!E24</f>
        <v>0</v>
      </c>
      <c r="E22" s="49">
        <f>'дод 3'!F24</f>
        <v>0</v>
      </c>
      <c r="F22" s="49">
        <f>'дод 3'!G24</f>
        <v>0</v>
      </c>
      <c r="G22" s="49">
        <f>'дод 3'!H24</f>
        <v>0</v>
      </c>
      <c r="H22" s="49">
        <f>'дод 3'!I24</f>
        <v>0</v>
      </c>
      <c r="I22" s="49">
        <f>'дод 3'!J24</f>
        <v>0</v>
      </c>
      <c r="J22" s="49">
        <f>'дод 3'!K24</f>
        <v>0</v>
      </c>
      <c r="K22" s="49">
        <f>'дод 3'!L24</f>
        <v>0</v>
      </c>
      <c r="L22" s="49">
        <f>'дод 3'!M24</f>
        <v>0</v>
      </c>
      <c r="M22" s="49">
        <f>'дод 3'!N24</f>
        <v>0</v>
      </c>
      <c r="N22" s="49">
        <f>'дод 3'!O24</f>
        <v>0</v>
      </c>
      <c r="O22" s="49">
        <f>'дод 3'!P24</f>
        <v>0</v>
      </c>
    </row>
    <row r="23" spans="1:15" s="54" customFormat="1" ht="63" hidden="1" customHeight="1" x14ac:dyDescent="0.25">
      <c r="A23" s="78"/>
      <c r="B23" s="88"/>
      <c r="C23" s="79" t="s">
        <v>439</v>
      </c>
      <c r="D23" s="80">
        <f>'дод 3'!E25</f>
        <v>0</v>
      </c>
      <c r="E23" s="80">
        <f>'дод 3'!F25</f>
        <v>0</v>
      </c>
      <c r="F23" s="80">
        <f>'дод 3'!G25</f>
        <v>0</v>
      </c>
      <c r="G23" s="80">
        <f>'дод 3'!H25</f>
        <v>0</v>
      </c>
      <c r="H23" s="80">
        <f>'дод 3'!I25</f>
        <v>0</v>
      </c>
      <c r="I23" s="80">
        <f>'дод 3'!J25</f>
        <v>0</v>
      </c>
      <c r="J23" s="80">
        <f>'дод 3'!K25</f>
        <v>0</v>
      </c>
      <c r="K23" s="80">
        <f>'дод 3'!L25</f>
        <v>0</v>
      </c>
      <c r="L23" s="80">
        <f>'дод 3'!M25</f>
        <v>0</v>
      </c>
      <c r="M23" s="80">
        <f>'дод 3'!N25</f>
        <v>0</v>
      </c>
      <c r="N23" s="80">
        <f>'дод 3'!O25</f>
        <v>0</v>
      </c>
      <c r="O23" s="80">
        <f>'дод 3'!P25</f>
        <v>0</v>
      </c>
    </row>
    <row r="24" spans="1:15" s="52" customFormat="1" ht="18.75" customHeight="1" x14ac:dyDescent="0.25">
      <c r="A24" s="38" t="s">
        <v>47</v>
      </c>
      <c r="B24" s="39"/>
      <c r="C24" s="9" t="s">
        <v>403</v>
      </c>
      <c r="D24" s="48">
        <f>D36+D38+D45+D47+D48+D51+D53+D55+D58+D60+D61+D62+D63+D64+D65+D67+D68+D69+D71+D73+D75+D77</f>
        <v>1158235183.02</v>
      </c>
      <c r="E24" s="48">
        <f t="shared" ref="E24:O24" si="2">E36+E38+E45+E47+E48+E51+E53+E55+E58+E60+E61+E62+E63+E64+E65+E67+E68+E69+E71+E73+E75+E77</f>
        <v>1158235183.02</v>
      </c>
      <c r="F24" s="48">
        <f t="shared" si="2"/>
        <v>809727325</v>
      </c>
      <c r="G24" s="48">
        <f t="shared" si="2"/>
        <v>87161810</v>
      </c>
      <c r="H24" s="48">
        <f t="shared" si="2"/>
        <v>0</v>
      </c>
      <c r="I24" s="48">
        <f t="shared" si="2"/>
        <v>53822175.18</v>
      </c>
      <c r="J24" s="48">
        <f t="shared" si="2"/>
        <v>14202575.18</v>
      </c>
      <c r="K24" s="48">
        <f t="shared" si="2"/>
        <v>39616470</v>
      </c>
      <c r="L24" s="48">
        <f t="shared" si="2"/>
        <v>4494964</v>
      </c>
      <c r="M24" s="48">
        <f t="shared" si="2"/>
        <v>139890</v>
      </c>
      <c r="N24" s="48">
        <f t="shared" si="2"/>
        <v>14205705.18</v>
      </c>
      <c r="O24" s="48">
        <f t="shared" si="2"/>
        <v>1212057358.2</v>
      </c>
    </row>
    <row r="25" spans="1:15" s="53" customFormat="1" ht="31.5" x14ac:dyDescent="0.25">
      <c r="A25" s="71"/>
      <c r="B25" s="74"/>
      <c r="C25" s="75" t="s">
        <v>389</v>
      </c>
      <c r="D25" s="76">
        <f>D49+D52+D54</f>
        <v>482448000</v>
      </c>
      <c r="E25" s="76">
        <f t="shared" ref="E25:O25" si="3">E49+E52+E54</f>
        <v>482448000</v>
      </c>
      <c r="F25" s="76">
        <f t="shared" si="3"/>
        <v>395816000</v>
      </c>
      <c r="G25" s="76">
        <f t="shared" si="3"/>
        <v>0</v>
      </c>
      <c r="H25" s="76">
        <f t="shared" si="3"/>
        <v>0</v>
      </c>
      <c r="I25" s="76">
        <f t="shared" si="3"/>
        <v>0</v>
      </c>
      <c r="J25" s="76">
        <f t="shared" si="3"/>
        <v>0</v>
      </c>
      <c r="K25" s="76">
        <f t="shared" si="3"/>
        <v>0</v>
      </c>
      <c r="L25" s="76">
        <f t="shared" si="3"/>
        <v>0</v>
      </c>
      <c r="M25" s="76">
        <f t="shared" si="3"/>
        <v>0</v>
      </c>
      <c r="N25" s="76">
        <f t="shared" si="3"/>
        <v>0</v>
      </c>
      <c r="O25" s="76">
        <f t="shared" si="3"/>
        <v>482448000</v>
      </c>
    </row>
    <row r="26" spans="1:15" s="53" customFormat="1" ht="47.25" x14ac:dyDescent="0.25">
      <c r="A26" s="71"/>
      <c r="B26" s="74"/>
      <c r="C26" s="77" t="s">
        <v>544</v>
      </c>
      <c r="D26" s="76">
        <f>D56</f>
        <v>246000</v>
      </c>
      <c r="E26" s="76">
        <f t="shared" ref="E26:O26" si="4">E56</f>
        <v>246000</v>
      </c>
      <c r="F26" s="76">
        <f t="shared" si="4"/>
        <v>0</v>
      </c>
      <c r="G26" s="76">
        <f t="shared" si="4"/>
        <v>0</v>
      </c>
      <c r="H26" s="76">
        <f t="shared" si="4"/>
        <v>0</v>
      </c>
      <c r="I26" s="76">
        <f t="shared" si="4"/>
        <v>1754000</v>
      </c>
      <c r="J26" s="76">
        <f t="shared" si="4"/>
        <v>1754000</v>
      </c>
      <c r="K26" s="76">
        <f t="shared" si="4"/>
        <v>0</v>
      </c>
      <c r="L26" s="76">
        <f t="shared" si="4"/>
        <v>0</v>
      </c>
      <c r="M26" s="76">
        <f t="shared" si="4"/>
        <v>0</v>
      </c>
      <c r="N26" s="76">
        <f t="shared" si="4"/>
        <v>1754000</v>
      </c>
      <c r="O26" s="76">
        <f t="shared" si="4"/>
        <v>2000000</v>
      </c>
    </row>
    <row r="27" spans="1:15" s="53" customFormat="1" ht="47.25" x14ac:dyDescent="0.25">
      <c r="A27" s="71"/>
      <c r="B27" s="74"/>
      <c r="C27" s="75" t="s">
        <v>384</v>
      </c>
      <c r="D27" s="76">
        <f>D50+D66</f>
        <v>3578416</v>
      </c>
      <c r="E27" s="76">
        <f t="shared" ref="E27:O27" si="5">E50+E66</f>
        <v>3578416</v>
      </c>
      <c r="F27" s="76">
        <f t="shared" si="5"/>
        <v>1228720</v>
      </c>
      <c r="G27" s="76">
        <f t="shared" si="5"/>
        <v>0</v>
      </c>
      <c r="H27" s="76">
        <f t="shared" si="5"/>
        <v>0</v>
      </c>
      <c r="I27" s="76">
        <f t="shared" si="5"/>
        <v>0</v>
      </c>
      <c r="J27" s="76">
        <f t="shared" si="5"/>
        <v>0</v>
      </c>
      <c r="K27" s="76">
        <f t="shared" si="5"/>
        <v>0</v>
      </c>
      <c r="L27" s="76">
        <f t="shared" si="5"/>
        <v>0</v>
      </c>
      <c r="M27" s="76">
        <f t="shared" si="5"/>
        <v>0</v>
      </c>
      <c r="N27" s="76">
        <f t="shared" si="5"/>
        <v>0</v>
      </c>
      <c r="O27" s="76">
        <f t="shared" si="5"/>
        <v>3578416</v>
      </c>
    </row>
    <row r="28" spans="1:15" s="53" customFormat="1" ht="47.25" hidden="1" x14ac:dyDescent="0.25">
      <c r="A28" s="71"/>
      <c r="B28" s="74"/>
      <c r="C28" s="75" t="s">
        <v>386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</row>
    <row r="29" spans="1:15" s="53" customFormat="1" ht="50.25" customHeight="1" x14ac:dyDescent="0.25">
      <c r="A29" s="71"/>
      <c r="B29" s="74"/>
      <c r="C29" s="77" t="s">
        <v>383</v>
      </c>
      <c r="D29" s="76">
        <f>D76</f>
        <v>2612700</v>
      </c>
      <c r="E29" s="76">
        <f t="shared" ref="E29:O29" si="6">E76</f>
        <v>2612700</v>
      </c>
      <c r="F29" s="76">
        <f t="shared" si="6"/>
        <v>1459720</v>
      </c>
      <c r="G29" s="76">
        <f t="shared" si="6"/>
        <v>0</v>
      </c>
      <c r="H29" s="76">
        <f t="shared" si="6"/>
        <v>0</v>
      </c>
      <c r="I29" s="76">
        <f t="shared" si="6"/>
        <v>72000</v>
      </c>
      <c r="J29" s="76">
        <f t="shared" si="6"/>
        <v>72000</v>
      </c>
      <c r="K29" s="76">
        <f t="shared" si="6"/>
        <v>0</v>
      </c>
      <c r="L29" s="76">
        <f t="shared" si="6"/>
        <v>0</v>
      </c>
      <c r="M29" s="76">
        <f t="shared" si="6"/>
        <v>0</v>
      </c>
      <c r="N29" s="76">
        <f t="shared" si="6"/>
        <v>72000</v>
      </c>
      <c r="O29" s="76">
        <f t="shared" si="6"/>
        <v>2684700</v>
      </c>
    </row>
    <row r="30" spans="1:15" s="53" customFormat="1" ht="63" hidden="1" x14ac:dyDescent="0.25">
      <c r="A30" s="71"/>
      <c r="B30" s="74"/>
      <c r="C30" s="75" t="s">
        <v>385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1" spans="1:15" s="53" customFormat="1" ht="63" x14ac:dyDescent="0.25">
      <c r="A31" s="71"/>
      <c r="B31" s="71"/>
      <c r="C31" s="77" t="s">
        <v>524</v>
      </c>
      <c r="D31" s="76">
        <f>D78</f>
        <v>1315285.79</v>
      </c>
      <c r="E31" s="76">
        <f t="shared" ref="E31:O31" si="7">E78</f>
        <v>1315285.79</v>
      </c>
      <c r="F31" s="76">
        <f t="shared" si="7"/>
        <v>1034620</v>
      </c>
      <c r="G31" s="76">
        <f t="shared" si="7"/>
        <v>0</v>
      </c>
      <c r="H31" s="76">
        <f t="shared" si="7"/>
        <v>0</v>
      </c>
      <c r="I31" s="76">
        <f t="shared" si="7"/>
        <v>0</v>
      </c>
      <c r="J31" s="76">
        <f t="shared" si="7"/>
        <v>0</v>
      </c>
      <c r="K31" s="76">
        <f t="shared" si="7"/>
        <v>0</v>
      </c>
      <c r="L31" s="76">
        <f t="shared" si="7"/>
        <v>0</v>
      </c>
      <c r="M31" s="76">
        <f t="shared" si="7"/>
        <v>0</v>
      </c>
      <c r="N31" s="76">
        <f t="shared" si="7"/>
        <v>0</v>
      </c>
      <c r="O31" s="76">
        <f t="shared" si="7"/>
        <v>1315285.79</v>
      </c>
    </row>
    <row r="32" spans="1:15" s="53" customFormat="1" ht="31.5" x14ac:dyDescent="0.25">
      <c r="A32" s="71"/>
      <c r="B32" s="71"/>
      <c r="C32" s="77" t="s">
        <v>541</v>
      </c>
      <c r="D32" s="76">
        <f>D57+D59</f>
        <v>741017.59999999998</v>
      </c>
      <c r="E32" s="76">
        <f t="shared" ref="E32:O32" si="8">E57+E59</f>
        <v>741017.59999999998</v>
      </c>
      <c r="F32" s="76">
        <f t="shared" si="8"/>
        <v>0</v>
      </c>
      <c r="G32" s="76">
        <f t="shared" si="8"/>
        <v>0</v>
      </c>
      <c r="H32" s="76">
        <f t="shared" si="8"/>
        <v>0</v>
      </c>
      <c r="I32" s="76">
        <f t="shared" si="8"/>
        <v>4356725.18</v>
      </c>
      <c r="J32" s="76">
        <f t="shared" si="8"/>
        <v>4356725.18</v>
      </c>
      <c r="K32" s="76">
        <f t="shared" si="8"/>
        <v>0</v>
      </c>
      <c r="L32" s="76">
        <f t="shared" si="8"/>
        <v>0</v>
      </c>
      <c r="M32" s="76">
        <f t="shared" si="8"/>
        <v>0</v>
      </c>
      <c r="N32" s="76">
        <f t="shared" si="8"/>
        <v>4356725.18</v>
      </c>
      <c r="O32" s="76">
        <f t="shared" si="8"/>
        <v>5097742.7799999993</v>
      </c>
    </row>
    <row r="33" spans="1:15" s="53" customFormat="1" ht="55.5" customHeight="1" x14ac:dyDescent="0.25">
      <c r="A33" s="71"/>
      <c r="B33" s="71"/>
      <c r="C33" s="77" t="s">
        <v>606</v>
      </c>
      <c r="D33" s="76">
        <f>D70</f>
        <v>287772</v>
      </c>
      <c r="E33" s="76">
        <f t="shared" ref="E33:O33" si="9">E70</f>
        <v>287772</v>
      </c>
      <c r="F33" s="76">
        <f t="shared" si="9"/>
        <v>0</v>
      </c>
      <c r="G33" s="76">
        <f t="shared" si="9"/>
        <v>0</v>
      </c>
      <c r="H33" s="76">
        <f t="shared" si="9"/>
        <v>0</v>
      </c>
      <c r="I33" s="76">
        <f t="shared" si="9"/>
        <v>2859728</v>
      </c>
      <c r="J33" s="76">
        <f t="shared" si="9"/>
        <v>2859728</v>
      </c>
      <c r="K33" s="76">
        <f t="shared" si="9"/>
        <v>0</v>
      </c>
      <c r="L33" s="76">
        <f t="shared" si="9"/>
        <v>0</v>
      </c>
      <c r="M33" s="76">
        <f t="shared" si="9"/>
        <v>0</v>
      </c>
      <c r="N33" s="76">
        <f t="shared" si="9"/>
        <v>2859728</v>
      </c>
      <c r="O33" s="76">
        <f t="shared" si="9"/>
        <v>3147500</v>
      </c>
    </row>
    <row r="34" spans="1:15" s="53" customFormat="1" ht="63" x14ac:dyDescent="0.25">
      <c r="A34" s="71"/>
      <c r="B34" s="71"/>
      <c r="C34" s="77" t="s">
        <v>562</v>
      </c>
      <c r="D34" s="76">
        <f>D74</f>
        <v>6236344</v>
      </c>
      <c r="E34" s="76">
        <f t="shared" ref="E34:O34" si="10">E74</f>
        <v>6236344</v>
      </c>
      <c r="F34" s="76">
        <f t="shared" si="10"/>
        <v>57829</v>
      </c>
      <c r="G34" s="76">
        <f t="shared" si="10"/>
        <v>0</v>
      </c>
      <c r="H34" s="76">
        <f t="shared" si="10"/>
        <v>0</v>
      </c>
      <c r="I34" s="76">
        <f t="shared" si="10"/>
        <v>670719</v>
      </c>
      <c r="J34" s="76">
        <f t="shared" si="10"/>
        <v>670719</v>
      </c>
      <c r="K34" s="76">
        <f t="shared" si="10"/>
        <v>0</v>
      </c>
      <c r="L34" s="76">
        <f t="shared" si="10"/>
        <v>0</v>
      </c>
      <c r="M34" s="76">
        <f t="shared" si="10"/>
        <v>0</v>
      </c>
      <c r="N34" s="76">
        <f t="shared" si="10"/>
        <v>670719</v>
      </c>
      <c r="O34" s="76">
        <f t="shared" si="10"/>
        <v>6907063</v>
      </c>
    </row>
    <row r="35" spans="1:15" s="53" customFormat="1" x14ac:dyDescent="0.25">
      <c r="A35" s="71"/>
      <c r="B35" s="71"/>
      <c r="C35" s="77" t="s">
        <v>395</v>
      </c>
      <c r="D35" s="76">
        <f>D72</f>
        <v>150000</v>
      </c>
      <c r="E35" s="76">
        <f t="shared" ref="E35:O35" si="11">E72</f>
        <v>150000</v>
      </c>
      <c r="F35" s="76">
        <f t="shared" si="11"/>
        <v>0</v>
      </c>
      <c r="G35" s="76">
        <f t="shared" si="11"/>
        <v>0</v>
      </c>
      <c r="H35" s="76">
        <f t="shared" si="11"/>
        <v>0</v>
      </c>
      <c r="I35" s="76">
        <f t="shared" si="11"/>
        <v>0</v>
      </c>
      <c r="J35" s="76">
        <f t="shared" si="11"/>
        <v>0</v>
      </c>
      <c r="K35" s="76">
        <f t="shared" si="11"/>
        <v>0</v>
      </c>
      <c r="L35" s="76">
        <f t="shared" si="11"/>
        <v>0</v>
      </c>
      <c r="M35" s="76">
        <f t="shared" si="11"/>
        <v>0</v>
      </c>
      <c r="N35" s="76">
        <f t="shared" si="11"/>
        <v>0</v>
      </c>
      <c r="O35" s="76">
        <f t="shared" si="11"/>
        <v>150000</v>
      </c>
    </row>
    <row r="36" spans="1:15" ht="17.25" customHeight="1" x14ac:dyDescent="0.25">
      <c r="A36" s="37" t="s">
        <v>48</v>
      </c>
      <c r="B36" s="37" t="s">
        <v>49</v>
      </c>
      <c r="C36" s="6" t="s">
        <v>503</v>
      </c>
      <c r="D36" s="49">
        <f>'дод 3'!E78</f>
        <v>313251086</v>
      </c>
      <c r="E36" s="49">
        <f>'дод 3'!F78</f>
        <v>313251086</v>
      </c>
      <c r="F36" s="49">
        <f>'дод 3'!G78</f>
        <v>204809330</v>
      </c>
      <c r="G36" s="49">
        <f>'дод 3'!H78</f>
        <v>33070107</v>
      </c>
      <c r="H36" s="49">
        <f>'дод 3'!I78</f>
        <v>0</v>
      </c>
      <c r="I36" s="49">
        <f>'дод 3'!J78</f>
        <v>12818678</v>
      </c>
      <c r="J36" s="49">
        <f>'дод 3'!K78</f>
        <v>1058978</v>
      </c>
      <c r="K36" s="49">
        <f>'дод 3'!L78</f>
        <v>11759700</v>
      </c>
      <c r="L36" s="49">
        <f>'дод 3'!M78</f>
        <v>0</v>
      </c>
      <c r="M36" s="49">
        <f>'дод 3'!N78</f>
        <v>0</v>
      </c>
      <c r="N36" s="49">
        <f>'дод 3'!O78</f>
        <v>1058978</v>
      </c>
      <c r="O36" s="49">
        <f>'дод 3'!P78</f>
        <v>326069764</v>
      </c>
    </row>
    <row r="37" spans="1:15" s="54" customFormat="1" ht="47.25" hidden="1" customHeight="1" x14ac:dyDescent="0.25">
      <c r="A37" s="78"/>
      <c r="B37" s="78"/>
      <c r="C37" s="79" t="s">
        <v>383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spans="1:15" ht="38.25" customHeight="1" x14ac:dyDescent="0.25">
      <c r="A38" s="37">
        <v>1021</v>
      </c>
      <c r="B38" s="37" t="s">
        <v>51</v>
      </c>
      <c r="C38" s="60" t="s">
        <v>471</v>
      </c>
      <c r="D38" s="49">
        <f>'дод 3'!E79</f>
        <v>224476209.19999999</v>
      </c>
      <c r="E38" s="49">
        <f>'дод 3'!F79</f>
        <v>224476209.19999999</v>
      </c>
      <c r="F38" s="49">
        <f>'дод 3'!G79</f>
        <v>116673485.94</v>
      </c>
      <c r="G38" s="49">
        <f>'дод 3'!H79</f>
        <v>46002509.549999997</v>
      </c>
      <c r="H38" s="49">
        <f>'дод 3'!I79</f>
        <v>0</v>
      </c>
      <c r="I38" s="49">
        <f>'дод 3'!J79</f>
        <v>26423904</v>
      </c>
      <c r="J38" s="49">
        <f>'дод 3'!K79</f>
        <v>1293104</v>
      </c>
      <c r="K38" s="49">
        <f>'дод 3'!L79</f>
        <v>25130800</v>
      </c>
      <c r="L38" s="49">
        <f>'дод 3'!M79</f>
        <v>2268060</v>
      </c>
      <c r="M38" s="49">
        <f>'дод 3'!N79</f>
        <v>139890</v>
      </c>
      <c r="N38" s="49">
        <f>'дод 3'!O79</f>
        <v>1293104</v>
      </c>
      <c r="O38" s="49">
        <f>'дод 3'!P79</f>
        <v>250900113.19999999</v>
      </c>
    </row>
    <row r="39" spans="1:15" s="54" customFormat="1" ht="63" hidden="1" customHeight="1" x14ac:dyDescent="0.25">
      <c r="A39" s="78"/>
      <c r="B39" s="78"/>
      <c r="C39" s="79" t="s">
        <v>387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</row>
    <row r="40" spans="1:15" s="54" customFormat="1" ht="47.25" hidden="1" customHeight="1" x14ac:dyDescent="0.25">
      <c r="A40" s="78"/>
      <c r="B40" s="78"/>
      <c r="C40" s="79" t="s">
        <v>384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</row>
    <row r="41" spans="1:15" s="54" customFormat="1" ht="47.25" hidden="1" customHeight="1" x14ac:dyDescent="0.25">
      <c r="A41" s="78"/>
      <c r="B41" s="78"/>
      <c r="C41" s="79" t="s">
        <v>386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</row>
    <row r="42" spans="1:15" s="54" customFormat="1" ht="47.25" hidden="1" customHeight="1" x14ac:dyDescent="0.25">
      <c r="A42" s="78"/>
      <c r="B42" s="78"/>
      <c r="C42" s="79" t="s">
        <v>383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</row>
    <row r="43" spans="1:15" s="54" customFormat="1" ht="31.5" hidden="1" customHeight="1" x14ac:dyDescent="0.25">
      <c r="A43" s="78"/>
      <c r="B43" s="78"/>
      <c r="C43" s="79" t="s">
        <v>389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</row>
    <row r="44" spans="1:15" s="54" customFormat="1" ht="63" hidden="1" customHeight="1" x14ac:dyDescent="0.25">
      <c r="A44" s="78"/>
      <c r="B44" s="78"/>
      <c r="C44" s="79" t="s">
        <v>385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</row>
    <row r="45" spans="1:15" ht="69.75" customHeight="1" x14ac:dyDescent="0.25">
      <c r="A45" s="37">
        <v>1022</v>
      </c>
      <c r="B45" s="59" t="s">
        <v>55</v>
      </c>
      <c r="C45" s="36" t="s">
        <v>473</v>
      </c>
      <c r="D45" s="49">
        <f>'дод 3'!E80</f>
        <v>14988107</v>
      </c>
      <c r="E45" s="49">
        <f>'дод 3'!F80</f>
        <v>14988107</v>
      </c>
      <c r="F45" s="49">
        <f>'дод 3'!G80</f>
        <v>8830500</v>
      </c>
      <c r="G45" s="49">
        <f>'дод 3'!H80</f>
        <v>2084107</v>
      </c>
      <c r="H45" s="49">
        <f>'дод 3'!I80</f>
        <v>0</v>
      </c>
      <c r="I45" s="49">
        <f>'дод 3'!J80</f>
        <v>97000</v>
      </c>
      <c r="J45" s="49">
        <f>'дод 3'!K80</f>
        <v>97000</v>
      </c>
      <c r="K45" s="49">
        <f>'дод 3'!L80</f>
        <v>0</v>
      </c>
      <c r="L45" s="49">
        <f>'дод 3'!M80</f>
        <v>0</v>
      </c>
      <c r="M45" s="49">
        <f>'дод 3'!N80</f>
        <v>0</v>
      </c>
      <c r="N45" s="49">
        <f>'дод 3'!O80</f>
        <v>97000</v>
      </c>
      <c r="O45" s="49">
        <f>'дод 3'!P80</f>
        <v>15085107</v>
      </c>
    </row>
    <row r="46" spans="1:15" ht="63" hidden="1" x14ac:dyDescent="0.25">
      <c r="A46" s="37"/>
      <c r="B46" s="37"/>
      <c r="C46" s="79" t="s">
        <v>387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ht="63" x14ac:dyDescent="0.25">
      <c r="A47" s="37">
        <v>1025</v>
      </c>
      <c r="B47" s="37" t="s">
        <v>55</v>
      </c>
      <c r="C47" s="3" t="s">
        <v>602</v>
      </c>
      <c r="D47" s="49">
        <f>'дод 3'!E81</f>
        <v>4106374.43</v>
      </c>
      <c r="E47" s="49">
        <f>'дод 3'!F81</f>
        <v>4106374.43</v>
      </c>
      <c r="F47" s="49">
        <f>'дод 3'!G81</f>
        <v>2829220.06</v>
      </c>
      <c r="G47" s="49">
        <f>'дод 3'!H81</f>
        <v>398866.45</v>
      </c>
      <c r="H47" s="49">
        <f>'дод 3'!I81</f>
        <v>0</v>
      </c>
      <c r="I47" s="49">
        <f>'дод 3'!J81</f>
        <v>0</v>
      </c>
      <c r="J47" s="49">
        <f>'дод 3'!K81</f>
        <v>0</v>
      </c>
      <c r="K47" s="49">
        <f>'дод 3'!L81</f>
        <v>0</v>
      </c>
      <c r="L47" s="49">
        <f>'дод 3'!M81</f>
        <v>0</v>
      </c>
      <c r="M47" s="49">
        <f>'дод 3'!N81</f>
        <v>0</v>
      </c>
      <c r="N47" s="49">
        <f>'дод 3'!O81</f>
        <v>0</v>
      </c>
      <c r="O47" s="49">
        <f>'дод 3'!P81</f>
        <v>4106374.43</v>
      </c>
    </row>
    <row r="48" spans="1:15" s="54" customFormat="1" ht="35.25" customHeight="1" x14ac:dyDescent="0.25">
      <c r="A48" s="93">
        <v>1031</v>
      </c>
      <c r="B48" s="59" t="s">
        <v>51</v>
      </c>
      <c r="C48" s="60" t="s">
        <v>504</v>
      </c>
      <c r="D48" s="49">
        <f>'дод 3'!E82</f>
        <v>468297758.54000002</v>
      </c>
      <c r="E48" s="49">
        <f>'дод 3'!F82</f>
        <v>468297758.54000002</v>
      </c>
      <c r="F48" s="49">
        <f>'дод 3'!G82</f>
        <v>382501138.35000002</v>
      </c>
      <c r="G48" s="49">
        <f>'дод 3'!H82</f>
        <v>0</v>
      </c>
      <c r="H48" s="49">
        <f>'дод 3'!I82</f>
        <v>0</v>
      </c>
      <c r="I48" s="49">
        <f>'дод 3'!J82</f>
        <v>0</v>
      </c>
      <c r="J48" s="49">
        <f>'дод 3'!K82</f>
        <v>0</v>
      </c>
      <c r="K48" s="49">
        <f>'дод 3'!L82</f>
        <v>0</v>
      </c>
      <c r="L48" s="49">
        <f>'дод 3'!M82</f>
        <v>0</v>
      </c>
      <c r="M48" s="49">
        <f>'дод 3'!N82</f>
        <v>0</v>
      </c>
      <c r="N48" s="49">
        <f>'дод 3'!O82</f>
        <v>0</v>
      </c>
      <c r="O48" s="49">
        <f>'дод 3'!P82</f>
        <v>468297758.54000002</v>
      </c>
    </row>
    <row r="49" spans="1:15" s="54" customFormat="1" ht="31.5" x14ac:dyDescent="0.25">
      <c r="A49" s="78"/>
      <c r="B49" s="78"/>
      <c r="C49" s="87" t="s">
        <v>389</v>
      </c>
      <c r="D49" s="80">
        <f>'дод 3'!E83</f>
        <v>466218378.54000002</v>
      </c>
      <c r="E49" s="80">
        <f>'дод 3'!F83</f>
        <v>466218378.54000002</v>
      </c>
      <c r="F49" s="80">
        <f>'дод 3'!G83</f>
        <v>382501138.35000002</v>
      </c>
      <c r="G49" s="80">
        <f>'дод 3'!H83</f>
        <v>0</v>
      </c>
      <c r="H49" s="80">
        <f>'дод 3'!I83</f>
        <v>0</v>
      </c>
      <c r="I49" s="80">
        <f>'дод 3'!J83</f>
        <v>0</v>
      </c>
      <c r="J49" s="80">
        <f>'дод 3'!K83</f>
        <v>0</v>
      </c>
      <c r="K49" s="80">
        <f>'дод 3'!L83</f>
        <v>0</v>
      </c>
      <c r="L49" s="80">
        <f>'дод 3'!M83</f>
        <v>0</v>
      </c>
      <c r="M49" s="80">
        <f>'дод 3'!N83</f>
        <v>0</v>
      </c>
      <c r="N49" s="80">
        <f>'дод 3'!O83</f>
        <v>0</v>
      </c>
      <c r="O49" s="80">
        <f>'дод 3'!P83</f>
        <v>466218378.54000002</v>
      </c>
    </row>
    <row r="50" spans="1:15" ht="50.25" customHeight="1" x14ac:dyDescent="0.25">
      <c r="A50" s="37"/>
      <c r="B50" s="37"/>
      <c r="C50" s="87" t="s">
        <v>384</v>
      </c>
      <c r="D50" s="80">
        <f>'дод 3'!E84</f>
        <v>2079380</v>
      </c>
      <c r="E50" s="80">
        <f>'дод 3'!F84</f>
        <v>2079380</v>
      </c>
      <c r="F50" s="80">
        <f>'дод 3'!G84</f>
        <v>0</v>
      </c>
      <c r="G50" s="80">
        <f>'дод 3'!H84</f>
        <v>0</v>
      </c>
      <c r="H50" s="80">
        <f>'дод 3'!I84</f>
        <v>0</v>
      </c>
      <c r="I50" s="80">
        <f>'дод 3'!J84</f>
        <v>0</v>
      </c>
      <c r="J50" s="80">
        <f>'дод 3'!K84</f>
        <v>0</v>
      </c>
      <c r="K50" s="80">
        <f>'дод 3'!L84</f>
        <v>0</v>
      </c>
      <c r="L50" s="80">
        <f>'дод 3'!M84</f>
        <v>0</v>
      </c>
      <c r="M50" s="80">
        <f>'дод 3'!N84</f>
        <v>0</v>
      </c>
      <c r="N50" s="80">
        <f>'дод 3'!O84</f>
        <v>0</v>
      </c>
      <c r="O50" s="80">
        <f>'дод 3'!P84</f>
        <v>2079380</v>
      </c>
    </row>
    <row r="51" spans="1:15" ht="63.75" customHeight="1" x14ac:dyDescent="0.25">
      <c r="A51" s="59" t="s">
        <v>476</v>
      </c>
      <c r="B51" s="59" t="s">
        <v>55</v>
      </c>
      <c r="C51" s="60" t="s">
        <v>505</v>
      </c>
      <c r="D51" s="49">
        <f>'дод 3'!E85</f>
        <v>15808500</v>
      </c>
      <c r="E51" s="49">
        <f>'дод 3'!F85</f>
        <v>15808500</v>
      </c>
      <c r="F51" s="49">
        <f>'дод 3'!G85</f>
        <v>12969100</v>
      </c>
      <c r="G51" s="49">
        <f>'дод 3'!H85</f>
        <v>0</v>
      </c>
      <c r="H51" s="49">
        <f>'дод 3'!I85</f>
        <v>0</v>
      </c>
      <c r="I51" s="49">
        <f>'дод 3'!J85</f>
        <v>0</v>
      </c>
      <c r="J51" s="49">
        <f>'дод 3'!K85</f>
        <v>0</v>
      </c>
      <c r="K51" s="49">
        <f>'дод 3'!L85</f>
        <v>0</v>
      </c>
      <c r="L51" s="49">
        <f>'дод 3'!M85</f>
        <v>0</v>
      </c>
      <c r="M51" s="49">
        <f>'дод 3'!N85</f>
        <v>0</v>
      </c>
      <c r="N51" s="49">
        <f>'дод 3'!O85</f>
        <v>0</v>
      </c>
      <c r="O51" s="49">
        <f>'дод 3'!P85</f>
        <v>15808500</v>
      </c>
    </row>
    <row r="52" spans="1:15" ht="31.5" x14ac:dyDescent="0.25">
      <c r="A52" s="37"/>
      <c r="B52" s="37"/>
      <c r="C52" s="87" t="s">
        <v>389</v>
      </c>
      <c r="D52" s="80">
        <f>'дод 3'!E86</f>
        <v>15808500</v>
      </c>
      <c r="E52" s="80">
        <f>'дод 3'!F86</f>
        <v>15808500</v>
      </c>
      <c r="F52" s="80">
        <f>'дод 3'!G86</f>
        <v>12969100</v>
      </c>
      <c r="G52" s="80">
        <f>'дод 3'!H86</f>
        <v>0</v>
      </c>
      <c r="H52" s="80">
        <f>'дод 3'!I86</f>
        <v>0</v>
      </c>
      <c r="I52" s="80">
        <f>'дод 3'!J86</f>
        <v>0</v>
      </c>
      <c r="J52" s="80">
        <f>'дод 3'!K86</f>
        <v>0</v>
      </c>
      <c r="K52" s="80">
        <f>'дод 3'!L86</f>
        <v>0</v>
      </c>
      <c r="L52" s="80">
        <f>'дод 3'!M86</f>
        <v>0</v>
      </c>
      <c r="M52" s="80">
        <f>'дод 3'!N86</f>
        <v>0</v>
      </c>
      <c r="N52" s="80">
        <f>'дод 3'!O86</f>
        <v>0</v>
      </c>
      <c r="O52" s="80">
        <f>'дод 3'!P86</f>
        <v>15808500</v>
      </c>
    </row>
    <row r="53" spans="1:15" ht="66.75" customHeight="1" x14ac:dyDescent="0.25">
      <c r="A53" s="37">
        <v>1035</v>
      </c>
      <c r="B53" s="37" t="s">
        <v>55</v>
      </c>
      <c r="C53" s="36" t="s">
        <v>604</v>
      </c>
      <c r="D53" s="49">
        <f>'дод 3'!E87</f>
        <v>421121.46</v>
      </c>
      <c r="E53" s="49">
        <f>'дод 3'!F87</f>
        <v>421121.46</v>
      </c>
      <c r="F53" s="49">
        <f>'дод 3'!G87</f>
        <v>345761.65</v>
      </c>
      <c r="G53" s="49">
        <f>'дод 3'!H87</f>
        <v>0</v>
      </c>
      <c r="H53" s="49">
        <f>'дод 3'!I87</f>
        <v>0</v>
      </c>
      <c r="I53" s="49">
        <f>'дод 3'!J87</f>
        <v>0</v>
      </c>
      <c r="J53" s="49">
        <f>'дод 3'!K87</f>
        <v>0</v>
      </c>
      <c r="K53" s="49">
        <f>'дод 3'!L87</f>
        <v>0</v>
      </c>
      <c r="L53" s="49">
        <f>'дод 3'!M87</f>
        <v>0</v>
      </c>
      <c r="M53" s="49">
        <f>'дод 3'!N87</f>
        <v>0</v>
      </c>
      <c r="N53" s="49">
        <f>'дод 3'!O87</f>
        <v>0</v>
      </c>
      <c r="O53" s="49">
        <f>'дод 3'!P87</f>
        <v>421121.46</v>
      </c>
    </row>
    <row r="54" spans="1:15" ht="31.5" x14ac:dyDescent="0.25">
      <c r="A54" s="37"/>
      <c r="B54" s="37"/>
      <c r="C54" s="87" t="s">
        <v>389</v>
      </c>
      <c r="D54" s="80">
        <f>'дод 3'!E88</f>
        <v>421121.46</v>
      </c>
      <c r="E54" s="80">
        <f>'дод 3'!F88</f>
        <v>421121.46</v>
      </c>
      <c r="F54" s="80">
        <f>'дод 3'!G88</f>
        <v>345761.65</v>
      </c>
      <c r="G54" s="80">
        <f>'дод 3'!H88</f>
        <v>0</v>
      </c>
      <c r="H54" s="80">
        <f>'дод 3'!I88</f>
        <v>0</v>
      </c>
      <c r="I54" s="80">
        <f>'дод 3'!J88</f>
        <v>0</v>
      </c>
      <c r="J54" s="80">
        <f>'дод 3'!K88</f>
        <v>0</v>
      </c>
      <c r="K54" s="80">
        <f>'дод 3'!L88</f>
        <v>0</v>
      </c>
      <c r="L54" s="80">
        <f>'дод 3'!M88</f>
        <v>0</v>
      </c>
      <c r="M54" s="80">
        <f>'дод 3'!N88</f>
        <v>0</v>
      </c>
      <c r="N54" s="80">
        <f>'дод 3'!O88</f>
        <v>0</v>
      </c>
      <c r="O54" s="80">
        <f>'дод 3'!P88</f>
        <v>421121.46</v>
      </c>
    </row>
    <row r="55" spans="1:15" ht="31.5" x14ac:dyDescent="0.25">
      <c r="A55" s="37">
        <v>1061</v>
      </c>
      <c r="B55" s="59" t="s">
        <v>51</v>
      </c>
      <c r="C55" s="36" t="s">
        <v>533</v>
      </c>
      <c r="D55" s="49">
        <f>'дод 3'!E89</f>
        <v>947017.6</v>
      </c>
      <c r="E55" s="49">
        <f>'дод 3'!F89</f>
        <v>947017.6</v>
      </c>
      <c r="F55" s="49">
        <f>'дод 3'!G89</f>
        <v>0</v>
      </c>
      <c r="G55" s="49">
        <f>'дод 3'!H89</f>
        <v>0</v>
      </c>
      <c r="H55" s="49">
        <f>'дод 3'!I89</f>
        <v>0</v>
      </c>
      <c r="I55" s="49">
        <f>'дод 3'!J89</f>
        <v>6110725.1799999997</v>
      </c>
      <c r="J55" s="49">
        <f>'дод 3'!K89</f>
        <v>6110725.1799999997</v>
      </c>
      <c r="K55" s="49">
        <f>'дод 3'!L89</f>
        <v>0</v>
      </c>
      <c r="L55" s="49">
        <f>'дод 3'!M89</f>
        <v>0</v>
      </c>
      <c r="M55" s="49">
        <f>'дод 3'!N89</f>
        <v>0</v>
      </c>
      <c r="N55" s="49">
        <f>'дод 3'!O89</f>
        <v>6110725.1799999997</v>
      </c>
      <c r="O55" s="49">
        <f>'дод 3'!P89</f>
        <v>7057742.7799999993</v>
      </c>
    </row>
    <row r="56" spans="1:15" ht="48.75" customHeight="1" x14ac:dyDescent="0.25">
      <c r="A56" s="37"/>
      <c r="B56" s="59"/>
      <c r="C56" s="87" t="s">
        <v>544</v>
      </c>
      <c r="D56" s="80">
        <f>'дод 3'!E90</f>
        <v>246000</v>
      </c>
      <c r="E56" s="80">
        <f>'дод 3'!F90</f>
        <v>246000</v>
      </c>
      <c r="F56" s="80">
        <f>'дод 3'!G90</f>
        <v>0</v>
      </c>
      <c r="G56" s="80">
        <f>'дод 3'!H90</f>
        <v>0</v>
      </c>
      <c r="H56" s="80">
        <f>'дод 3'!I90</f>
        <v>0</v>
      </c>
      <c r="I56" s="80">
        <f>'дод 3'!J90</f>
        <v>1754000</v>
      </c>
      <c r="J56" s="80">
        <f>'дод 3'!K90</f>
        <v>1754000</v>
      </c>
      <c r="K56" s="80">
        <f>'дод 3'!L90</f>
        <v>0</v>
      </c>
      <c r="L56" s="80">
        <f>'дод 3'!M90</f>
        <v>0</v>
      </c>
      <c r="M56" s="80">
        <f>'дод 3'!N90</f>
        <v>0</v>
      </c>
      <c r="N56" s="80">
        <f>'дод 3'!O90</f>
        <v>1754000</v>
      </c>
      <c r="O56" s="80">
        <f>'дод 3'!P90</f>
        <v>2000000</v>
      </c>
    </row>
    <row r="57" spans="1:15" s="54" customFormat="1" ht="32.25" customHeight="1" x14ac:dyDescent="0.25">
      <c r="A57" s="78"/>
      <c r="B57" s="84"/>
      <c r="C57" s="87" t="s">
        <v>541</v>
      </c>
      <c r="D57" s="80">
        <f>'дод 3'!E91</f>
        <v>701017.59999999998</v>
      </c>
      <c r="E57" s="80">
        <f>'дод 3'!F91</f>
        <v>701017.59999999998</v>
      </c>
      <c r="F57" s="80">
        <f>'дод 3'!G91</f>
        <v>0</v>
      </c>
      <c r="G57" s="80">
        <f>'дод 3'!H91</f>
        <v>0</v>
      </c>
      <c r="H57" s="80">
        <f>'дод 3'!I91</f>
        <v>0</v>
      </c>
      <c r="I57" s="80">
        <f>'дод 3'!J91</f>
        <v>4356725.18</v>
      </c>
      <c r="J57" s="80">
        <f>'дод 3'!K91</f>
        <v>4356725.18</v>
      </c>
      <c r="K57" s="80">
        <f>'дод 3'!L91</f>
        <v>0</v>
      </c>
      <c r="L57" s="80">
        <f>'дод 3'!M91</f>
        <v>0</v>
      </c>
      <c r="M57" s="80">
        <f>'дод 3'!N91</f>
        <v>0</v>
      </c>
      <c r="N57" s="80">
        <f>'дод 3'!O91</f>
        <v>4356725.18</v>
      </c>
      <c r="O57" s="80">
        <f>'дод 3'!P91</f>
        <v>5057742.7799999993</v>
      </c>
    </row>
    <row r="58" spans="1:15" s="54" customFormat="1" ht="69" customHeight="1" x14ac:dyDescent="0.25">
      <c r="A58" s="37">
        <v>1062</v>
      </c>
      <c r="B58" s="59" t="s">
        <v>55</v>
      </c>
      <c r="C58" s="60" t="s">
        <v>505</v>
      </c>
      <c r="D58" s="49">
        <f>'дод 3'!E92</f>
        <v>40000</v>
      </c>
      <c r="E58" s="49">
        <f>'дод 3'!F92</f>
        <v>40000</v>
      </c>
      <c r="F58" s="49">
        <f>'дод 3'!G92</f>
        <v>0</v>
      </c>
      <c r="G58" s="49">
        <f>'дод 3'!H92</f>
        <v>0</v>
      </c>
      <c r="H58" s="49">
        <f>'дод 3'!I92</f>
        <v>0</v>
      </c>
      <c r="I58" s="49">
        <f>'дод 3'!J92</f>
        <v>0</v>
      </c>
      <c r="J58" s="49">
        <f>'дод 3'!K92</f>
        <v>0</v>
      </c>
      <c r="K58" s="49">
        <f>'дод 3'!L92</f>
        <v>0</v>
      </c>
      <c r="L58" s="49">
        <f>'дод 3'!M92</f>
        <v>0</v>
      </c>
      <c r="M58" s="49">
        <f>'дод 3'!N92</f>
        <v>0</v>
      </c>
      <c r="N58" s="49">
        <f>'дод 3'!O92</f>
        <v>0</v>
      </c>
      <c r="O58" s="49">
        <f>'дод 3'!P92</f>
        <v>40000</v>
      </c>
    </row>
    <row r="59" spans="1:15" s="54" customFormat="1" ht="32.25" customHeight="1" x14ac:dyDescent="0.25">
      <c r="A59" s="78"/>
      <c r="B59" s="84"/>
      <c r="C59" s="87" t="s">
        <v>541</v>
      </c>
      <c r="D59" s="80">
        <f>'дод 3'!E93</f>
        <v>40000</v>
      </c>
      <c r="E59" s="80">
        <f>'дод 3'!F93</f>
        <v>40000</v>
      </c>
      <c r="F59" s="80">
        <f>'дод 3'!G93</f>
        <v>0</v>
      </c>
      <c r="G59" s="80">
        <f>'дод 3'!H93</f>
        <v>0</v>
      </c>
      <c r="H59" s="80">
        <f>'дод 3'!I93</f>
        <v>0</v>
      </c>
      <c r="I59" s="80">
        <f>'дод 3'!J93</f>
        <v>0</v>
      </c>
      <c r="J59" s="80">
        <f>'дод 3'!K93</f>
        <v>0</v>
      </c>
      <c r="K59" s="80">
        <f>'дод 3'!L93</f>
        <v>0</v>
      </c>
      <c r="L59" s="80">
        <f>'дод 3'!M93</f>
        <v>0</v>
      </c>
      <c r="M59" s="80">
        <f>'дод 3'!N93</f>
        <v>0</v>
      </c>
      <c r="N59" s="80">
        <f>'дод 3'!O93</f>
        <v>0</v>
      </c>
      <c r="O59" s="80">
        <f>'дод 3'!P93</f>
        <v>40000</v>
      </c>
    </row>
    <row r="60" spans="1:15" s="54" customFormat="1" ht="38.25" customHeight="1" x14ac:dyDescent="0.25">
      <c r="A60" s="59" t="s">
        <v>54</v>
      </c>
      <c r="B60" s="59" t="s">
        <v>57</v>
      </c>
      <c r="C60" s="60" t="s">
        <v>365</v>
      </c>
      <c r="D60" s="49">
        <f>'дод 3'!E94</f>
        <v>36378495</v>
      </c>
      <c r="E60" s="49">
        <f>'дод 3'!F94</f>
        <v>36378495</v>
      </c>
      <c r="F60" s="49">
        <f>'дод 3'!G94</f>
        <v>26185400</v>
      </c>
      <c r="G60" s="49">
        <f>'дод 3'!H94</f>
        <v>3705945</v>
      </c>
      <c r="H60" s="49">
        <f>'дод 3'!I94</f>
        <v>0</v>
      </c>
      <c r="I60" s="49">
        <f>'дод 3'!J94</f>
        <v>112500</v>
      </c>
      <c r="J60" s="49">
        <f>'дод 3'!K94</f>
        <v>112500</v>
      </c>
      <c r="K60" s="49">
        <f>'дод 3'!L94</f>
        <v>0</v>
      </c>
      <c r="L60" s="49">
        <f>'дод 3'!M94</f>
        <v>0</v>
      </c>
      <c r="M60" s="49">
        <f>'дод 3'!N94</f>
        <v>0</v>
      </c>
      <c r="N60" s="49">
        <f>'дод 3'!O94</f>
        <v>112500</v>
      </c>
      <c r="O60" s="49">
        <f>'дод 3'!P94</f>
        <v>36490995</v>
      </c>
    </row>
    <row r="61" spans="1:15" s="54" customFormat="1" ht="16.5" customHeight="1" x14ac:dyDescent="0.25">
      <c r="A61" s="93">
        <v>1080</v>
      </c>
      <c r="B61" s="59" t="s">
        <v>57</v>
      </c>
      <c r="C61" s="60" t="s">
        <v>510</v>
      </c>
      <c r="D61" s="49">
        <f>'дод 3'!E213</f>
        <v>51114215</v>
      </c>
      <c r="E61" s="49">
        <f>'дод 3'!F213</f>
        <v>51114215</v>
      </c>
      <c r="F61" s="49">
        <f>'дод 3'!G213</f>
        <v>40594000</v>
      </c>
      <c r="G61" s="49">
        <f>'дод 3'!H213</f>
        <v>944015</v>
      </c>
      <c r="H61" s="49">
        <f>'дод 3'!I213</f>
        <v>0</v>
      </c>
      <c r="I61" s="49">
        <f>'дод 3'!J213</f>
        <v>2729100</v>
      </c>
      <c r="J61" s="49">
        <f>'дод 3'!K213</f>
        <v>0</v>
      </c>
      <c r="K61" s="49">
        <f>'дод 3'!L213</f>
        <v>2725970</v>
      </c>
      <c r="L61" s="49">
        <f>'дод 3'!M213</f>
        <v>2226904</v>
      </c>
      <c r="M61" s="49">
        <f>'дод 3'!N213</f>
        <v>0</v>
      </c>
      <c r="N61" s="49">
        <f>'дод 3'!O213</f>
        <v>3130</v>
      </c>
      <c r="O61" s="49">
        <f>'дод 3'!P213</f>
        <v>53843315</v>
      </c>
    </row>
    <row r="62" spans="1:15" s="54" customFormat="1" ht="21" customHeight="1" x14ac:dyDescent="0.25">
      <c r="A62" s="59" t="s">
        <v>479</v>
      </c>
      <c r="B62" s="59" t="s">
        <v>58</v>
      </c>
      <c r="C62" s="36" t="s">
        <v>511</v>
      </c>
      <c r="D62" s="49">
        <f>'дод 3'!E95</f>
        <v>11562450</v>
      </c>
      <c r="E62" s="49">
        <f>'дод 3'!F95</f>
        <v>11562450</v>
      </c>
      <c r="F62" s="49">
        <f>'дод 3'!G95</f>
        <v>8331500</v>
      </c>
      <c r="G62" s="49">
        <f>'дод 3'!H95</f>
        <v>760450</v>
      </c>
      <c r="H62" s="49">
        <f>'дод 3'!I95</f>
        <v>0</v>
      </c>
      <c r="I62" s="49">
        <f>'дод 3'!J95</f>
        <v>0</v>
      </c>
      <c r="J62" s="49">
        <f>'дод 3'!K95</f>
        <v>0</v>
      </c>
      <c r="K62" s="49">
        <f>'дод 3'!L95</f>
        <v>0</v>
      </c>
      <c r="L62" s="49">
        <f>'дод 3'!M95</f>
        <v>0</v>
      </c>
      <c r="M62" s="49">
        <f>'дод 3'!N95</f>
        <v>0</v>
      </c>
      <c r="N62" s="49">
        <f>'дод 3'!O95</f>
        <v>0</v>
      </c>
      <c r="O62" s="49">
        <f>'дод 3'!P95</f>
        <v>11562450</v>
      </c>
    </row>
    <row r="63" spans="1:15" x14ac:dyDescent="0.25">
      <c r="A63" s="59" t="s">
        <v>481</v>
      </c>
      <c r="B63" s="59" t="s">
        <v>58</v>
      </c>
      <c r="C63" s="36" t="s">
        <v>281</v>
      </c>
      <c r="D63" s="49">
        <f>'дод 3'!E96</f>
        <v>113000</v>
      </c>
      <c r="E63" s="49">
        <f>'дод 3'!F96</f>
        <v>113000</v>
      </c>
      <c r="F63" s="49">
        <f>'дод 3'!G96</f>
        <v>0</v>
      </c>
      <c r="G63" s="49">
        <f>'дод 3'!H96</f>
        <v>0</v>
      </c>
      <c r="H63" s="49">
        <f>'дод 3'!I96</f>
        <v>0</v>
      </c>
      <c r="I63" s="49">
        <f>'дод 3'!J96</f>
        <v>0</v>
      </c>
      <c r="J63" s="49">
        <f>'дод 3'!K96</f>
        <v>0</v>
      </c>
      <c r="K63" s="49">
        <f>'дод 3'!L96</f>
        <v>0</v>
      </c>
      <c r="L63" s="49">
        <f>'дод 3'!M96</f>
        <v>0</v>
      </c>
      <c r="M63" s="49">
        <f>'дод 3'!N96</f>
        <v>0</v>
      </c>
      <c r="N63" s="49">
        <f>'дод 3'!O96</f>
        <v>0</v>
      </c>
      <c r="O63" s="49">
        <f>'дод 3'!P96</f>
        <v>113000</v>
      </c>
    </row>
    <row r="64" spans="1:15" ht="31.5" x14ac:dyDescent="0.25">
      <c r="A64" s="59" t="s">
        <v>483</v>
      </c>
      <c r="B64" s="59" t="s">
        <v>58</v>
      </c>
      <c r="C64" s="60" t="s">
        <v>484</v>
      </c>
      <c r="D64" s="49">
        <f>'дод 3'!E97</f>
        <v>135033</v>
      </c>
      <c r="E64" s="49">
        <f>'дод 3'!F97</f>
        <v>135033</v>
      </c>
      <c r="F64" s="49">
        <f>'дод 3'!G97</f>
        <v>0</v>
      </c>
      <c r="G64" s="49">
        <f>'дод 3'!H97</f>
        <v>80633</v>
      </c>
      <c r="H64" s="49">
        <f>'дод 3'!I97</f>
        <v>0</v>
      </c>
      <c r="I64" s="49">
        <f>'дод 3'!J97</f>
        <v>0</v>
      </c>
      <c r="J64" s="49">
        <f>'дод 3'!K97</f>
        <v>0</v>
      </c>
      <c r="K64" s="49">
        <f>'дод 3'!L97</f>
        <v>0</v>
      </c>
      <c r="L64" s="49">
        <f>'дод 3'!M97</f>
        <v>0</v>
      </c>
      <c r="M64" s="49">
        <f>'дод 3'!N97</f>
        <v>0</v>
      </c>
      <c r="N64" s="49">
        <f>'дод 3'!O97</f>
        <v>0</v>
      </c>
      <c r="O64" s="49">
        <f>'дод 3'!P97</f>
        <v>135033</v>
      </c>
    </row>
    <row r="65" spans="1:15" ht="36.75" customHeight="1" x14ac:dyDescent="0.25">
      <c r="A65" s="59" t="s">
        <v>486</v>
      </c>
      <c r="B65" s="59" t="s">
        <v>58</v>
      </c>
      <c r="C65" s="60" t="s">
        <v>512</v>
      </c>
      <c r="D65" s="49">
        <f>'дод 3'!E98</f>
        <v>1499036</v>
      </c>
      <c r="E65" s="49">
        <f>'дод 3'!F98</f>
        <v>1499036</v>
      </c>
      <c r="F65" s="49">
        <f>'дод 3'!G98</f>
        <v>1228720</v>
      </c>
      <c r="G65" s="49">
        <f>'дод 3'!H98</f>
        <v>0</v>
      </c>
      <c r="H65" s="49">
        <f>'дод 3'!I98</f>
        <v>0</v>
      </c>
      <c r="I65" s="49">
        <f>'дод 3'!J98</f>
        <v>0</v>
      </c>
      <c r="J65" s="49">
        <f>'дод 3'!K98</f>
        <v>0</v>
      </c>
      <c r="K65" s="49">
        <f>'дод 3'!L98</f>
        <v>0</v>
      </c>
      <c r="L65" s="49">
        <f>'дод 3'!M98</f>
        <v>0</v>
      </c>
      <c r="M65" s="49">
        <f>'дод 3'!N98</f>
        <v>0</v>
      </c>
      <c r="N65" s="49">
        <f>'дод 3'!O98</f>
        <v>0</v>
      </c>
      <c r="O65" s="49">
        <f>'дод 3'!P98</f>
        <v>1499036</v>
      </c>
    </row>
    <row r="66" spans="1:15" ht="49.5" customHeight="1" x14ac:dyDescent="0.25">
      <c r="A66" s="37"/>
      <c r="B66" s="37"/>
      <c r="C66" s="87" t="s">
        <v>384</v>
      </c>
      <c r="D66" s="80">
        <f>'дод 3'!E99</f>
        <v>1499036</v>
      </c>
      <c r="E66" s="80">
        <f>'дод 3'!F99</f>
        <v>1499036</v>
      </c>
      <c r="F66" s="80">
        <f>'дод 3'!G99</f>
        <v>1228720</v>
      </c>
      <c r="G66" s="80">
        <f>'дод 3'!H99</f>
        <v>0</v>
      </c>
      <c r="H66" s="80">
        <f>'дод 3'!I99</f>
        <v>0</v>
      </c>
      <c r="I66" s="80">
        <f>'дод 3'!J99</f>
        <v>0</v>
      </c>
      <c r="J66" s="80">
        <f>'дод 3'!K99</f>
        <v>0</v>
      </c>
      <c r="K66" s="80">
        <f>'дод 3'!L99</f>
        <v>0</v>
      </c>
      <c r="L66" s="80">
        <f>'дод 3'!M99</f>
        <v>0</v>
      </c>
      <c r="M66" s="80">
        <f>'дод 3'!N99</f>
        <v>0</v>
      </c>
      <c r="N66" s="80">
        <f>'дод 3'!O99</f>
        <v>0</v>
      </c>
      <c r="O66" s="80">
        <f>'дод 3'!P99</f>
        <v>1499036</v>
      </c>
    </row>
    <row r="67" spans="1:15" s="54" customFormat="1" ht="31.5" x14ac:dyDescent="0.25">
      <c r="A67" s="59" t="s">
        <v>488</v>
      </c>
      <c r="B67" s="59" t="str">
        <f>'дод 8'!A19</f>
        <v>0160</v>
      </c>
      <c r="C67" s="60" t="s">
        <v>489</v>
      </c>
      <c r="D67" s="49">
        <f>'дод 3'!E100</f>
        <v>2552577</v>
      </c>
      <c r="E67" s="49">
        <f>'дод 3'!F100</f>
        <v>2552577</v>
      </c>
      <c r="F67" s="49">
        <f>'дод 3'!G100</f>
        <v>1877000</v>
      </c>
      <c r="G67" s="49">
        <f>'дод 3'!H100</f>
        <v>115177</v>
      </c>
      <c r="H67" s="49">
        <f>'дод 3'!I100</f>
        <v>0</v>
      </c>
      <c r="I67" s="49">
        <f>'дод 3'!J100</f>
        <v>41000</v>
      </c>
      <c r="J67" s="49">
        <f>'дод 3'!K100</f>
        <v>41000</v>
      </c>
      <c r="K67" s="49">
        <f>'дод 3'!L100</f>
        <v>0</v>
      </c>
      <c r="L67" s="49">
        <f>'дод 3'!M100</f>
        <v>0</v>
      </c>
      <c r="M67" s="49">
        <f>'дод 3'!N100</f>
        <v>0</v>
      </c>
      <c r="N67" s="49">
        <f>'дод 3'!O100</f>
        <v>41000</v>
      </c>
      <c r="O67" s="49">
        <f>'дод 3'!P100</f>
        <v>2593577</v>
      </c>
    </row>
    <row r="68" spans="1:15" s="54" customFormat="1" ht="66" customHeight="1" x14ac:dyDescent="0.25">
      <c r="A68" s="59" t="s">
        <v>570</v>
      </c>
      <c r="B68" s="59" t="s">
        <v>58</v>
      </c>
      <c r="C68" s="60" t="s">
        <v>573</v>
      </c>
      <c r="D68" s="49">
        <f>'дод 3'!E101</f>
        <v>0</v>
      </c>
      <c r="E68" s="49">
        <f>'дод 3'!F101</f>
        <v>0</v>
      </c>
      <c r="F68" s="49">
        <f>'дод 3'!G101</f>
        <v>0</v>
      </c>
      <c r="G68" s="49">
        <f>'дод 3'!H101</f>
        <v>0</v>
      </c>
      <c r="H68" s="49">
        <f>'дод 3'!I101</f>
        <v>0</v>
      </c>
      <c r="I68" s="49">
        <f>'дод 3'!J101</f>
        <v>1522670</v>
      </c>
      <c r="J68" s="49">
        <f>'дод 3'!K101</f>
        <v>1522670</v>
      </c>
      <c r="K68" s="49">
        <f>'дод 3'!L101</f>
        <v>0</v>
      </c>
      <c r="L68" s="49">
        <f>'дод 3'!M101</f>
        <v>0</v>
      </c>
      <c r="M68" s="49">
        <f>'дод 3'!N101</f>
        <v>0</v>
      </c>
      <c r="N68" s="49">
        <f>'дод 3'!O101</f>
        <v>1522670</v>
      </c>
      <c r="O68" s="49">
        <f>'дод 3'!P101</f>
        <v>1522670</v>
      </c>
    </row>
    <row r="69" spans="1:15" s="54" customFormat="1" ht="48" customHeight="1" x14ac:dyDescent="0.25">
      <c r="A69" s="59" t="s">
        <v>559</v>
      </c>
      <c r="B69" s="59" t="s">
        <v>58</v>
      </c>
      <c r="C69" s="60" t="s">
        <v>561</v>
      </c>
      <c r="D69" s="99">
        <f>'дод 3'!E102</f>
        <v>287772</v>
      </c>
      <c r="E69" s="99">
        <f>'дод 3'!F102</f>
        <v>287772</v>
      </c>
      <c r="F69" s="99">
        <f>'дод 3'!G102</f>
        <v>0</v>
      </c>
      <c r="G69" s="99">
        <f>'дод 3'!H102</f>
        <v>0</v>
      </c>
      <c r="H69" s="99">
        <f>'дод 3'!I102</f>
        <v>0</v>
      </c>
      <c r="I69" s="99">
        <f>'дод 3'!J102</f>
        <v>2859728</v>
      </c>
      <c r="J69" s="99">
        <f>'дод 3'!K102</f>
        <v>2859728</v>
      </c>
      <c r="K69" s="99">
        <f>'дод 3'!L102</f>
        <v>0</v>
      </c>
      <c r="L69" s="99">
        <f>'дод 3'!M102</f>
        <v>0</v>
      </c>
      <c r="M69" s="99">
        <f>'дод 3'!N102</f>
        <v>0</v>
      </c>
      <c r="N69" s="99">
        <f>'дод 3'!O102</f>
        <v>2859728</v>
      </c>
      <c r="O69" s="99">
        <f>'дод 3'!P102</f>
        <v>3147500</v>
      </c>
    </row>
    <row r="70" spans="1:15" s="54" customFormat="1" ht="47.25" x14ac:dyDescent="0.25">
      <c r="A70" s="84"/>
      <c r="B70" s="84"/>
      <c r="C70" s="87" t="s">
        <v>606</v>
      </c>
      <c r="D70" s="101">
        <f>'дод 3'!E103</f>
        <v>287772</v>
      </c>
      <c r="E70" s="101">
        <f>'дод 3'!F103</f>
        <v>287772</v>
      </c>
      <c r="F70" s="101">
        <f>'дод 3'!G103</f>
        <v>0</v>
      </c>
      <c r="G70" s="101">
        <f>'дод 3'!H103</f>
        <v>0</v>
      </c>
      <c r="H70" s="101">
        <f>'дод 3'!I103</f>
        <v>0</v>
      </c>
      <c r="I70" s="101">
        <f>'дод 3'!J103</f>
        <v>2859728</v>
      </c>
      <c r="J70" s="101">
        <f>'дод 3'!K103</f>
        <v>2859728</v>
      </c>
      <c r="K70" s="101">
        <f>'дод 3'!L103</f>
        <v>0</v>
      </c>
      <c r="L70" s="101">
        <f>'дод 3'!M103</f>
        <v>0</v>
      </c>
      <c r="M70" s="101">
        <f>'дод 3'!N103</f>
        <v>0</v>
      </c>
      <c r="N70" s="101">
        <f>'дод 3'!O103</f>
        <v>2859728</v>
      </c>
      <c r="O70" s="101">
        <f>'дод 3'!P103</f>
        <v>3147500</v>
      </c>
    </row>
    <row r="71" spans="1:15" s="54" customFormat="1" ht="78.75" x14ac:dyDescent="0.25">
      <c r="A71" s="59" t="s">
        <v>572</v>
      </c>
      <c r="B71" s="59" t="s">
        <v>58</v>
      </c>
      <c r="C71" s="60" t="s">
        <v>599</v>
      </c>
      <c r="D71" s="99">
        <f>'дод 3'!E104</f>
        <v>2092101</v>
      </c>
      <c r="E71" s="99">
        <f>'дод 3'!F104</f>
        <v>2092101</v>
      </c>
      <c r="F71" s="99">
        <f>'дод 3'!G104</f>
        <v>0</v>
      </c>
      <c r="G71" s="99">
        <f>'дод 3'!H104</f>
        <v>0</v>
      </c>
      <c r="H71" s="99">
        <f>'дод 3'!I104</f>
        <v>0</v>
      </c>
      <c r="I71" s="99">
        <f>'дод 3'!J104</f>
        <v>364151</v>
      </c>
      <c r="J71" s="99">
        <f>'дод 3'!K104</f>
        <v>364151</v>
      </c>
      <c r="K71" s="99">
        <f>'дод 3'!L104</f>
        <v>0</v>
      </c>
      <c r="L71" s="99">
        <f>'дод 3'!M104</f>
        <v>0</v>
      </c>
      <c r="M71" s="99">
        <f>'дод 3'!N104</f>
        <v>0</v>
      </c>
      <c r="N71" s="99">
        <f>'дод 3'!O104</f>
        <v>364151</v>
      </c>
      <c r="O71" s="99">
        <f>'дод 3'!P104</f>
        <v>2456252</v>
      </c>
    </row>
    <row r="72" spans="1:15" s="54" customFormat="1" x14ac:dyDescent="0.25">
      <c r="A72" s="84"/>
      <c r="B72" s="84"/>
      <c r="C72" s="87" t="s">
        <v>395</v>
      </c>
      <c r="D72" s="101">
        <f>'дод 3'!E105</f>
        <v>150000</v>
      </c>
      <c r="E72" s="101">
        <f>'дод 3'!F105</f>
        <v>150000</v>
      </c>
      <c r="F72" s="101">
        <f>'дод 3'!G105</f>
        <v>0</v>
      </c>
      <c r="G72" s="101">
        <f>'дод 3'!H105</f>
        <v>0</v>
      </c>
      <c r="H72" s="101">
        <f>'дод 3'!I105</f>
        <v>0</v>
      </c>
      <c r="I72" s="101">
        <f>'дод 3'!J105</f>
        <v>0</v>
      </c>
      <c r="J72" s="101">
        <f>'дод 3'!K105</f>
        <v>0</v>
      </c>
      <c r="K72" s="101">
        <f>'дод 3'!L105</f>
        <v>0</v>
      </c>
      <c r="L72" s="101">
        <f>'дод 3'!M105</f>
        <v>0</v>
      </c>
      <c r="M72" s="101">
        <f>'дод 3'!N105</f>
        <v>0</v>
      </c>
      <c r="N72" s="101">
        <f>'дод 3'!O105</f>
        <v>0</v>
      </c>
      <c r="O72" s="101">
        <f>'дод 3'!P105</f>
        <v>150000</v>
      </c>
    </row>
    <row r="73" spans="1:15" s="54" customFormat="1" ht="78.75" x14ac:dyDescent="0.25">
      <c r="A73" s="59" t="s">
        <v>560</v>
      </c>
      <c r="B73" s="59" t="s">
        <v>58</v>
      </c>
      <c r="C73" s="60" t="s">
        <v>607</v>
      </c>
      <c r="D73" s="49">
        <f>'дод 3'!E106</f>
        <v>6236344</v>
      </c>
      <c r="E73" s="49">
        <f>'дод 3'!F106</f>
        <v>6236344</v>
      </c>
      <c r="F73" s="49">
        <f>'дод 3'!G106</f>
        <v>57829</v>
      </c>
      <c r="G73" s="49">
        <f>'дод 3'!H106</f>
        <v>0</v>
      </c>
      <c r="H73" s="49">
        <f>'дод 3'!I106</f>
        <v>0</v>
      </c>
      <c r="I73" s="49">
        <f>'дод 3'!J106</f>
        <v>670719</v>
      </c>
      <c r="J73" s="49">
        <f>'дод 3'!K106</f>
        <v>670719</v>
      </c>
      <c r="K73" s="49">
        <f>'дод 3'!L106</f>
        <v>0</v>
      </c>
      <c r="L73" s="49">
        <f>'дод 3'!M106</f>
        <v>0</v>
      </c>
      <c r="M73" s="49">
        <f>'дод 3'!N106</f>
        <v>0</v>
      </c>
      <c r="N73" s="49">
        <f>'дод 3'!O106</f>
        <v>670719</v>
      </c>
      <c r="O73" s="49">
        <f>'дод 3'!P106</f>
        <v>6907063</v>
      </c>
    </row>
    <row r="74" spans="1:15" s="54" customFormat="1" ht="68.25" customHeight="1" x14ac:dyDescent="0.25">
      <c r="A74" s="84"/>
      <c r="B74" s="84"/>
      <c r="C74" s="87" t="s">
        <v>562</v>
      </c>
      <c r="D74" s="80">
        <f>'дод 3'!E107</f>
        <v>6236344</v>
      </c>
      <c r="E74" s="80">
        <f>'дод 3'!F107</f>
        <v>6236344</v>
      </c>
      <c r="F74" s="80">
        <f>'дод 3'!G107</f>
        <v>57829</v>
      </c>
      <c r="G74" s="80">
        <f>'дод 3'!H107</f>
        <v>0</v>
      </c>
      <c r="H74" s="80">
        <f>'дод 3'!I107</f>
        <v>0</v>
      </c>
      <c r="I74" s="80">
        <f>'дод 3'!J107</f>
        <v>670719</v>
      </c>
      <c r="J74" s="80">
        <f>'дод 3'!K107</f>
        <v>670719</v>
      </c>
      <c r="K74" s="80">
        <f>'дод 3'!L107</f>
        <v>0</v>
      </c>
      <c r="L74" s="80">
        <f>'дод 3'!M107</f>
        <v>0</v>
      </c>
      <c r="M74" s="80">
        <f>'дод 3'!N107</f>
        <v>0</v>
      </c>
      <c r="N74" s="80">
        <f>'дод 3'!O107</f>
        <v>670719</v>
      </c>
      <c r="O74" s="80">
        <f>'дод 3'!P107</f>
        <v>6907063</v>
      </c>
    </row>
    <row r="75" spans="1:15" s="54" customFormat="1" ht="63" x14ac:dyDescent="0.25">
      <c r="A75" s="59" t="s">
        <v>491</v>
      </c>
      <c r="B75" s="59" t="s">
        <v>58</v>
      </c>
      <c r="C75" s="94" t="s">
        <v>513</v>
      </c>
      <c r="D75" s="49">
        <f>'дод 3'!E108</f>
        <v>2612700</v>
      </c>
      <c r="E75" s="49">
        <f>'дод 3'!F108</f>
        <v>2612700</v>
      </c>
      <c r="F75" s="49">
        <f>'дод 3'!G108</f>
        <v>1459720</v>
      </c>
      <c r="G75" s="49">
        <f>'дод 3'!H108</f>
        <v>0</v>
      </c>
      <c r="H75" s="49">
        <f>'дод 3'!I108</f>
        <v>0</v>
      </c>
      <c r="I75" s="49">
        <f>'дод 3'!J108</f>
        <v>72000</v>
      </c>
      <c r="J75" s="49">
        <f>'дод 3'!K108</f>
        <v>72000</v>
      </c>
      <c r="K75" s="49">
        <f>'дод 3'!L108</f>
        <v>0</v>
      </c>
      <c r="L75" s="49">
        <f>'дод 3'!M108</f>
        <v>0</v>
      </c>
      <c r="M75" s="49">
        <f>'дод 3'!N108</f>
        <v>0</v>
      </c>
      <c r="N75" s="49">
        <f>'дод 3'!O108</f>
        <v>72000</v>
      </c>
      <c r="O75" s="49">
        <f>'дод 3'!P108</f>
        <v>2684700</v>
      </c>
    </row>
    <row r="76" spans="1:15" s="54" customFormat="1" ht="65.25" customHeight="1" x14ac:dyDescent="0.25">
      <c r="A76" s="59"/>
      <c r="B76" s="59"/>
      <c r="C76" s="87" t="s">
        <v>383</v>
      </c>
      <c r="D76" s="80">
        <f>'дод 3'!E109</f>
        <v>2612700</v>
      </c>
      <c r="E76" s="80">
        <f>'дод 3'!F109</f>
        <v>2612700</v>
      </c>
      <c r="F76" s="80">
        <f>'дод 3'!G109</f>
        <v>1459720</v>
      </c>
      <c r="G76" s="80">
        <f>'дод 3'!H109</f>
        <v>0</v>
      </c>
      <c r="H76" s="80">
        <f>'дод 3'!I109</f>
        <v>0</v>
      </c>
      <c r="I76" s="80">
        <f>'дод 3'!J109</f>
        <v>72000</v>
      </c>
      <c r="J76" s="80">
        <f>'дод 3'!K109</f>
        <v>72000</v>
      </c>
      <c r="K76" s="80">
        <f>'дод 3'!L109</f>
        <v>0</v>
      </c>
      <c r="L76" s="80">
        <f>'дод 3'!M109</f>
        <v>0</v>
      </c>
      <c r="M76" s="80">
        <f>'дод 3'!N109</f>
        <v>0</v>
      </c>
      <c r="N76" s="80">
        <f>'дод 3'!O109</f>
        <v>72000</v>
      </c>
      <c r="O76" s="80">
        <f>'дод 3'!P109</f>
        <v>2684700</v>
      </c>
    </row>
    <row r="77" spans="1:15" s="54" customFormat="1" ht="63" x14ac:dyDescent="0.25">
      <c r="A77" s="59" t="s">
        <v>525</v>
      </c>
      <c r="B77" s="59" t="s">
        <v>58</v>
      </c>
      <c r="C77" s="36" t="s">
        <v>523</v>
      </c>
      <c r="D77" s="49">
        <f>'дод 3'!E110</f>
        <v>1315285.79</v>
      </c>
      <c r="E77" s="49">
        <f>'дод 3'!F110</f>
        <v>1315285.79</v>
      </c>
      <c r="F77" s="49">
        <f>'дод 3'!G110</f>
        <v>1034620</v>
      </c>
      <c r="G77" s="49">
        <f>'дод 3'!H110</f>
        <v>0</v>
      </c>
      <c r="H77" s="49">
        <f>'дод 3'!I110</f>
        <v>0</v>
      </c>
      <c r="I77" s="49">
        <f>'дод 3'!J110</f>
        <v>0</v>
      </c>
      <c r="J77" s="49">
        <f>'дод 3'!K110</f>
        <v>0</v>
      </c>
      <c r="K77" s="49">
        <f>'дод 3'!L110</f>
        <v>0</v>
      </c>
      <c r="L77" s="49">
        <f>'дод 3'!M110</f>
        <v>0</v>
      </c>
      <c r="M77" s="49">
        <f>'дод 3'!N110</f>
        <v>0</v>
      </c>
      <c r="N77" s="49">
        <f>'дод 3'!O110</f>
        <v>0</v>
      </c>
      <c r="O77" s="49">
        <f>'дод 3'!P110</f>
        <v>1315285.79</v>
      </c>
    </row>
    <row r="78" spans="1:15" s="54" customFormat="1" ht="63" x14ac:dyDescent="0.25">
      <c r="A78" s="59"/>
      <c r="B78" s="59"/>
      <c r="C78" s="87" t="s">
        <v>524</v>
      </c>
      <c r="D78" s="80">
        <f>'дод 3'!E111</f>
        <v>1315285.79</v>
      </c>
      <c r="E78" s="80">
        <f>'дод 3'!F111</f>
        <v>1315285.79</v>
      </c>
      <c r="F78" s="80">
        <f>'дод 3'!G111</f>
        <v>1034620</v>
      </c>
      <c r="G78" s="80">
        <f>'дод 3'!H111</f>
        <v>0</v>
      </c>
      <c r="H78" s="80">
        <f>'дод 3'!I111</f>
        <v>0</v>
      </c>
      <c r="I78" s="80">
        <f>'дод 3'!J111</f>
        <v>0</v>
      </c>
      <c r="J78" s="80">
        <f>'дод 3'!K111</f>
        <v>0</v>
      </c>
      <c r="K78" s="80">
        <f>'дод 3'!L111</f>
        <v>0</v>
      </c>
      <c r="L78" s="80">
        <f>'дод 3'!M111</f>
        <v>0</v>
      </c>
      <c r="M78" s="80">
        <f>'дод 3'!N111</f>
        <v>0</v>
      </c>
      <c r="N78" s="80">
        <f>'дод 3'!O111</f>
        <v>0</v>
      </c>
      <c r="O78" s="80">
        <f>'дод 3'!P111</f>
        <v>1315285.79</v>
      </c>
    </row>
    <row r="79" spans="1:15" s="52" customFormat="1" ht="19.5" customHeight="1" x14ac:dyDescent="0.25">
      <c r="A79" s="38" t="s">
        <v>59</v>
      </c>
      <c r="B79" s="39"/>
      <c r="C79" s="9" t="s">
        <v>526</v>
      </c>
      <c r="D79" s="48">
        <f>D84+D89+D91+D93+D95+D98+D99+D88</f>
        <v>97040433.400000006</v>
      </c>
      <c r="E79" s="48">
        <f t="shared" ref="E79:O79" si="12">E84+E89+E91+E93+E95+E98+E99+E88</f>
        <v>97040433.400000006</v>
      </c>
      <c r="F79" s="48">
        <f t="shared" si="12"/>
        <v>2387600</v>
      </c>
      <c r="G79" s="48">
        <f t="shared" si="12"/>
        <v>68884</v>
      </c>
      <c r="H79" s="48">
        <f t="shared" si="12"/>
        <v>0</v>
      </c>
      <c r="I79" s="48">
        <f t="shared" si="12"/>
        <v>91537320.819999993</v>
      </c>
      <c r="J79" s="48">
        <f t="shared" si="12"/>
        <v>91537320.819999993</v>
      </c>
      <c r="K79" s="48">
        <f t="shared" si="12"/>
        <v>0</v>
      </c>
      <c r="L79" s="48">
        <f t="shared" si="12"/>
        <v>0</v>
      </c>
      <c r="M79" s="48">
        <f t="shared" si="12"/>
        <v>0</v>
      </c>
      <c r="N79" s="48">
        <f t="shared" si="12"/>
        <v>91537320.819999993</v>
      </c>
      <c r="O79" s="48">
        <f t="shared" si="12"/>
        <v>188577754.22</v>
      </c>
    </row>
    <row r="80" spans="1:15" s="53" customFormat="1" ht="31.5" hidden="1" x14ac:dyDescent="0.25">
      <c r="A80" s="71"/>
      <c r="B80" s="74"/>
      <c r="C80" s="75" t="s">
        <v>390</v>
      </c>
      <c r="D80" s="76">
        <f>D85+D90+D92</f>
        <v>0</v>
      </c>
      <c r="E80" s="76">
        <f t="shared" ref="E80:O80" si="13">E85+E90+E92</f>
        <v>0</v>
      </c>
      <c r="F80" s="76">
        <f t="shared" si="13"/>
        <v>0</v>
      </c>
      <c r="G80" s="76">
        <f t="shared" si="13"/>
        <v>0</v>
      </c>
      <c r="H80" s="76">
        <f t="shared" si="13"/>
        <v>0</v>
      </c>
      <c r="I80" s="76">
        <f t="shared" si="13"/>
        <v>0</v>
      </c>
      <c r="J80" s="76">
        <f t="shared" si="13"/>
        <v>0</v>
      </c>
      <c r="K80" s="76">
        <f t="shared" si="13"/>
        <v>0</v>
      </c>
      <c r="L80" s="76">
        <f t="shared" si="13"/>
        <v>0</v>
      </c>
      <c r="M80" s="76">
        <f t="shared" si="13"/>
        <v>0</v>
      </c>
      <c r="N80" s="76">
        <f t="shared" si="13"/>
        <v>0</v>
      </c>
      <c r="O80" s="76">
        <f t="shared" si="13"/>
        <v>0</v>
      </c>
    </row>
    <row r="81" spans="1:15" s="53" customFormat="1" ht="47.25" hidden="1" x14ac:dyDescent="0.25">
      <c r="A81" s="71"/>
      <c r="B81" s="74"/>
      <c r="C81" s="75" t="s">
        <v>391</v>
      </c>
      <c r="D81" s="76">
        <f>D86+D96</f>
        <v>0</v>
      </c>
      <c r="E81" s="76">
        <f t="shared" ref="E81:O81" si="14">E86+E96</f>
        <v>0</v>
      </c>
      <c r="F81" s="76">
        <f t="shared" si="14"/>
        <v>0</v>
      </c>
      <c r="G81" s="76">
        <f t="shared" si="14"/>
        <v>0</v>
      </c>
      <c r="H81" s="76">
        <f t="shared" si="14"/>
        <v>0</v>
      </c>
      <c r="I81" s="76">
        <f t="shared" si="14"/>
        <v>0</v>
      </c>
      <c r="J81" s="76">
        <f t="shared" si="14"/>
        <v>0</v>
      </c>
      <c r="K81" s="76">
        <f t="shared" si="14"/>
        <v>0</v>
      </c>
      <c r="L81" s="76">
        <f t="shared" si="14"/>
        <v>0</v>
      </c>
      <c r="M81" s="76">
        <f t="shared" si="14"/>
        <v>0</v>
      </c>
      <c r="N81" s="76">
        <f t="shared" si="14"/>
        <v>0</v>
      </c>
      <c r="O81" s="76">
        <f t="shared" si="14"/>
        <v>0</v>
      </c>
    </row>
    <row r="82" spans="1:15" s="53" customFormat="1" ht="66.75" customHeight="1" x14ac:dyDescent="0.25">
      <c r="A82" s="71"/>
      <c r="B82" s="74"/>
      <c r="C82" s="75" t="s">
        <v>392</v>
      </c>
      <c r="D82" s="76">
        <f>D94+D97</f>
        <v>11403700</v>
      </c>
      <c r="E82" s="76">
        <f t="shared" ref="E82:O82" si="15">E94+E97</f>
        <v>11403700</v>
      </c>
      <c r="F82" s="76">
        <f t="shared" si="15"/>
        <v>0</v>
      </c>
      <c r="G82" s="76">
        <f t="shared" si="15"/>
        <v>0</v>
      </c>
      <c r="H82" s="76">
        <f t="shared" si="15"/>
        <v>0</v>
      </c>
      <c r="I82" s="76">
        <f t="shared" si="15"/>
        <v>0</v>
      </c>
      <c r="J82" s="76">
        <f t="shared" si="15"/>
        <v>0</v>
      </c>
      <c r="K82" s="76">
        <f t="shared" si="15"/>
        <v>0</v>
      </c>
      <c r="L82" s="76">
        <f t="shared" si="15"/>
        <v>0</v>
      </c>
      <c r="M82" s="76">
        <f t="shared" si="15"/>
        <v>0</v>
      </c>
      <c r="N82" s="76">
        <f t="shared" si="15"/>
        <v>0</v>
      </c>
      <c r="O82" s="76">
        <f t="shared" si="15"/>
        <v>11403700</v>
      </c>
    </row>
    <row r="83" spans="1:15" s="53" customFormat="1" x14ac:dyDescent="0.25">
      <c r="A83" s="71"/>
      <c r="B83" s="74"/>
      <c r="C83" s="75" t="s">
        <v>393</v>
      </c>
      <c r="D83" s="76">
        <f>D87</f>
        <v>93426</v>
      </c>
      <c r="E83" s="76">
        <f t="shared" ref="E83:O83" si="16">E87</f>
        <v>93426</v>
      </c>
      <c r="F83" s="76">
        <f t="shared" si="16"/>
        <v>0</v>
      </c>
      <c r="G83" s="76">
        <f t="shared" si="16"/>
        <v>0</v>
      </c>
      <c r="H83" s="76">
        <f t="shared" si="16"/>
        <v>0</v>
      </c>
      <c r="I83" s="76">
        <f t="shared" si="16"/>
        <v>5750000</v>
      </c>
      <c r="J83" s="76">
        <f t="shared" si="16"/>
        <v>5750000</v>
      </c>
      <c r="K83" s="76">
        <f t="shared" si="16"/>
        <v>0</v>
      </c>
      <c r="L83" s="76">
        <f t="shared" si="16"/>
        <v>0</v>
      </c>
      <c r="M83" s="76">
        <f t="shared" si="16"/>
        <v>0</v>
      </c>
      <c r="N83" s="76">
        <f t="shared" si="16"/>
        <v>5750000</v>
      </c>
      <c r="O83" s="76">
        <f t="shared" si="16"/>
        <v>5843426</v>
      </c>
    </row>
    <row r="84" spans="1:15" ht="33" customHeight="1" x14ac:dyDescent="0.25">
      <c r="A84" s="37" t="s">
        <v>60</v>
      </c>
      <c r="B84" s="37" t="s">
        <v>61</v>
      </c>
      <c r="C84" s="6" t="s">
        <v>619</v>
      </c>
      <c r="D84" s="49">
        <f>'дод 3'!E137</f>
        <v>45832353.399999999</v>
      </c>
      <c r="E84" s="49">
        <f>'дод 3'!F137</f>
        <v>45832353.399999999</v>
      </c>
      <c r="F84" s="49">
        <f>'дод 3'!G137</f>
        <v>0</v>
      </c>
      <c r="G84" s="49">
        <f>'дод 3'!H137</f>
        <v>0</v>
      </c>
      <c r="H84" s="49">
        <f>'дод 3'!I137</f>
        <v>0</v>
      </c>
      <c r="I84" s="49">
        <f>'дод 3'!J137</f>
        <v>46545966.82</v>
      </c>
      <c r="J84" s="49">
        <f>'дод 3'!K137</f>
        <v>46545966.82</v>
      </c>
      <c r="K84" s="49">
        <f>'дод 3'!L137</f>
        <v>0</v>
      </c>
      <c r="L84" s="49">
        <f>'дод 3'!M137</f>
        <v>0</v>
      </c>
      <c r="M84" s="49">
        <f>'дод 3'!N137</f>
        <v>0</v>
      </c>
      <c r="N84" s="49">
        <f>'дод 3'!O137</f>
        <v>46545966.82</v>
      </c>
      <c r="O84" s="49">
        <f>'дод 3'!P137</f>
        <v>92378320.219999999</v>
      </c>
    </row>
    <row r="85" spans="1:15" s="54" customFormat="1" ht="31.5" hidden="1" customHeight="1" x14ac:dyDescent="0.25">
      <c r="A85" s="78"/>
      <c r="B85" s="78"/>
      <c r="C85" s="79" t="s">
        <v>390</v>
      </c>
      <c r="D85" s="80">
        <f>'дод 3'!E138</f>
        <v>0</v>
      </c>
      <c r="E85" s="80">
        <f>'дод 3'!F138</f>
        <v>0</v>
      </c>
      <c r="F85" s="80">
        <f>'дод 3'!G138</f>
        <v>0</v>
      </c>
      <c r="G85" s="80">
        <f>'дод 3'!H138</f>
        <v>0</v>
      </c>
      <c r="H85" s="80">
        <f>'дод 3'!I138</f>
        <v>0</v>
      </c>
      <c r="I85" s="80">
        <f>'дод 3'!J138</f>
        <v>0</v>
      </c>
      <c r="J85" s="80">
        <f>'дод 3'!K138</f>
        <v>0</v>
      </c>
      <c r="K85" s="80">
        <f>'дод 3'!L138</f>
        <v>0</v>
      </c>
      <c r="L85" s="80">
        <f>'дод 3'!M138</f>
        <v>0</v>
      </c>
      <c r="M85" s="80">
        <f>'дод 3'!N138</f>
        <v>0</v>
      </c>
      <c r="N85" s="80">
        <f>'дод 3'!O138</f>
        <v>0</v>
      </c>
      <c r="O85" s="80">
        <f>'дод 3'!P138</f>
        <v>0</v>
      </c>
    </row>
    <row r="86" spans="1:15" s="54" customFormat="1" ht="47.25" hidden="1" x14ac:dyDescent="0.25">
      <c r="A86" s="78"/>
      <c r="B86" s="78"/>
      <c r="C86" s="79" t="s">
        <v>391</v>
      </c>
      <c r="D86" s="80">
        <f>'дод 3'!E139</f>
        <v>0</v>
      </c>
      <c r="E86" s="80">
        <f>'дод 3'!F139</f>
        <v>0</v>
      </c>
      <c r="F86" s="80">
        <f>'дод 3'!G139</f>
        <v>0</v>
      </c>
      <c r="G86" s="80">
        <f>'дод 3'!H139</f>
        <v>0</v>
      </c>
      <c r="H86" s="80">
        <f>'дод 3'!I139</f>
        <v>0</v>
      </c>
      <c r="I86" s="80">
        <f>'дод 3'!J139</f>
        <v>0</v>
      </c>
      <c r="J86" s="80">
        <f>'дод 3'!K139</f>
        <v>0</v>
      </c>
      <c r="K86" s="80">
        <f>'дод 3'!L139</f>
        <v>0</v>
      </c>
      <c r="L86" s="80">
        <f>'дод 3'!M139</f>
        <v>0</v>
      </c>
      <c r="M86" s="80">
        <f>'дод 3'!N139</f>
        <v>0</v>
      </c>
      <c r="N86" s="80">
        <f>'дод 3'!O139</f>
        <v>0</v>
      </c>
      <c r="O86" s="80">
        <f>'дод 3'!P139</f>
        <v>0</v>
      </c>
    </row>
    <row r="87" spans="1:15" s="54" customFormat="1" x14ac:dyDescent="0.25">
      <c r="A87" s="78"/>
      <c r="B87" s="78"/>
      <c r="C87" s="79" t="s">
        <v>393</v>
      </c>
      <c r="D87" s="80">
        <f>'дод 3'!E140</f>
        <v>93426</v>
      </c>
      <c r="E87" s="80">
        <f>'дод 3'!F140</f>
        <v>93426</v>
      </c>
      <c r="F87" s="80">
        <f>'дод 3'!G140</f>
        <v>0</v>
      </c>
      <c r="G87" s="80">
        <f>'дод 3'!H140</f>
        <v>0</v>
      </c>
      <c r="H87" s="80">
        <f>'дод 3'!I140</f>
        <v>0</v>
      </c>
      <c r="I87" s="80">
        <f>'дод 3'!J140</f>
        <v>5750000</v>
      </c>
      <c r="J87" s="80">
        <f>'дод 3'!K140</f>
        <v>5750000</v>
      </c>
      <c r="K87" s="80">
        <f>'дод 3'!L140</f>
        <v>0</v>
      </c>
      <c r="L87" s="80">
        <f>'дод 3'!M140</f>
        <v>0</v>
      </c>
      <c r="M87" s="80">
        <f>'дод 3'!N140</f>
        <v>0</v>
      </c>
      <c r="N87" s="80">
        <f>'дод 3'!O140</f>
        <v>5750000</v>
      </c>
      <c r="O87" s="80">
        <f>'дод 3'!P140</f>
        <v>5843426</v>
      </c>
    </row>
    <row r="88" spans="1:15" ht="31.5" x14ac:dyDescent="0.25">
      <c r="A88" s="37">
        <v>2020</v>
      </c>
      <c r="B88" s="58" t="s">
        <v>448</v>
      </c>
      <c r="C88" s="6" t="s">
        <v>451</v>
      </c>
      <c r="D88" s="49">
        <f>'дод 3'!E141</f>
        <v>90000</v>
      </c>
      <c r="E88" s="49">
        <f>'дод 3'!F141</f>
        <v>90000</v>
      </c>
      <c r="F88" s="49">
        <f>'дод 3'!G141</f>
        <v>0</v>
      </c>
      <c r="G88" s="49">
        <f>'дод 3'!H141</f>
        <v>0</v>
      </c>
      <c r="H88" s="49">
        <f>'дод 3'!I141</f>
        <v>0</v>
      </c>
      <c r="I88" s="49">
        <f>'дод 3'!J141</f>
        <v>0</v>
      </c>
      <c r="J88" s="49">
        <f>'дод 3'!K141</f>
        <v>0</v>
      </c>
      <c r="K88" s="49">
        <f>'дод 3'!L141</f>
        <v>0</v>
      </c>
      <c r="L88" s="49">
        <f>'дод 3'!M141</f>
        <v>0</v>
      </c>
      <c r="M88" s="49">
        <f>'дод 3'!N141</f>
        <v>0</v>
      </c>
      <c r="N88" s="49">
        <f>'дод 3'!O141</f>
        <v>0</v>
      </c>
      <c r="O88" s="49">
        <f>'дод 3'!P141</f>
        <v>90000</v>
      </c>
    </row>
    <row r="89" spans="1:15" ht="36.75" customHeight="1" x14ac:dyDescent="0.25">
      <c r="A89" s="37" t="s">
        <v>120</v>
      </c>
      <c r="B89" s="37" t="s">
        <v>62</v>
      </c>
      <c r="C89" s="6" t="s">
        <v>464</v>
      </c>
      <c r="D89" s="49">
        <f>'дод 3'!E142</f>
        <v>4498159</v>
      </c>
      <c r="E89" s="49">
        <f>'дод 3'!F142</f>
        <v>4498159</v>
      </c>
      <c r="F89" s="49">
        <f>'дод 3'!G142</f>
        <v>0</v>
      </c>
      <c r="G89" s="49">
        <f>'дод 3'!H142</f>
        <v>0</v>
      </c>
      <c r="H89" s="49">
        <f>'дод 3'!I142</f>
        <v>0</v>
      </c>
      <c r="I89" s="49">
        <f>'дод 3'!J142</f>
        <v>5100000</v>
      </c>
      <c r="J89" s="49">
        <f>'дод 3'!K142</f>
        <v>5100000</v>
      </c>
      <c r="K89" s="49">
        <f>'дод 3'!L142</f>
        <v>0</v>
      </c>
      <c r="L89" s="49">
        <f>'дод 3'!M142</f>
        <v>0</v>
      </c>
      <c r="M89" s="49">
        <f>'дод 3'!N142</f>
        <v>0</v>
      </c>
      <c r="N89" s="49">
        <f>'дод 3'!O142</f>
        <v>5100000</v>
      </c>
      <c r="O89" s="49">
        <f>'дод 3'!P142</f>
        <v>9598159</v>
      </c>
    </row>
    <row r="90" spans="1:15" s="54" customFormat="1" ht="31.5" hidden="1" customHeight="1" x14ac:dyDescent="0.25">
      <c r="A90" s="78"/>
      <c r="B90" s="78"/>
      <c r="C90" s="79" t="s">
        <v>390</v>
      </c>
      <c r="D90" s="80">
        <f>'дод 3'!E143</f>
        <v>0</v>
      </c>
      <c r="E90" s="80">
        <f>'дод 3'!F143</f>
        <v>0</v>
      </c>
      <c r="F90" s="80">
        <f>'дод 3'!G143</f>
        <v>0</v>
      </c>
      <c r="G90" s="80">
        <f>'дод 3'!H143</f>
        <v>0</v>
      </c>
      <c r="H90" s="80">
        <f>'дод 3'!I143</f>
        <v>0</v>
      </c>
      <c r="I90" s="80">
        <f>'дод 3'!J143</f>
        <v>0</v>
      </c>
      <c r="J90" s="80">
        <f>'дод 3'!K143</f>
        <v>0</v>
      </c>
      <c r="K90" s="80">
        <f>'дод 3'!L143</f>
        <v>0</v>
      </c>
      <c r="L90" s="80">
        <f>'дод 3'!M143</f>
        <v>0</v>
      </c>
      <c r="M90" s="80">
        <f>'дод 3'!N143</f>
        <v>0</v>
      </c>
      <c r="N90" s="80">
        <f>'дод 3'!O143</f>
        <v>0</v>
      </c>
      <c r="O90" s="80">
        <f>'дод 3'!P143</f>
        <v>0</v>
      </c>
    </row>
    <row r="91" spans="1:15" ht="19.5" customHeight="1" x14ac:dyDescent="0.25">
      <c r="A91" s="37" t="s">
        <v>121</v>
      </c>
      <c r="B91" s="37" t="s">
        <v>63</v>
      </c>
      <c r="C91" s="6" t="s">
        <v>465</v>
      </c>
      <c r="D91" s="49">
        <f>'дод 3'!E144</f>
        <v>7745106</v>
      </c>
      <c r="E91" s="49">
        <f>'дод 3'!F144</f>
        <v>7745106</v>
      </c>
      <c r="F91" s="49">
        <f>'дод 3'!G144</f>
        <v>0</v>
      </c>
      <c r="G91" s="49">
        <f>'дод 3'!H144</f>
        <v>0</v>
      </c>
      <c r="H91" s="49">
        <f>'дод 3'!I144</f>
        <v>0</v>
      </c>
      <c r="I91" s="49">
        <f>'дод 3'!J144</f>
        <v>0</v>
      </c>
      <c r="J91" s="49">
        <f>'дод 3'!K144</f>
        <v>0</v>
      </c>
      <c r="K91" s="49">
        <f>'дод 3'!L144</f>
        <v>0</v>
      </c>
      <c r="L91" s="49">
        <f>'дод 3'!M144</f>
        <v>0</v>
      </c>
      <c r="M91" s="49">
        <f>'дод 3'!N144</f>
        <v>0</v>
      </c>
      <c r="N91" s="49">
        <f>'дод 3'!O144</f>
        <v>0</v>
      </c>
      <c r="O91" s="49">
        <f>'дод 3'!P144</f>
        <v>7745106</v>
      </c>
    </row>
    <row r="92" spans="1:15" s="54" customFormat="1" ht="31.5" hidden="1" customHeight="1" x14ac:dyDescent="0.25">
      <c r="A92" s="78"/>
      <c r="B92" s="78"/>
      <c r="C92" s="79" t="s">
        <v>390</v>
      </c>
      <c r="D92" s="80">
        <f>'дод 3'!E145</f>
        <v>0</v>
      </c>
      <c r="E92" s="80">
        <f>'дод 3'!F145</f>
        <v>0</v>
      </c>
      <c r="F92" s="80">
        <f>'дод 3'!G145</f>
        <v>0</v>
      </c>
      <c r="G92" s="80">
        <f>'дод 3'!H145</f>
        <v>0</v>
      </c>
      <c r="H92" s="80">
        <f>'дод 3'!I145</f>
        <v>0</v>
      </c>
      <c r="I92" s="80">
        <f>'дод 3'!J145</f>
        <v>0</v>
      </c>
      <c r="J92" s="80">
        <f>'дод 3'!K145</f>
        <v>0</v>
      </c>
      <c r="K92" s="80">
        <f>'дод 3'!L145</f>
        <v>0</v>
      </c>
      <c r="L92" s="80">
        <f>'дод 3'!M145</f>
        <v>0</v>
      </c>
      <c r="M92" s="80">
        <f>'дод 3'!N145</f>
        <v>0</v>
      </c>
      <c r="N92" s="80">
        <f>'дод 3'!O145</f>
        <v>0</v>
      </c>
      <c r="O92" s="80">
        <f>'дод 3'!P145</f>
        <v>0</v>
      </c>
    </row>
    <row r="93" spans="1:15" ht="48.75" customHeight="1" x14ac:dyDescent="0.25">
      <c r="A93" s="37" t="s">
        <v>122</v>
      </c>
      <c r="B93" s="37" t="s">
        <v>313</v>
      </c>
      <c r="C93" s="6" t="s">
        <v>466</v>
      </c>
      <c r="D93" s="49">
        <f>'дод 3'!E146</f>
        <v>3962831</v>
      </c>
      <c r="E93" s="49">
        <f>'дод 3'!F146</f>
        <v>3962831</v>
      </c>
      <c r="F93" s="49">
        <f>'дод 3'!G146</f>
        <v>0</v>
      </c>
      <c r="G93" s="49">
        <f>'дод 3'!H146</f>
        <v>0</v>
      </c>
      <c r="H93" s="49">
        <f>'дод 3'!I146</f>
        <v>0</v>
      </c>
      <c r="I93" s="49">
        <f>'дод 3'!J146</f>
        <v>0</v>
      </c>
      <c r="J93" s="49">
        <f>'дод 3'!K146</f>
        <v>0</v>
      </c>
      <c r="K93" s="49">
        <f>'дод 3'!L146</f>
        <v>0</v>
      </c>
      <c r="L93" s="49">
        <f>'дод 3'!M146</f>
        <v>0</v>
      </c>
      <c r="M93" s="49">
        <f>'дод 3'!N146</f>
        <v>0</v>
      </c>
      <c r="N93" s="49">
        <f>'дод 3'!O146</f>
        <v>0</v>
      </c>
      <c r="O93" s="49">
        <f>'дод 3'!P146</f>
        <v>3962831</v>
      </c>
    </row>
    <row r="94" spans="1:15" s="54" customFormat="1" ht="47.25" hidden="1" customHeight="1" x14ac:dyDescent="0.25">
      <c r="A94" s="78"/>
      <c r="B94" s="78"/>
      <c r="C94" s="81" t="s">
        <v>392</v>
      </c>
      <c r="D94" s="80">
        <f>'дод 3'!E147</f>
        <v>0</v>
      </c>
      <c r="E94" s="80">
        <f>'дод 3'!F147</f>
        <v>0</v>
      </c>
      <c r="F94" s="80">
        <f>'дод 3'!G147</f>
        <v>0</v>
      </c>
      <c r="G94" s="80">
        <f>'дод 3'!H147</f>
        <v>0</v>
      </c>
      <c r="H94" s="80">
        <f>'дод 3'!I147</f>
        <v>0</v>
      </c>
      <c r="I94" s="80">
        <f>'дод 3'!J147</f>
        <v>0</v>
      </c>
      <c r="J94" s="80">
        <f>'дод 3'!K147</f>
        <v>0</v>
      </c>
      <c r="K94" s="80">
        <f>'дод 3'!L147</f>
        <v>0</v>
      </c>
      <c r="L94" s="80">
        <f>'дод 3'!M147</f>
        <v>0</v>
      </c>
      <c r="M94" s="80">
        <f>'дод 3'!N147</f>
        <v>0</v>
      </c>
      <c r="N94" s="80">
        <f>'дод 3'!O147</f>
        <v>0</v>
      </c>
      <c r="O94" s="80">
        <f>'дод 3'!P147</f>
        <v>0</v>
      </c>
    </row>
    <row r="95" spans="1:15" ht="31.5" x14ac:dyDescent="0.25">
      <c r="A95" s="40">
        <v>2144</v>
      </c>
      <c r="B95" s="37" t="s">
        <v>64</v>
      </c>
      <c r="C95" s="6" t="s">
        <v>404</v>
      </c>
      <c r="D95" s="49">
        <f>'дод 3'!E148</f>
        <v>11403700</v>
      </c>
      <c r="E95" s="49">
        <f>'дод 3'!F148</f>
        <v>11403700</v>
      </c>
      <c r="F95" s="49">
        <f>'дод 3'!G148</f>
        <v>0</v>
      </c>
      <c r="G95" s="49">
        <f>'дод 3'!H148</f>
        <v>0</v>
      </c>
      <c r="H95" s="49">
        <f>'дод 3'!I148</f>
        <v>0</v>
      </c>
      <c r="I95" s="49">
        <f>'дод 3'!J148</f>
        <v>0</v>
      </c>
      <c r="J95" s="49">
        <f>'дод 3'!K148</f>
        <v>0</v>
      </c>
      <c r="K95" s="49">
        <f>'дод 3'!L148</f>
        <v>0</v>
      </c>
      <c r="L95" s="49">
        <f>'дод 3'!M148</f>
        <v>0</v>
      </c>
      <c r="M95" s="49">
        <f>'дод 3'!N148</f>
        <v>0</v>
      </c>
      <c r="N95" s="49">
        <f>'дод 3'!O148</f>
        <v>0</v>
      </c>
      <c r="O95" s="49">
        <f>'дод 3'!P148</f>
        <v>11403700</v>
      </c>
    </row>
    <row r="96" spans="1:15" s="54" customFormat="1" ht="47.25" hidden="1" customHeight="1" x14ac:dyDescent="0.25">
      <c r="A96" s="82"/>
      <c r="B96" s="78"/>
      <c r="C96" s="79" t="s">
        <v>391</v>
      </c>
      <c r="D96" s="80">
        <f>'дод 3'!E149</f>
        <v>0</v>
      </c>
      <c r="E96" s="80">
        <f>'дод 3'!F149</f>
        <v>0</v>
      </c>
      <c r="F96" s="80">
        <f>'дод 3'!G149</f>
        <v>0</v>
      </c>
      <c r="G96" s="80">
        <f>'дод 3'!H149</f>
        <v>0</v>
      </c>
      <c r="H96" s="80">
        <f>'дод 3'!I149</f>
        <v>0</v>
      </c>
      <c r="I96" s="80">
        <f>'дод 3'!J149</f>
        <v>0</v>
      </c>
      <c r="J96" s="80">
        <f>'дод 3'!K149</f>
        <v>0</v>
      </c>
      <c r="K96" s="80">
        <f>'дод 3'!L149</f>
        <v>0</v>
      </c>
      <c r="L96" s="80">
        <f>'дод 3'!M149</f>
        <v>0</v>
      </c>
      <c r="M96" s="80">
        <f>'дод 3'!N149</f>
        <v>0</v>
      </c>
      <c r="N96" s="80">
        <f>'дод 3'!O149</f>
        <v>0</v>
      </c>
      <c r="O96" s="80">
        <f>'дод 3'!P149</f>
        <v>0</v>
      </c>
    </row>
    <row r="97" spans="1:15" s="54" customFormat="1" ht="63" x14ac:dyDescent="0.25">
      <c r="A97" s="82"/>
      <c r="B97" s="78"/>
      <c r="C97" s="79" t="s">
        <v>392</v>
      </c>
      <c r="D97" s="80">
        <f>'дод 3'!E150</f>
        <v>11403700</v>
      </c>
      <c r="E97" s="80">
        <f>'дод 3'!F150</f>
        <v>11403700</v>
      </c>
      <c r="F97" s="80">
        <f>'дод 3'!G150</f>
        <v>0</v>
      </c>
      <c r="G97" s="80">
        <f>'дод 3'!H150</f>
        <v>0</v>
      </c>
      <c r="H97" s="80">
        <f>'дод 3'!I150</f>
        <v>0</v>
      </c>
      <c r="I97" s="80">
        <f>'дод 3'!J150</f>
        <v>0</v>
      </c>
      <c r="J97" s="80">
        <f>'дод 3'!K150</f>
        <v>0</v>
      </c>
      <c r="K97" s="80">
        <f>'дод 3'!L150</f>
        <v>0</v>
      </c>
      <c r="L97" s="80">
        <f>'дод 3'!M150</f>
        <v>0</v>
      </c>
      <c r="M97" s="80">
        <f>'дод 3'!N150</f>
        <v>0</v>
      </c>
      <c r="N97" s="80">
        <f>'дод 3'!O150</f>
        <v>0</v>
      </c>
      <c r="O97" s="80">
        <f>'дод 3'!P150</f>
        <v>11403700</v>
      </c>
    </row>
    <row r="98" spans="1:15" ht="33.75" customHeight="1" x14ac:dyDescent="0.25">
      <c r="A98" s="37" t="s">
        <v>282</v>
      </c>
      <c r="B98" s="37" t="s">
        <v>64</v>
      </c>
      <c r="C98" s="3" t="s">
        <v>284</v>
      </c>
      <c r="D98" s="49">
        <f>'дод 3'!E151</f>
        <v>3069484</v>
      </c>
      <c r="E98" s="49">
        <f>'дод 3'!F151</f>
        <v>3069484</v>
      </c>
      <c r="F98" s="49">
        <f>'дод 3'!G151</f>
        <v>2387600</v>
      </c>
      <c r="G98" s="49">
        <f>'дод 3'!H151</f>
        <v>68884</v>
      </c>
      <c r="H98" s="49">
        <f>'дод 3'!I151</f>
        <v>0</v>
      </c>
      <c r="I98" s="49">
        <f>'дод 3'!J151</f>
        <v>0</v>
      </c>
      <c r="J98" s="49">
        <f>'дод 3'!K151</f>
        <v>0</v>
      </c>
      <c r="K98" s="49">
        <f>'дод 3'!L151</f>
        <v>0</v>
      </c>
      <c r="L98" s="49">
        <f>'дод 3'!M151</f>
        <v>0</v>
      </c>
      <c r="M98" s="49">
        <f>'дод 3'!N151</f>
        <v>0</v>
      </c>
      <c r="N98" s="49">
        <f>'дод 3'!O151</f>
        <v>0</v>
      </c>
      <c r="O98" s="49">
        <f>'дод 3'!P151</f>
        <v>3069484</v>
      </c>
    </row>
    <row r="99" spans="1:15" ht="21.75" customHeight="1" x14ac:dyDescent="0.25">
      <c r="A99" s="37" t="s">
        <v>283</v>
      </c>
      <c r="B99" s="37" t="s">
        <v>64</v>
      </c>
      <c r="C99" s="3" t="s">
        <v>285</v>
      </c>
      <c r="D99" s="49">
        <f>'дод 3'!E152</f>
        <v>20438800</v>
      </c>
      <c r="E99" s="49">
        <f>'дод 3'!F152</f>
        <v>20438800</v>
      </c>
      <c r="F99" s="49">
        <f>'дод 3'!G152</f>
        <v>0</v>
      </c>
      <c r="G99" s="49">
        <f>'дод 3'!H152</f>
        <v>0</v>
      </c>
      <c r="H99" s="49">
        <f>'дод 3'!I152</f>
        <v>0</v>
      </c>
      <c r="I99" s="49">
        <f>'дод 3'!J152</f>
        <v>39891354</v>
      </c>
      <c r="J99" s="49">
        <f>'дод 3'!K152</f>
        <v>39891354</v>
      </c>
      <c r="K99" s="49">
        <f>'дод 3'!L152</f>
        <v>0</v>
      </c>
      <c r="L99" s="49">
        <f>'дод 3'!M152</f>
        <v>0</v>
      </c>
      <c r="M99" s="49">
        <f>'дод 3'!N152</f>
        <v>0</v>
      </c>
      <c r="N99" s="49">
        <f>'дод 3'!O152</f>
        <v>39891354</v>
      </c>
      <c r="O99" s="49">
        <f>'дод 3'!P152</f>
        <v>60330154</v>
      </c>
    </row>
    <row r="100" spans="1:15" s="52" customFormat="1" ht="33" customHeight="1" x14ac:dyDescent="0.25">
      <c r="A100" s="38" t="s">
        <v>65</v>
      </c>
      <c r="B100" s="41"/>
      <c r="C100" s="2" t="s">
        <v>514</v>
      </c>
      <c r="D100" s="48">
        <f>D106+D107+D108+D110+D111+D112+D114+D116+D117+D118+D119+D120+D121+D122+D123+D125+D127+D128+D129+D130+D131+D132+D134+D138+D139</f>
        <v>148672264.34999999</v>
      </c>
      <c r="E100" s="48">
        <f t="shared" ref="E100:O100" si="17">E106+E107+E108+E110+E111+E112+E114+E116+E117+E118+E119+E120+E121+E122+E123+E125+E127+E128+E129+E130+E131+E132+E134+E138+E139</f>
        <v>148672264.34999999</v>
      </c>
      <c r="F100" s="48">
        <f t="shared" si="17"/>
        <v>21152900</v>
      </c>
      <c r="G100" s="48">
        <f t="shared" si="17"/>
        <v>954791</v>
      </c>
      <c r="H100" s="48">
        <f t="shared" si="17"/>
        <v>0</v>
      </c>
      <c r="I100" s="48">
        <f t="shared" si="17"/>
        <v>2465611.0499999998</v>
      </c>
      <c r="J100" s="48">
        <f t="shared" si="17"/>
        <v>2369411.0499999998</v>
      </c>
      <c r="K100" s="48">
        <f t="shared" si="17"/>
        <v>96200</v>
      </c>
      <c r="L100" s="48">
        <f t="shared" si="17"/>
        <v>75000</v>
      </c>
      <c r="M100" s="48">
        <f t="shared" si="17"/>
        <v>0</v>
      </c>
      <c r="N100" s="48">
        <f t="shared" si="17"/>
        <v>2369411.0499999998</v>
      </c>
      <c r="O100" s="48">
        <f t="shared" si="17"/>
        <v>151137875.39999998</v>
      </c>
    </row>
    <row r="101" spans="1:15" s="53" customFormat="1" ht="262.5" hidden="1" customHeight="1" x14ac:dyDescent="0.25">
      <c r="A101" s="71"/>
      <c r="B101" s="72"/>
      <c r="C101" s="75" t="s">
        <v>444</v>
      </c>
      <c r="D101" s="76">
        <f>D133</f>
        <v>0</v>
      </c>
      <c r="E101" s="76">
        <f t="shared" ref="E101:O101" si="18">E133</f>
        <v>0</v>
      </c>
      <c r="F101" s="76">
        <f t="shared" si="18"/>
        <v>0</v>
      </c>
      <c r="G101" s="76">
        <f t="shared" si="18"/>
        <v>0</v>
      </c>
      <c r="H101" s="76">
        <f t="shared" si="18"/>
        <v>0</v>
      </c>
      <c r="I101" s="76">
        <f t="shared" si="18"/>
        <v>975480.06</v>
      </c>
      <c r="J101" s="76">
        <f t="shared" si="18"/>
        <v>975480.06</v>
      </c>
      <c r="K101" s="76">
        <f t="shared" si="18"/>
        <v>0</v>
      </c>
      <c r="L101" s="76">
        <f t="shared" si="18"/>
        <v>0</v>
      </c>
      <c r="M101" s="76">
        <f t="shared" si="18"/>
        <v>0</v>
      </c>
      <c r="N101" s="76">
        <f t="shared" si="18"/>
        <v>975480.06</v>
      </c>
      <c r="O101" s="76">
        <f t="shared" si="18"/>
        <v>975480.06</v>
      </c>
    </row>
    <row r="102" spans="1:15" s="53" customFormat="1" ht="231" hidden="1" customHeight="1" x14ac:dyDescent="0.25">
      <c r="A102" s="71"/>
      <c r="B102" s="72"/>
      <c r="C102" s="75" t="s">
        <v>443</v>
      </c>
      <c r="D102" s="76">
        <f>D137</f>
        <v>0</v>
      </c>
      <c r="E102" s="76">
        <f t="shared" ref="E102:O102" si="19">E137</f>
        <v>0</v>
      </c>
      <c r="F102" s="76">
        <f t="shared" si="19"/>
        <v>0</v>
      </c>
      <c r="G102" s="76">
        <f t="shared" si="19"/>
        <v>0</v>
      </c>
      <c r="H102" s="76">
        <f t="shared" si="19"/>
        <v>0</v>
      </c>
      <c r="I102" s="76">
        <f t="shared" si="19"/>
        <v>0</v>
      </c>
      <c r="J102" s="76">
        <f t="shared" si="19"/>
        <v>0</v>
      </c>
      <c r="K102" s="76">
        <f t="shared" si="19"/>
        <v>0</v>
      </c>
      <c r="L102" s="76">
        <f t="shared" si="19"/>
        <v>0</v>
      </c>
      <c r="M102" s="76">
        <f t="shared" si="19"/>
        <v>0</v>
      </c>
      <c r="N102" s="76">
        <f t="shared" si="19"/>
        <v>0</v>
      </c>
      <c r="O102" s="76">
        <f t="shared" si="19"/>
        <v>0</v>
      </c>
    </row>
    <row r="103" spans="1:15" s="53" customFormat="1" x14ac:dyDescent="0.25">
      <c r="A103" s="71"/>
      <c r="B103" s="72"/>
      <c r="C103" s="75" t="s">
        <v>395</v>
      </c>
      <c r="D103" s="76">
        <f>D109+D113+D115+D124+D126+D140</f>
        <v>5817068.2400000002</v>
      </c>
      <c r="E103" s="76">
        <f t="shared" ref="E103:O103" si="20">E109+E113+E115+E124+E126+E140</f>
        <v>5817068.2400000002</v>
      </c>
      <c r="F103" s="76">
        <f t="shared" si="20"/>
        <v>0</v>
      </c>
      <c r="G103" s="76">
        <f t="shared" si="20"/>
        <v>0</v>
      </c>
      <c r="H103" s="76">
        <f t="shared" si="20"/>
        <v>0</v>
      </c>
      <c r="I103" s="76">
        <f t="shared" si="20"/>
        <v>0</v>
      </c>
      <c r="J103" s="76">
        <f t="shared" si="20"/>
        <v>0</v>
      </c>
      <c r="K103" s="76">
        <f t="shared" si="20"/>
        <v>0</v>
      </c>
      <c r="L103" s="76">
        <f t="shared" si="20"/>
        <v>0</v>
      </c>
      <c r="M103" s="76">
        <f t="shared" si="20"/>
        <v>0</v>
      </c>
      <c r="N103" s="76">
        <f t="shared" si="20"/>
        <v>0</v>
      </c>
      <c r="O103" s="76">
        <f t="shared" si="20"/>
        <v>5817068.2400000002</v>
      </c>
    </row>
    <row r="104" spans="1:15" s="53" customFormat="1" ht="283.5" x14ac:dyDescent="0.25">
      <c r="A104" s="71"/>
      <c r="B104" s="72"/>
      <c r="C104" s="77" t="s">
        <v>583</v>
      </c>
      <c r="D104" s="76">
        <f>D133</f>
        <v>0</v>
      </c>
      <c r="E104" s="76">
        <f t="shared" ref="E104:O104" si="21">E133</f>
        <v>0</v>
      </c>
      <c r="F104" s="76">
        <f t="shared" si="21"/>
        <v>0</v>
      </c>
      <c r="G104" s="76">
        <f t="shared" si="21"/>
        <v>0</v>
      </c>
      <c r="H104" s="76">
        <f t="shared" si="21"/>
        <v>0</v>
      </c>
      <c r="I104" s="76">
        <f t="shared" si="21"/>
        <v>975480.06</v>
      </c>
      <c r="J104" s="76">
        <f t="shared" si="21"/>
        <v>975480.06</v>
      </c>
      <c r="K104" s="76">
        <f t="shared" si="21"/>
        <v>0</v>
      </c>
      <c r="L104" s="76">
        <f t="shared" si="21"/>
        <v>0</v>
      </c>
      <c r="M104" s="76">
        <f t="shared" si="21"/>
        <v>0</v>
      </c>
      <c r="N104" s="76">
        <f t="shared" si="21"/>
        <v>975480.06</v>
      </c>
      <c r="O104" s="76">
        <f t="shared" si="21"/>
        <v>975480.06</v>
      </c>
    </row>
    <row r="105" spans="1:15" s="53" customFormat="1" ht="350.25" customHeight="1" x14ac:dyDescent="0.25">
      <c r="A105" s="71"/>
      <c r="B105" s="72"/>
      <c r="C105" s="77" t="s">
        <v>609</v>
      </c>
      <c r="D105" s="76">
        <f>D135</f>
        <v>0</v>
      </c>
      <c r="E105" s="76">
        <f t="shared" ref="E105:O105" si="22">E135</f>
        <v>0</v>
      </c>
      <c r="F105" s="76">
        <f t="shared" si="22"/>
        <v>0</v>
      </c>
      <c r="G105" s="76">
        <f t="shared" si="22"/>
        <v>0</v>
      </c>
      <c r="H105" s="76">
        <f t="shared" si="22"/>
        <v>0</v>
      </c>
      <c r="I105" s="76">
        <f t="shared" si="22"/>
        <v>1176130.99</v>
      </c>
      <c r="J105" s="76">
        <f t="shared" si="22"/>
        <v>1176130.99</v>
      </c>
      <c r="K105" s="76">
        <f t="shared" si="22"/>
        <v>0</v>
      </c>
      <c r="L105" s="76">
        <f t="shared" si="22"/>
        <v>0</v>
      </c>
      <c r="M105" s="76">
        <f t="shared" si="22"/>
        <v>0</v>
      </c>
      <c r="N105" s="76">
        <f t="shared" si="22"/>
        <v>1176130.99</v>
      </c>
      <c r="O105" s="76">
        <f t="shared" si="22"/>
        <v>1176130.99</v>
      </c>
    </row>
    <row r="106" spans="1:15" ht="38.25" customHeight="1" x14ac:dyDescent="0.25">
      <c r="A106" s="37" t="s">
        <v>98</v>
      </c>
      <c r="B106" s="37" t="s">
        <v>52</v>
      </c>
      <c r="C106" s="3" t="s">
        <v>123</v>
      </c>
      <c r="D106" s="49">
        <f>'дод 3'!E170</f>
        <v>806663</v>
      </c>
      <c r="E106" s="49">
        <f>'дод 3'!F170</f>
        <v>806663</v>
      </c>
      <c r="F106" s="49">
        <f>'дод 3'!G170</f>
        <v>0</v>
      </c>
      <c r="G106" s="49">
        <f>'дод 3'!H170</f>
        <v>0</v>
      </c>
      <c r="H106" s="49">
        <f>'дод 3'!I170</f>
        <v>0</v>
      </c>
      <c r="I106" s="49">
        <f>'дод 3'!J170</f>
        <v>0</v>
      </c>
      <c r="J106" s="49">
        <f>'дод 3'!K170</f>
        <v>0</v>
      </c>
      <c r="K106" s="49">
        <f>'дод 3'!L170</f>
        <v>0</v>
      </c>
      <c r="L106" s="49">
        <f>'дод 3'!M170</f>
        <v>0</v>
      </c>
      <c r="M106" s="49">
        <f>'дод 3'!N170</f>
        <v>0</v>
      </c>
      <c r="N106" s="49">
        <f>'дод 3'!O170</f>
        <v>0</v>
      </c>
      <c r="O106" s="49">
        <f>'дод 3'!P170</f>
        <v>806663</v>
      </c>
    </row>
    <row r="107" spans="1:15" ht="36.75" customHeight="1" x14ac:dyDescent="0.25">
      <c r="A107" s="37" t="s">
        <v>124</v>
      </c>
      <c r="B107" s="37" t="s">
        <v>54</v>
      </c>
      <c r="C107" s="3" t="s">
        <v>360</v>
      </c>
      <c r="D107" s="49">
        <f>'дод 3'!E171</f>
        <v>900230</v>
      </c>
      <c r="E107" s="49">
        <f>'дод 3'!F171</f>
        <v>900230</v>
      </c>
      <c r="F107" s="49">
        <f>'дод 3'!G171</f>
        <v>0</v>
      </c>
      <c r="G107" s="49">
        <f>'дод 3'!H171</f>
        <v>0</v>
      </c>
      <c r="H107" s="49">
        <f>'дод 3'!I171</f>
        <v>0</v>
      </c>
      <c r="I107" s="49">
        <f>'дод 3'!J171</f>
        <v>0</v>
      </c>
      <c r="J107" s="49">
        <f>'дод 3'!K171</f>
        <v>0</v>
      </c>
      <c r="K107" s="49">
        <f>'дод 3'!L171</f>
        <v>0</v>
      </c>
      <c r="L107" s="49">
        <f>'дод 3'!M171</f>
        <v>0</v>
      </c>
      <c r="M107" s="49">
        <f>'дод 3'!N171</f>
        <v>0</v>
      </c>
      <c r="N107" s="49">
        <f>'дод 3'!O171</f>
        <v>0</v>
      </c>
      <c r="O107" s="49">
        <f>'дод 3'!P171</f>
        <v>900230</v>
      </c>
    </row>
    <row r="108" spans="1:15" ht="47.25" x14ac:dyDescent="0.25">
      <c r="A108" s="37" t="s">
        <v>99</v>
      </c>
      <c r="B108" s="37" t="s">
        <v>54</v>
      </c>
      <c r="C108" s="3" t="s">
        <v>598</v>
      </c>
      <c r="D108" s="49">
        <f>'дод 3'!E172+'дод 3'!E26</f>
        <v>20988329.240000002</v>
      </c>
      <c r="E108" s="49">
        <f>'дод 3'!F172+'дод 3'!F26</f>
        <v>20988329.240000002</v>
      </c>
      <c r="F108" s="49">
        <f>'дод 3'!G172+'дод 3'!G26</f>
        <v>0</v>
      </c>
      <c r="G108" s="49">
        <f>'дод 3'!H172+'дод 3'!H26</f>
        <v>0</v>
      </c>
      <c r="H108" s="49">
        <f>'дод 3'!I172+'дод 3'!I26</f>
        <v>0</v>
      </c>
      <c r="I108" s="49">
        <f>'дод 3'!J172+'дод 3'!J26</f>
        <v>0</v>
      </c>
      <c r="J108" s="49">
        <f>'дод 3'!K172+'дод 3'!K26</f>
        <v>0</v>
      </c>
      <c r="K108" s="49">
        <f>'дод 3'!L172+'дод 3'!L26</f>
        <v>0</v>
      </c>
      <c r="L108" s="49">
        <f>'дод 3'!M172+'дод 3'!M26</f>
        <v>0</v>
      </c>
      <c r="M108" s="49">
        <f>'дод 3'!N172+'дод 3'!N26</f>
        <v>0</v>
      </c>
      <c r="N108" s="49">
        <f>'дод 3'!O172+'дод 3'!O26</f>
        <v>0</v>
      </c>
      <c r="O108" s="49">
        <f>'дод 3'!P172+'дод 3'!P26</f>
        <v>20988329.240000002</v>
      </c>
    </row>
    <row r="109" spans="1:15" s="54" customFormat="1" ht="21.75" customHeight="1" x14ac:dyDescent="0.25">
      <c r="A109" s="78"/>
      <c r="B109" s="78"/>
      <c r="C109" s="79" t="s">
        <v>393</v>
      </c>
      <c r="D109" s="80">
        <f>'дод 3'!E173</f>
        <v>4358269.24</v>
      </c>
      <c r="E109" s="80">
        <f>'дод 3'!F173</f>
        <v>4358269.24</v>
      </c>
      <c r="F109" s="80">
        <f>'дод 3'!G173</f>
        <v>0</v>
      </c>
      <c r="G109" s="80">
        <f>'дод 3'!H173</f>
        <v>0</v>
      </c>
      <c r="H109" s="80">
        <f>'дод 3'!I173</f>
        <v>0</v>
      </c>
      <c r="I109" s="80">
        <f>'дод 3'!J173</f>
        <v>0</v>
      </c>
      <c r="J109" s="80">
        <f>'дод 3'!K173</f>
        <v>0</v>
      </c>
      <c r="K109" s="80">
        <f>'дод 3'!L173</f>
        <v>0</v>
      </c>
      <c r="L109" s="80">
        <f>'дод 3'!M173</f>
        <v>0</v>
      </c>
      <c r="M109" s="80">
        <f>'дод 3'!N173</f>
        <v>0</v>
      </c>
      <c r="N109" s="80">
        <f>'дод 3'!O173</f>
        <v>0</v>
      </c>
      <c r="O109" s="80">
        <f>'дод 3'!P173</f>
        <v>4358269.24</v>
      </c>
    </row>
    <row r="110" spans="1:15" ht="36" customHeight="1" x14ac:dyDescent="0.25">
      <c r="A110" s="37" t="s">
        <v>323</v>
      </c>
      <c r="B110" s="37" t="s">
        <v>54</v>
      </c>
      <c r="C110" s="3" t="s">
        <v>322</v>
      </c>
      <c r="D110" s="49">
        <f>'дод 3'!E174</f>
        <v>2000000</v>
      </c>
      <c r="E110" s="49">
        <f>'дод 3'!F174</f>
        <v>2000000</v>
      </c>
      <c r="F110" s="49">
        <f>'дод 3'!G174</f>
        <v>0</v>
      </c>
      <c r="G110" s="49">
        <f>'дод 3'!H174</f>
        <v>0</v>
      </c>
      <c r="H110" s="49">
        <f>'дод 3'!I174</f>
        <v>0</v>
      </c>
      <c r="I110" s="49">
        <f>'дод 3'!J174</f>
        <v>0</v>
      </c>
      <c r="J110" s="49">
        <f>'дод 3'!K174</f>
        <v>0</v>
      </c>
      <c r="K110" s="49">
        <f>'дод 3'!L174</f>
        <v>0</v>
      </c>
      <c r="L110" s="49">
        <f>'дод 3'!M174</f>
        <v>0</v>
      </c>
      <c r="M110" s="49">
        <f>'дод 3'!N174</f>
        <v>0</v>
      </c>
      <c r="N110" s="49">
        <f>'дод 3'!O174</f>
        <v>0</v>
      </c>
      <c r="O110" s="49">
        <f>'дод 3'!P174</f>
        <v>2000000</v>
      </c>
    </row>
    <row r="111" spans="1:15" ht="44.25" customHeight="1" x14ac:dyDescent="0.25">
      <c r="A111" s="37" t="s">
        <v>125</v>
      </c>
      <c r="B111" s="37" t="s">
        <v>54</v>
      </c>
      <c r="C111" s="3" t="s">
        <v>19</v>
      </c>
      <c r="D111" s="49">
        <f>'дод 3'!E175+'дод 3'!E27</f>
        <v>36042686</v>
      </c>
      <c r="E111" s="49">
        <f>'дод 3'!F175+'дод 3'!F27</f>
        <v>36042686</v>
      </c>
      <c r="F111" s="49">
        <f>'дод 3'!G175+'дод 3'!G27</f>
        <v>0</v>
      </c>
      <c r="G111" s="49">
        <f>'дод 3'!H175+'дод 3'!H27</f>
        <v>0</v>
      </c>
      <c r="H111" s="49">
        <f>'дод 3'!I175+'дод 3'!I27</f>
        <v>0</v>
      </c>
      <c r="I111" s="49">
        <f>'дод 3'!J175+'дод 3'!J27</f>
        <v>0</v>
      </c>
      <c r="J111" s="49">
        <f>'дод 3'!K175+'дод 3'!K27</f>
        <v>0</v>
      </c>
      <c r="K111" s="49">
        <f>'дод 3'!L175+'дод 3'!L27</f>
        <v>0</v>
      </c>
      <c r="L111" s="49">
        <f>'дод 3'!M175+'дод 3'!M27</f>
        <v>0</v>
      </c>
      <c r="M111" s="49">
        <f>'дод 3'!N175+'дод 3'!N27</f>
        <v>0</v>
      </c>
      <c r="N111" s="49">
        <f>'дод 3'!O175+'дод 3'!O27</f>
        <v>0</v>
      </c>
      <c r="O111" s="49">
        <f>'дод 3'!P175+'дод 3'!P27</f>
        <v>36042686</v>
      </c>
    </row>
    <row r="112" spans="1:15" ht="45" customHeight="1" x14ac:dyDescent="0.25">
      <c r="A112" s="37" t="s">
        <v>101</v>
      </c>
      <c r="B112" s="37" t="s">
        <v>54</v>
      </c>
      <c r="C112" s="3" t="s">
        <v>409</v>
      </c>
      <c r="D112" s="49">
        <f>'дод 3'!E176</f>
        <v>667500</v>
      </c>
      <c r="E112" s="49">
        <f>'дод 3'!F176</f>
        <v>667500</v>
      </c>
      <c r="F112" s="49">
        <f>'дод 3'!G176</f>
        <v>0</v>
      </c>
      <c r="G112" s="49">
        <f>'дод 3'!H176</f>
        <v>0</v>
      </c>
      <c r="H112" s="49">
        <f>'дод 3'!I176</f>
        <v>0</v>
      </c>
      <c r="I112" s="49">
        <f>'дод 3'!J176</f>
        <v>0</v>
      </c>
      <c r="J112" s="49">
        <f>'дод 3'!K176</f>
        <v>0</v>
      </c>
      <c r="K112" s="49">
        <f>'дод 3'!L176</f>
        <v>0</v>
      </c>
      <c r="L112" s="49">
        <f>'дод 3'!M176</f>
        <v>0</v>
      </c>
      <c r="M112" s="49">
        <f>'дод 3'!N176</f>
        <v>0</v>
      </c>
      <c r="N112" s="49">
        <f>'дод 3'!O176</f>
        <v>0</v>
      </c>
      <c r="O112" s="49">
        <f>'дод 3'!P176</f>
        <v>667500</v>
      </c>
    </row>
    <row r="113" spans="1:15" s="54" customFormat="1" x14ac:dyDescent="0.25">
      <c r="A113" s="78"/>
      <c r="B113" s="78"/>
      <c r="C113" s="79" t="s">
        <v>393</v>
      </c>
      <c r="D113" s="80">
        <f>'дод 3'!E177</f>
        <v>667500</v>
      </c>
      <c r="E113" s="80">
        <f>'дод 3'!F177</f>
        <v>667500</v>
      </c>
      <c r="F113" s="80">
        <f>'дод 3'!G177</f>
        <v>0</v>
      </c>
      <c r="G113" s="80">
        <f>'дод 3'!H177</f>
        <v>0</v>
      </c>
      <c r="H113" s="80">
        <f>'дод 3'!I177</f>
        <v>0</v>
      </c>
      <c r="I113" s="80">
        <f>'дод 3'!J177</f>
        <v>0</v>
      </c>
      <c r="J113" s="80">
        <f>'дод 3'!K177</f>
        <v>0</v>
      </c>
      <c r="K113" s="80">
        <f>'дод 3'!L177</f>
        <v>0</v>
      </c>
      <c r="L113" s="80">
        <f>'дод 3'!M177</f>
        <v>0</v>
      </c>
      <c r="M113" s="80">
        <f>'дод 3'!N177</f>
        <v>0</v>
      </c>
      <c r="N113" s="80">
        <f>'дод 3'!O177</f>
        <v>0</v>
      </c>
      <c r="O113" s="80">
        <f>'дод 3'!P177</f>
        <v>667500</v>
      </c>
    </row>
    <row r="114" spans="1:15" ht="40.5" customHeight="1" x14ac:dyDescent="0.25">
      <c r="A114" s="37" t="s">
        <v>315</v>
      </c>
      <c r="B114" s="37" t="s">
        <v>52</v>
      </c>
      <c r="C114" s="3" t="s">
        <v>410</v>
      </c>
      <c r="D114" s="49">
        <f>'дод 3'!E178</f>
        <v>245000</v>
      </c>
      <c r="E114" s="49">
        <f>'дод 3'!F178</f>
        <v>245000</v>
      </c>
      <c r="F114" s="49">
        <f>'дод 3'!G178</f>
        <v>0</v>
      </c>
      <c r="G114" s="49">
        <f>'дод 3'!H178</f>
        <v>0</v>
      </c>
      <c r="H114" s="49">
        <f>'дод 3'!I178</f>
        <v>0</v>
      </c>
      <c r="I114" s="49">
        <f>'дод 3'!J178</f>
        <v>0</v>
      </c>
      <c r="J114" s="49">
        <f>'дод 3'!K178</f>
        <v>0</v>
      </c>
      <c r="K114" s="49">
        <f>'дод 3'!L178</f>
        <v>0</v>
      </c>
      <c r="L114" s="49">
        <f>'дод 3'!M178</f>
        <v>0</v>
      </c>
      <c r="M114" s="49">
        <f>'дод 3'!N178</f>
        <v>0</v>
      </c>
      <c r="N114" s="49">
        <f>'дод 3'!O178</f>
        <v>0</v>
      </c>
      <c r="O114" s="49">
        <f>'дод 3'!P178</f>
        <v>245000</v>
      </c>
    </row>
    <row r="115" spans="1:15" s="54" customFormat="1" x14ac:dyDescent="0.25">
      <c r="A115" s="78"/>
      <c r="B115" s="78"/>
      <c r="C115" s="79" t="s">
        <v>393</v>
      </c>
      <c r="D115" s="80">
        <f>'дод 3'!E179</f>
        <v>245000</v>
      </c>
      <c r="E115" s="80">
        <f>'дод 3'!F179</f>
        <v>245000</v>
      </c>
      <c r="F115" s="80">
        <f>'дод 3'!G179</f>
        <v>0</v>
      </c>
      <c r="G115" s="80">
        <f>'дод 3'!H179</f>
        <v>0</v>
      </c>
      <c r="H115" s="80">
        <f>'дод 3'!I179</f>
        <v>0</v>
      </c>
      <c r="I115" s="80">
        <f>'дод 3'!J179</f>
        <v>0</v>
      </c>
      <c r="J115" s="80">
        <f>'дод 3'!K179</f>
        <v>0</v>
      </c>
      <c r="K115" s="80">
        <f>'дод 3'!L179</f>
        <v>0</v>
      </c>
      <c r="L115" s="80">
        <f>'дод 3'!M179</f>
        <v>0</v>
      </c>
      <c r="M115" s="80">
        <f>'дод 3'!N179</f>
        <v>0</v>
      </c>
      <c r="N115" s="80">
        <f>'дод 3'!O179</f>
        <v>0</v>
      </c>
      <c r="O115" s="80">
        <f>'дод 3'!P179</f>
        <v>245000</v>
      </c>
    </row>
    <row r="116" spans="1:15" ht="58.5" customHeight="1" x14ac:dyDescent="0.25">
      <c r="A116" s="37" t="s">
        <v>102</v>
      </c>
      <c r="B116" s="37" t="s">
        <v>50</v>
      </c>
      <c r="C116" s="3" t="s">
        <v>30</v>
      </c>
      <c r="D116" s="49">
        <f>'дод 3'!E180</f>
        <v>18389917.48</v>
      </c>
      <c r="E116" s="49">
        <f>'дод 3'!F180</f>
        <v>18389917.48</v>
      </c>
      <c r="F116" s="49">
        <f>'дод 3'!G180</f>
        <v>14027514.66</v>
      </c>
      <c r="G116" s="49">
        <f>'дод 3'!H180</f>
        <v>396874.4</v>
      </c>
      <c r="H116" s="49">
        <f>'дод 3'!I180</f>
        <v>0</v>
      </c>
      <c r="I116" s="49">
        <f>'дод 3'!J180</f>
        <v>96200</v>
      </c>
      <c r="J116" s="49">
        <f>'дод 3'!K180</f>
        <v>0</v>
      </c>
      <c r="K116" s="49">
        <f>'дод 3'!L180</f>
        <v>96200</v>
      </c>
      <c r="L116" s="49">
        <f>'дод 3'!M180</f>
        <v>75000</v>
      </c>
      <c r="M116" s="49">
        <f>'дод 3'!N180</f>
        <v>0</v>
      </c>
      <c r="N116" s="49">
        <f>'дод 3'!O180</f>
        <v>0</v>
      </c>
      <c r="O116" s="49">
        <f>'дод 3'!P180</f>
        <v>18486117.48</v>
      </c>
    </row>
    <row r="117" spans="1:15" ht="69.75" customHeight="1" x14ac:dyDescent="0.25">
      <c r="A117" s="37" t="s">
        <v>332</v>
      </c>
      <c r="B117" s="37" t="s">
        <v>100</v>
      </c>
      <c r="C117" s="36" t="s">
        <v>333</v>
      </c>
      <c r="D117" s="49">
        <f>SUM('дод 3'!E206)</f>
        <v>91140</v>
      </c>
      <c r="E117" s="49">
        <f>SUM('дод 3'!F206)</f>
        <v>91140</v>
      </c>
      <c r="F117" s="49">
        <f>SUM('дод 3'!G206)</f>
        <v>0</v>
      </c>
      <c r="G117" s="49">
        <f>SUM('дод 3'!H206)</f>
        <v>0</v>
      </c>
      <c r="H117" s="49">
        <f>SUM('дод 3'!I206)</f>
        <v>0</v>
      </c>
      <c r="I117" s="49">
        <f>SUM('дод 3'!J206)</f>
        <v>0</v>
      </c>
      <c r="J117" s="49">
        <f>SUM('дод 3'!K206)</f>
        <v>0</v>
      </c>
      <c r="K117" s="49">
        <f>SUM('дод 3'!L206)</f>
        <v>0</v>
      </c>
      <c r="L117" s="49">
        <f>SUM('дод 3'!M206)</f>
        <v>0</v>
      </c>
      <c r="M117" s="49">
        <f>SUM('дод 3'!N206)</f>
        <v>0</v>
      </c>
      <c r="N117" s="49">
        <f>SUM('дод 3'!O206)</f>
        <v>0</v>
      </c>
      <c r="O117" s="49">
        <f>SUM('дод 3'!P206)</f>
        <v>91140</v>
      </c>
    </row>
    <row r="118" spans="1:15" s="54" customFormat="1" ht="36" customHeight="1" x14ac:dyDescent="0.25">
      <c r="A118" s="37" t="s">
        <v>103</v>
      </c>
      <c r="B118" s="37" t="s">
        <v>100</v>
      </c>
      <c r="C118" s="3" t="s">
        <v>31</v>
      </c>
      <c r="D118" s="49">
        <f>'дод 3'!E207</f>
        <v>93040</v>
      </c>
      <c r="E118" s="49">
        <f>'дод 3'!F207</f>
        <v>93040</v>
      </c>
      <c r="F118" s="49">
        <f>'дод 3'!G207</f>
        <v>0</v>
      </c>
      <c r="G118" s="49">
        <f>'дод 3'!H207</f>
        <v>0</v>
      </c>
      <c r="H118" s="49">
        <f>'дод 3'!I207</f>
        <v>0</v>
      </c>
      <c r="I118" s="49">
        <f>'дод 3'!J207</f>
        <v>0</v>
      </c>
      <c r="J118" s="49">
        <f>'дод 3'!K207</f>
        <v>0</v>
      </c>
      <c r="K118" s="49">
        <f>'дод 3'!L207</f>
        <v>0</v>
      </c>
      <c r="L118" s="49">
        <f>'дод 3'!M207</f>
        <v>0</v>
      </c>
      <c r="M118" s="49">
        <f>'дод 3'!N207</f>
        <v>0</v>
      </c>
      <c r="N118" s="49">
        <f>'дод 3'!O207</f>
        <v>0</v>
      </c>
      <c r="O118" s="49">
        <f>'дод 3'!P207</f>
        <v>93040</v>
      </c>
    </row>
    <row r="119" spans="1:15" s="54" customFormat="1" ht="38.25" customHeight="1" x14ac:dyDescent="0.25">
      <c r="A119" s="37" t="s">
        <v>126</v>
      </c>
      <c r="B119" s="37" t="s">
        <v>100</v>
      </c>
      <c r="C119" s="3" t="s">
        <v>501</v>
      </c>
      <c r="D119" s="49">
        <f>'дод 3'!E28</f>
        <v>3220140</v>
      </c>
      <c r="E119" s="49">
        <f>'дод 3'!F28</f>
        <v>3220140</v>
      </c>
      <c r="F119" s="49">
        <f>'дод 3'!G28</f>
        <v>2407050</v>
      </c>
      <c r="G119" s="49">
        <f>'дод 3'!H28</f>
        <v>53330</v>
      </c>
      <c r="H119" s="49">
        <f>'дод 3'!I28</f>
        <v>0</v>
      </c>
      <c r="I119" s="49">
        <f>'дод 3'!J28</f>
        <v>0</v>
      </c>
      <c r="J119" s="49">
        <f>'дод 3'!K28</f>
        <v>0</v>
      </c>
      <c r="K119" s="49">
        <f>'дод 3'!L28</f>
        <v>0</v>
      </c>
      <c r="L119" s="49">
        <f>'дод 3'!M28</f>
        <v>0</v>
      </c>
      <c r="M119" s="49">
        <f>'дод 3'!N28</f>
        <v>0</v>
      </c>
      <c r="N119" s="49">
        <f>'дод 3'!O28</f>
        <v>0</v>
      </c>
      <c r="O119" s="49">
        <f>'дод 3'!P28</f>
        <v>3220140</v>
      </c>
    </row>
    <row r="120" spans="1:15" s="54" customFormat="1" ht="43.5" customHeight="1" x14ac:dyDescent="0.25">
      <c r="A120" s="40" t="s">
        <v>107</v>
      </c>
      <c r="B120" s="40" t="s">
        <v>100</v>
      </c>
      <c r="C120" s="3" t="s">
        <v>340</v>
      </c>
      <c r="D120" s="49">
        <f>'дод 3'!E29</f>
        <v>783850</v>
      </c>
      <c r="E120" s="49">
        <f>'дод 3'!F29</f>
        <v>783850</v>
      </c>
      <c r="F120" s="49">
        <f>'дод 3'!G29</f>
        <v>0</v>
      </c>
      <c r="G120" s="49">
        <f>'дод 3'!H29</f>
        <v>0</v>
      </c>
      <c r="H120" s="49">
        <f>'дод 3'!I29</f>
        <v>0</v>
      </c>
      <c r="I120" s="49">
        <f>'дод 3'!J29</f>
        <v>0</v>
      </c>
      <c r="J120" s="49">
        <f>'дод 3'!K29</f>
        <v>0</v>
      </c>
      <c r="K120" s="49">
        <f>'дод 3'!L29</f>
        <v>0</v>
      </c>
      <c r="L120" s="49">
        <f>'дод 3'!M29</f>
        <v>0</v>
      </c>
      <c r="M120" s="49">
        <f>'дод 3'!N29</f>
        <v>0</v>
      </c>
      <c r="N120" s="49">
        <f>'дод 3'!O29</f>
        <v>0</v>
      </c>
      <c r="O120" s="49">
        <f>'дод 3'!P29</f>
        <v>783850</v>
      </c>
    </row>
    <row r="121" spans="1:15" ht="69" customHeight="1" x14ac:dyDescent="0.25">
      <c r="A121" s="37" t="s">
        <v>108</v>
      </c>
      <c r="B121" s="37" t="s">
        <v>100</v>
      </c>
      <c r="C121" s="6" t="s">
        <v>20</v>
      </c>
      <c r="D121" s="49">
        <f>'дод 3'!E30+'дод 3'!E112</f>
        <v>5780000</v>
      </c>
      <c r="E121" s="49">
        <f>'дод 3'!F30+'дод 3'!F112</f>
        <v>5780000</v>
      </c>
      <c r="F121" s="49">
        <f>'дод 3'!G30+'дод 3'!G112</f>
        <v>0</v>
      </c>
      <c r="G121" s="49">
        <f>'дод 3'!H30+'дод 3'!H112</f>
        <v>0</v>
      </c>
      <c r="H121" s="49">
        <f>'дод 3'!I30+'дод 3'!I112</f>
        <v>0</v>
      </c>
      <c r="I121" s="49">
        <f>'дод 3'!J30+'дод 3'!J112</f>
        <v>0</v>
      </c>
      <c r="J121" s="49">
        <f>'дод 3'!K30+'дод 3'!K112</f>
        <v>0</v>
      </c>
      <c r="K121" s="49">
        <f>'дод 3'!L30+'дод 3'!L112</f>
        <v>0</v>
      </c>
      <c r="L121" s="49">
        <f>'дод 3'!M30+'дод 3'!M112</f>
        <v>0</v>
      </c>
      <c r="M121" s="49">
        <f>'дод 3'!N30+'дод 3'!N112</f>
        <v>0</v>
      </c>
      <c r="N121" s="49">
        <f>'дод 3'!O30+'дод 3'!O112</f>
        <v>0</v>
      </c>
      <c r="O121" s="49">
        <f>'дод 3'!P30+'дод 3'!P112</f>
        <v>5780000</v>
      </c>
    </row>
    <row r="122" spans="1:15" ht="78.75" x14ac:dyDescent="0.25">
      <c r="A122" s="37" t="s">
        <v>109</v>
      </c>
      <c r="B122" s="37">
        <v>1010</v>
      </c>
      <c r="C122" s="3" t="s">
        <v>286</v>
      </c>
      <c r="D122" s="49">
        <f>'дод 3'!E181</f>
        <v>3956000</v>
      </c>
      <c r="E122" s="49">
        <f>'дод 3'!F181</f>
        <v>3956000</v>
      </c>
      <c r="F122" s="49">
        <f>'дод 3'!G181</f>
        <v>0</v>
      </c>
      <c r="G122" s="49">
        <f>'дод 3'!H181</f>
        <v>0</v>
      </c>
      <c r="H122" s="49">
        <f>'дод 3'!I181</f>
        <v>0</v>
      </c>
      <c r="I122" s="49">
        <f>'дод 3'!J181</f>
        <v>0</v>
      </c>
      <c r="J122" s="49">
        <f>'дод 3'!K181</f>
        <v>0</v>
      </c>
      <c r="K122" s="49">
        <f>'дод 3'!L181</f>
        <v>0</v>
      </c>
      <c r="L122" s="49">
        <f>'дод 3'!M181</f>
        <v>0</v>
      </c>
      <c r="M122" s="49">
        <f>'дод 3'!N181</f>
        <v>0</v>
      </c>
      <c r="N122" s="49">
        <f>'дод 3'!O181</f>
        <v>0</v>
      </c>
      <c r="O122" s="49">
        <f>'дод 3'!P181</f>
        <v>3956000</v>
      </c>
    </row>
    <row r="123" spans="1:15" s="54" customFormat="1" ht="63" x14ac:dyDescent="0.25">
      <c r="A123" s="37" t="s">
        <v>316</v>
      </c>
      <c r="B123" s="37">
        <v>1010</v>
      </c>
      <c r="C123" s="3" t="s">
        <v>405</v>
      </c>
      <c r="D123" s="49">
        <f>'дод 3'!E182</f>
        <v>198209</v>
      </c>
      <c r="E123" s="49">
        <f>'дод 3'!F182</f>
        <v>198209</v>
      </c>
      <c r="F123" s="49">
        <f>'дод 3'!G182</f>
        <v>0</v>
      </c>
      <c r="G123" s="49">
        <f>'дод 3'!H182</f>
        <v>0</v>
      </c>
      <c r="H123" s="49">
        <f>'дод 3'!I182</f>
        <v>0</v>
      </c>
      <c r="I123" s="49">
        <f>'дод 3'!J182</f>
        <v>0</v>
      </c>
      <c r="J123" s="49">
        <f>'дод 3'!K182</f>
        <v>0</v>
      </c>
      <c r="K123" s="49">
        <f>'дод 3'!L182</f>
        <v>0</v>
      </c>
      <c r="L123" s="49">
        <f>'дод 3'!M182</f>
        <v>0</v>
      </c>
      <c r="M123" s="49">
        <f>'дод 3'!N182</f>
        <v>0</v>
      </c>
      <c r="N123" s="49">
        <f>'дод 3'!O182</f>
        <v>0</v>
      </c>
      <c r="O123" s="49">
        <f>'дод 3'!P182</f>
        <v>198209</v>
      </c>
    </row>
    <row r="124" spans="1:15" s="54" customFormat="1" x14ac:dyDescent="0.25">
      <c r="A124" s="78"/>
      <c r="B124" s="78"/>
      <c r="C124" s="79" t="s">
        <v>393</v>
      </c>
      <c r="D124" s="80">
        <f>'дод 3'!E183</f>
        <v>198209</v>
      </c>
      <c r="E124" s="80">
        <f>'дод 3'!F183</f>
        <v>198209</v>
      </c>
      <c r="F124" s="80">
        <f>'дод 3'!G183</f>
        <v>0</v>
      </c>
      <c r="G124" s="80">
        <f>'дод 3'!H183</f>
        <v>0</v>
      </c>
      <c r="H124" s="80">
        <f>'дод 3'!I183</f>
        <v>0</v>
      </c>
      <c r="I124" s="80">
        <f>'дод 3'!J183</f>
        <v>0</v>
      </c>
      <c r="J124" s="80">
        <f>'дод 3'!K183</f>
        <v>0</v>
      </c>
      <c r="K124" s="80">
        <f>'дод 3'!L183</f>
        <v>0</v>
      </c>
      <c r="L124" s="80">
        <f>'дод 3'!M183</f>
        <v>0</v>
      </c>
      <c r="M124" s="80">
        <f>'дод 3'!N183</f>
        <v>0</v>
      </c>
      <c r="N124" s="80">
        <f>'дод 3'!O183</f>
        <v>0</v>
      </c>
      <c r="O124" s="80">
        <f>'дод 3'!P183</f>
        <v>198209</v>
      </c>
    </row>
    <row r="125" spans="1:15" s="54" customFormat="1" ht="36" customHeight="1" x14ac:dyDescent="0.25">
      <c r="A125" s="37" t="s">
        <v>317</v>
      </c>
      <c r="B125" s="37">
        <v>1010</v>
      </c>
      <c r="C125" s="3" t="s">
        <v>406</v>
      </c>
      <c r="D125" s="49">
        <f>'дод 3'!E184</f>
        <v>90</v>
      </c>
      <c r="E125" s="49">
        <f>'дод 3'!F184</f>
        <v>90</v>
      </c>
      <c r="F125" s="49">
        <f>'дод 3'!G184</f>
        <v>0</v>
      </c>
      <c r="G125" s="49">
        <f>'дод 3'!H184</f>
        <v>0</v>
      </c>
      <c r="H125" s="49">
        <f>'дод 3'!I184</f>
        <v>0</v>
      </c>
      <c r="I125" s="49">
        <f>'дод 3'!J184</f>
        <v>0</v>
      </c>
      <c r="J125" s="49">
        <f>'дод 3'!K184</f>
        <v>0</v>
      </c>
      <c r="K125" s="49">
        <f>'дод 3'!L184</f>
        <v>0</v>
      </c>
      <c r="L125" s="49">
        <f>'дод 3'!M184</f>
        <v>0</v>
      </c>
      <c r="M125" s="49">
        <f>'дод 3'!N184</f>
        <v>0</v>
      </c>
      <c r="N125" s="49">
        <f>'дод 3'!O184</f>
        <v>0</v>
      </c>
      <c r="O125" s="49">
        <f>'дод 3'!P184</f>
        <v>90</v>
      </c>
    </row>
    <row r="126" spans="1:15" s="54" customFormat="1" x14ac:dyDescent="0.25">
      <c r="A126" s="78"/>
      <c r="B126" s="78"/>
      <c r="C126" s="79" t="s">
        <v>393</v>
      </c>
      <c r="D126" s="80">
        <f>'дод 3'!E185</f>
        <v>90</v>
      </c>
      <c r="E126" s="80">
        <f>'дод 3'!F185</f>
        <v>90</v>
      </c>
      <c r="F126" s="80">
        <f>'дод 3'!G185</f>
        <v>0</v>
      </c>
      <c r="G126" s="80">
        <f>'дод 3'!H185</f>
        <v>0</v>
      </c>
      <c r="H126" s="80">
        <f>'дод 3'!I185</f>
        <v>0</v>
      </c>
      <c r="I126" s="80">
        <f>'дод 3'!J185</f>
        <v>0</v>
      </c>
      <c r="J126" s="80">
        <f>'дод 3'!K185</f>
        <v>0</v>
      </c>
      <c r="K126" s="80">
        <f>'дод 3'!L185</f>
        <v>0</v>
      </c>
      <c r="L126" s="80">
        <f>'дод 3'!M185</f>
        <v>0</v>
      </c>
      <c r="M126" s="80">
        <f>'дод 3'!N185</f>
        <v>0</v>
      </c>
      <c r="N126" s="80">
        <f>'дод 3'!O185</f>
        <v>0</v>
      </c>
      <c r="O126" s="80">
        <f>'дод 3'!P185</f>
        <v>90</v>
      </c>
    </row>
    <row r="127" spans="1:15" ht="72.75" customHeight="1" x14ac:dyDescent="0.25">
      <c r="A127" s="37" t="s">
        <v>104</v>
      </c>
      <c r="B127" s="37" t="s">
        <v>53</v>
      </c>
      <c r="C127" s="3" t="s">
        <v>341</v>
      </c>
      <c r="D127" s="49">
        <f>'дод 3'!E186</f>
        <v>2452811</v>
      </c>
      <c r="E127" s="49">
        <f>'дод 3'!F186</f>
        <v>2452811</v>
      </c>
      <c r="F127" s="49">
        <f>'дод 3'!G186</f>
        <v>0</v>
      </c>
      <c r="G127" s="49">
        <f>'дод 3'!H186</f>
        <v>0</v>
      </c>
      <c r="H127" s="49">
        <f>'дод 3'!I186</f>
        <v>0</v>
      </c>
      <c r="I127" s="49">
        <f>'дод 3'!J186</f>
        <v>0</v>
      </c>
      <c r="J127" s="49">
        <f>'дод 3'!K186</f>
        <v>0</v>
      </c>
      <c r="K127" s="49">
        <f>'дод 3'!L186</f>
        <v>0</v>
      </c>
      <c r="L127" s="49">
        <f>'дод 3'!M186</f>
        <v>0</v>
      </c>
      <c r="M127" s="49">
        <f>'дод 3'!N186</f>
        <v>0</v>
      </c>
      <c r="N127" s="49">
        <f>'дод 3'!O186</f>
        <v>0</v>
      </c>
      <c r="O127" s="49">
        <f>'дод 3'!P186</f>
        <v>2452811</v>
      </c>
    </row>
    <row r="128" spans="1:15" s="54" customFormat="1" ht="19.5" customHeight="1" x14ac:dyDescent="0.25">
      <c r="A128" s="37" t="s">
        <v>287</v>
      </c>
      <c r="B128" s="37" t="s">
        <v>52</v>
      </c>
      <c r="C128" s="3" t="s">
        <v>18</v>
      </c>
      <c r="D128" s="49">
        <f>'дод 3'!E187</f>
        <v>1952159</v>
      </c>
      <c r="E128" s="49">
        <f>'дод 3'!F187</f>
        <v>1952159</v>
      </c>
      <c r="F128" s="49">
        <f>'дод 3'!G187</f>
        <v>0</v>
      </c>
      <c r="G128" s="49">
        <f>'дод 3'!H187</f>
        <v>0</v>
      </c>
      <c r="H128" s="49">
        <f>'дод 3'!I187</f>
        <v>0</v>
      </c>
      <c r="I128" s="49">
        <f>'дод 3'!J187</f>
        <v>0</v>
      </c>
      <c r="J128" s="49">
        <f>'дод 3'!K187</f>
        <v>0</v>
      </c>
      <c r="K128" s="49">
        <f>'дод 3'!L187</f>
        <v>0</v>
      </c>
      <c r="L128" s="49">
        <f>'дод 3'!M187</f>
        <v>0</v>
      </c>
      <c r="M128" s="49">
        <f>'дод 3'!N187</f>
        <v>0</v>
      </c>
      <c r="N128" s="49">
        <f>'дод 3'!O187</f>
        <v>0</v>
      </c>
      <c r="O128" s="49">
        <f>'дод 3'!P187</f>
        <v>1952159</v>
      </c>
    </row>
    <row r="129" spans="1:15" s="54" customFormat="1" ht="51" customHeight="1" x14ac:dyDescent="0.25">
      <c r="A129" s="37" t="s">
        <v>288</v>
      </c>
      <c r="B129" s="37" t="s">
        <v>52</v>
      </c>
      <c r="C129" s="60" t="s">
        <v>502</v>
      </c>
      <c r="D129" s="49">
        <f>'дод 3'!E188</f>
        <v>2250688</v>
      </c>
      <c r="E129" s="49">
        <f>'дод 3'!F188</f>
        <v>2250688</v>
      </c>
      <c r="F129" s="49">
        <f>'дод 3'!G188</f>
        <v>0</v>
      </c>
      <c r="G129" s="49">
        <f>'дод 3'!H188</f>
        <v>0</v>
      </c>
      <c r="H129" s="49">
        <f>'дод 3'!I188</f>
        <v>0</v>
      </c>
      <c r="I129" s="49">
        <f>'дод 3'!J188</f>
        <v>0</v>
      </c>
      <c r="J129" s="49">
        <f>'дод 3'!K188</f>
        <v>0</v>
      </c>
      <c r="K129" s="49">
        <f>'дод 3'!L188</f>
        <v>0</v>
      </c>
      <c r="L129" s="49">
        <f>'дод 3'!M188</f>
        <v>0</v>
      </c>
      <c r="M129" s="49">
        <f>'дод 3'!N188</f>
        <v>0</v>
      </c>
      <c r="N129" s="49">
        <f>'дод 3'!O188</f>
        <v>0</v>
      </c>
      <c r="O129" s="49">
        <f>'дод 3'!P188</f>
        <v>2250688</v>
      </c>
    </row>
    <row r="130" spans="1:15" ht="36.75" customHeight="1" x14ac:dyDescent="0.25">
      <c r="A130" s="37" t="s">
        <v>105</v>
      </c>
      <c r="B130" s="37" t="s">
        <v>56</v>
      </c>
      <c r="C130" s="3" t="s">
        <v>342</v>
      </c>
      <c r="D130" s="49">
        <f>'дод 3'!E189</f>
        <v>92000</v>
      </c>
      <c r="E130" s="49">
        <f>'дод 3'!F189</f>
        <v>92000</v>
      </c>
      <c r="F130" s="49">
        <f>'дод 3'!G189</f>
        <v>0</v>
      </c>
      <c r="G130" s="49">
        <f>'дод 3'!H189</f>
        <v>0</v>
      </c>
      <c r="H130" s="49">
        <f>'дод 3'!I189</f>
        <v>0</v>
      </c>
      <c r="I130" s="49">
        <f>'дод 3'!J189</f>
        <v>0</v>
      </c>
      <c r="J130" s="49">
        <f>'дод 3'!K189</f>
        <v>0</v>
      </c>
      <c r="K130" s="49">
        <f>'дод 3'!L189</f>
        <v>0</v>
      </c>
      <c r="L130" s="49">
        <f>'дод 3'!M189</f>
        <v>0</v>
      </c>
      <c r="M130" s="49">
        <f>'дод 3'!N189</f>
        <v>0</v>
      </c>
      <c r="N130" s="49">
        <f>'дод 3'!O189</f>
        <v>0</v>
      </c>
      <c r="O130" s="49">
        <f>'дод 3'!P189</f>
        <v>92000</v>
      </c>
    </row>
    <row r="131" spans="1:15" ht="20.25" customHeight="1" x14ac:dyDescent="0.25">
      <c r="A131" s="37" t="s">
        <v>289</v>
      </c>
      <c r="B131" s="37" t="s">
        <v>106</v>
      </c>
      <c r="C131" s="3" t="s">
        <v>37</v>
      </c>
      <c r="D131" s="49">
        <f>'дод 3'!E190+'дод 3'!E231</f>
        <v>210000</v>
      </c>
      <c r="E131" s="49">
        <f>'дод 3'!F190+'дод 3'!F231</f>
        <v>210000</v>
      </c>
      <c r="F131" s="49">
        <f>'дод 3'!G190+'дод 3'!G231</f>
        <v>40900</v>
      </c>
      <c r="G131" s="49">
        <f>'дод 3'!H190+'дод 3'!H231</f>
        <v>0</v>
      </c>
      <c r="H131" s="49">
        <f>'дод 3'!I190+'дод 3'!I231</f>
        <v>0</v>
      </c>
      <c r="I131" s="49">
        <f>'дод 3'!J190+'дод 3'!J231</f>
        <v>0</v>
      </c>
      <c r="J131" s="49">
        <f>'дод 3'!K190+'дод 3'!K231</f>
        <v>0</v>
      </c>
      <c r="K131" s="49">
        <f>'дод 3'!L190+'дод 3'!L231</f>
        <v>0</v>
      </c>
      <c r="L131" s="49">
        <f>'дод 3'!M190+'дод 3'!M231</f>
        <v>0</v>
      </c>
      <c r="M131" s="49">
        <f>'дод 3'!N190+'дод 3'!N231</f>
        <v>0</v>
      </c>
      <c r="N131" s="49">
        <f>'дод 3'!O190+'дод 3'!O231</f>
        <v>0</v>
      </c>
      <c r="O131" s="49">
        <f>'дод 3'!P190+'дод 3'!P231</f>
        <v>210000</v>
      </c>
    </row>
    <row r="132" spans="1:15" ht="240.75" customHeight="1" x14ac:dyDescent="0.25">
      <c r="A132" s="37">
        <v>3221</v>
      </c>
      <c r="B132" s="58" t="s">
        <v>53</v>
      </c>
      <c r="C132" s="36" t="s">
        <v>585</v>
      </c>
      <c r="D132" s="49">
        <f>'дод 3'!E191</f>
        <v>0</v>
      </c>
      <c r="E132" s="49">
        <f>'дод 3'!F191</f>
        <v>0</v>
      </c>
      <c r="F132" s="49">
        <f>'дод 3'!G191</f>
        <v>0</v>
      </c>
      <c r="G132" s="49">
        <f>'дод 3'!H191</f>
        <v>0</v>
      </c>
      <c r="H132" s="49">
        <f>'дод 3'!I191</f>
        <v>0</v>
      </c>
      <c r="I132" s="49">
        <f>'дод 3'!J191</f>
        <v>975480.06</v>
      </c>
      <c r="J132" s="49">
        <f>'дод 3'!K191</f>
        <v>975480.06</v>
      </c>
      <c r="K132" s="49">
        <f>'дод 3'!L191</f>
        <v>0</v>
      </c>
      <c r="L132" s="49">
        <f>'дод 3'!M191</f>
        <v>0</v>
      </c>
      <c r="M132" s="49">
        <f>'дод 3'!N191</f>
        <v>0</v>
      </c>
      <c r="N132" s="49">
        <f>'дод 3'!O191</f>
        <v>975480.06</v>
      </c>
      <c r="O132" s="49">
        <f>'дод 3'!P191</f>
        <v>975480.06</v>
      </c>
    </row>
    <row r="133" spans="1:15" s="54" customFormat="1" ht="267.75" customHeight="1" x14ac:dyDescent="0.25">
      <c r="A133" s="78"/>
      <c r="B133" s="89"/>
      <c r="C133" s="87" t="s">
        <v>583</v>
      </c>
      <c r="D133" s="80">
        <f>'дод 3'!E192</f>
        <v>0</v>
      </c>
      <c r="E133" s="80">
        <f>'дод 3'!F192</f>
        <v>0</v>
      </c>
      <c r="F133" s="80">
        <f>'дод 3'!G192</f>
        <v>0</v>
      </c>
      <c r="G133" s="80">
        <f>'дод 3'!H192</f>
        <v>0</v>
      </c>
      <c r="H133" s="80">
        <f>'дод 3'!I192</f>
        <v>0</v>
      </c>
      <c r="I133" s="80">
        <f>'дод 3'!J192</f>
        <v>975480.06</v>
      </c>
      <c r="J133" s="80">
        <f>'дод 3'!K192</f>
        <v>975480.06</v>
      </c>
      <c r="K133" s="80">
        <f>'дод 3'!L192</f>
        <v>0</v>
      </c>
      <c r="L133" s="80">
        <f>'дод 3'!M192</f>
        <v>0</v>
      </c>
      <c r="M133" s="80">
        <f>'дод 3'!N192</f>
        <v>0</v>
      </c>
      <c r="N133" s="80">
        <f>'дод 3'!O192</f>
        <v>975480.06</v>
      </c>
      <c r="O133" s="80">
        <f>'дод 3'!P192</f>
        <v>975480.06</v>
      </c>
    </row>
    <row r="134" spans="1:15" s="54" customFormat="1" ht="293.25" customHeight="1" x14ac:dyDescent="0.25">
      <c r="A134" s="42">
        <v>3222</v>
      </c>
      <c r="B134" s="103" t="s">
        <v>53</v>
      </c>
      <c r="C134" s="36" t="s">
        <v>608</v>
      </c>
      <c r="D134" s="49">
        <f>'дод 3'!E193</f>
        <v>0</v>
      </c>
      <c r="E134" s="49">
        <f>'дод 3'!F193</f>
        <v>0</v>
      </c>
      <c r="F134" s="49">
        <f>'дод 3'!G193</f>
        <v>0</v>
      </c>
      <c r="G134" s="49">
        <f>'дод 3'!H193</f>
        <v>0</v>
      </c>
      <c r="H134" s="49">
        <f>'дод 3'!I193</f>
        <v>0</v>
      </c>
      <c r="I134" s="49">
        <f>'дод 3'!J193</f>
        <v>1176130.99</v>
      </c>
      <c r="J134" s="49">
        <f>'дод 3'!K193</f>
        <v>1176130.99</v>
      </c>
      <c r="K134" s="49">
        <f>'дод 3'!L193</f>
        <v>0</v>
      </c>
      <c r="L134" s="49">
        <f>'дод 3'!M193</f>
        <v>0</v>
      </c>
      <c r="M134" s="49">
        <f>'дод 3'!N193</f>
        <v>0</v>
      </c>
      <c r="N134" s="49">
        <f>'дод 3'!O193</f>
        <v>1176130.99</v>
      </c>
      <c r="O134" s="49">
        <f>'дод 3'!P193</f>
        <v>1176130.99</v>
      </c>
    </row>
    <row r="135" spans="1:15" s="54" customFormat="1" ht="333.75" customHeight="1" x14ac:dyDescent="0.25">
      <c r="A135" s="78"/>
      <c r="B135" s="89"/>
      <c r="C135" s="87" t="s">
        <v>609</v>
      </c>
      <c r="D135" s="80">
        <f>'дод 3'!E194</f>
        <v>0</v>
      </c>
      <c r="E135" s="80">
        <f>'дод 3'!F194</f>
        <v>0</v>
      </c>
      <c r="F135" s="80">
        <f>'дод 3'!G194</f>
        <v>0</v>
      </c>
      <c r="G135" s="80">
        <f>'дод 3'!H194</f>
        <v>0</v>
      </c>
      <c r="H135" s="80">
        <f>'дод 3'!I194</f>
        <v>0</v>
      </c>
      <c r="I135" s="80">
        <f>'дод 3'!J194</f>
        <v>1176130.99</v>
      </c>
      <c r="J135" s="80">
        <f>'дод 3'!K194</f>
        <v>1176130.99</v>
      </c>
      <c r="K135" s="80">
        <f>'дод 3'!L194</f>
        <v>0</v>
      </c>
      <c r="L135" s="80">
        <f>'дод 3'!M194</f>
        <v>0</v>
      </c>
      <c r="M135" s="80">
        <f>'дод 3'!N194</f>
        <v>0</v>
      </c>
      <c r="N135" s="80">
        <f>'дод 3'!O194</f>
        <v>1176130.99</v>
      </c>
      <c r="O135" s="80">
        <f>'дод 3'!P194</f>
        <v>1176130.99</v>
      </c>
    </row>
    <row r="136" spans="1:15" ht="204.75" hidden="1" x14ac:dyDescent="0.25">
      <c r="A136" s="37">
        <v>3223</v>
      </c>
      <c r="B136" s="58" t="s">
        <v>53</v>
      </c>
      <c r="C136" s="36" t="s">
        <v>442</v>
      </c>
      <c r="D136" s="49">
        <f>'дод 3'!E195</f>
        <v>0</v>
      </c>
      <c r="E136" s="49">
        <f>'дод 3'!F195</f>
        <v>0</v>
      </c>
      <c r="F136" s="49">
        <f>'дод 3'!G195</f>
        <v>0</v>
      </c>
      <c r="G136" s="49">
        <f>'дод 3'!H195</f>
        <v>0</v>
      </c>
      <c r="H136" s="49">
        <f>'дод 3'!I195</f>
        <v>0</v>
      </c>
      <c r="I136" s="49">
        <f>'дод 3'!J195</f>
        <v>0</v>
      </c>
      <c r="J136" s="49">
        <f>'дод 3'!K195</f>
        <v>0</v>
      </c>
      <c r="K136" s="49">
        <f>'дод 3'!L195</f>
        <v>0</v>
      </c>
      <c r="L136" s="49">
        <f>'дод 3'!M195</f>
        <v>0</v>
      </c>
      <c r="M136" s="49">
        <f>'дод 3'!N195</f>
        <v>0</v>
      </c>
      <c r="N136" s="49">
        <f>'дод 3'!O195</f>
        <v>0</v>
      </c>
      <c r="O136" s="49">
        <f>'дод 3'!P195</f>
        <v>0</v>
      </c>
    </row>
    <row r="137" spans="1:15" s="54" customFormat="1" ht="236.25" hidden="1" x14ac:dyDescent="0.25">
      <c r="A137" s="78"/>
      <c r="B137" s="89"/>
      <c r="C137" s="87" t="s">
        <v>443</v>
      </c>
      <c r="D137" s="80">
        <f>'дод 3'!E196</f>
        <v>0</v>
      </c>
      <c r="E137" s="80">
        <f>'дод 3'!F196</f>
        <v>0</v>
      </c>
      <c r="F137" s="80">
        <f>'дод 3'!G196</f>
        <v>0</v>
      </c>
      <c r="G137" s="80">
        <f>'дод 3'!H196</f>
        <v>0</v>
      </c>
      <c r="H137" s="80">
        <f>'дод 3'!I196</f>
        <v>0</v>
      </c>
      <c r="I137" s="80">
        <f>'дод 3'!J196</f>
        <v>0</v>
      </c>
      <c r="J137" s="80">
        <f>'дод 3'!K196</f>
        <v>0</v>
      </c>
      <c r="K137" s="80">
        <f>'дод 3'!L196</f>
        <v>0</v>
      </c>
      <c r="L137" s="80">
        <f>'дод 3'!M196</f>
        <v>0</v>
      </c>
      <c r="M137" s="80">
        <f>'дод 3'!N196</f>
        <v>0</v>
      </c>
      <c r="N137" s="80">
        <f>'дод 3'!O196</f>
        <v>0</v>
      </c>
      <c r="O137" s="80">
        <f>'дод 3'!P196</f>
        <v>0</v>
      </c>
    </row>
    <row r="138" spans="1:15" s="54" customFormat="1" ht="32.25" customHeight="1" x14ac:dyDescent="0.25">
      <c r="A138" s="37" t="s">
        <v>290</v>
      </c>
      <c r="B138" s="37" t="s">
        <v>56</v>
      </c>
      <c r="C138" s="3" t="s">
        <v>292</v>
      </c>
      <c r="D138" s="49">
        <f>'дод 3'!E197+'дод 3'!E31</f>
        <v>7724562.0800000001</v>
      </c>
      <c r="E138" s="49">
        <f>'дод 3'!F197+'дод 3'!F31</f>
        <v>7724562.0800000001</v>
      </c>
      <c r="F138" s="49">
        <f>'дод 3'!G197+'дод 3'!G31</f>
        <v>4677435.34</v>
      </c>
      <c r="G138" s="49">
        <f>'дод 3'!H197+'дод 3'!H31</f>
        <v>504586.6</v>
      </c>
      <c r="H138" s="49">
        <f>'дод 3'!I197+'дод 3'!I31</f>
        <v>0</v>
      </c>
      <c r="I138" s="49">
        <f>'дод 3'!J197+'дод 3'!J31</f>
        <v>160800</v>
      </c>
      <c r="J138" s="49">
        <f>'дод 3'!K197+'дод 3'!K31</f>
        <v>160800</v>
      </c>
      <c r="K138" s="49">
        <f>'дод 3'!L197+'дод 3'!L31</f>
        <v>0</v>
      </c>
      <c r="L138" s="49">
        <f>'дод 3'!M197+'дод 3'!M31</f>
        <v>0</v>
      </c>
      <c r="M138" s="49">
        <f>'дод 3'!N197+'дод 3'!N31</f>
        <v>0</v>
      </c>
      <c r="N138" s="49">
        <f>'дод 3'!O197+'дод 3'!O31</f>
        <v>160800</v>
      </c>
      <c r="O138" s="49">
        <f>'дод 3'!P197+'дод 3'!P31</f>
        <v>7885362.0800000001</v>
      </c>
    </row>
    <row r="139" spans="1:15" s="54" customFormat="1" ht="31.5" customHeight="1" x14ac:dyDescent="0.25">
      <c r="A139" s="37" t="s">
        <v>291</v>
      </c>
      <c r="B139" s="37" t="s">
        <v>56</v>
      </c>
      <c r="C139" s="3" t="s">
        <v>515</v>
      </c>
      <c r="D139" s="49">
        <f>'дод 3'!E32+'дод 3'!E113+'дод 3'!E198</f>
        <v>39827249.549999997</v>
      </c>
      <c r="E139" s="49">
        <f>'дод 3'!F32+'дод 3'!F113+'дод 3'!F198</f>
        <v>39827249.549999997</v>
      </c>
      <c r="F139" s="49">
        <f>'дод 3'!G32+'дод 3'!G113+'дод 3'!G198</f>
        <v>0</v>
      </c>
      <c r="G139" s="49">
        <f>'дод 3'!H32+'дод 3'!H113+'дод 3'!H198</f>
        <v>0</v>
      </c>
      <c r="H139" s="49">
        <f>'дод 3'!I32+'дод 3'!I113+'дод 3'!I198</f>
        <v>0</v>
      </c>
      <c r="I139" s="49">
        <f>'дод 3'!J32+'дод 3'!J113+'дод 3'!J198</f>
        <v>57000</v>
      </c>
      <c r="J139" s="49">
        <f>'дод 3'!K32+'дод 3'!K113+'дод 3'!K198</f>
        <v>57000</v>
      </c>
      <c r="K139" s="49">
        <f>'дод 3'!L32+'дод 3'!L113+'дод 3'!L198</f>
        <v>0</v>
      </c>
      <c r="L139" s="49">
        <f>'дод 3'!M32+'дод 3'!M113+'дод 3'!M198</f>
        <v>0</v>
      </c>
      <c r="M139" s="49">
        <f>'дод 3'!N32+'дод 3'!N113+'дод 3'!N198</f>
        <v>0</v>
      </c>
      <c r="N139" s="49">
        <f>'дод 3'!O32+'дод 3'!O113+'дод 3'!O198</f>
        <v>57000</v>
      </c>
      <c r="O139" s="49">
        <f>'дод 3'!P32+'дод 3'!P113+'дод 3'!P198</f>
        <v>39884249.549999997</v>
      </c>
    </row>
    <row r="140" spans="1:15" s="54" customFormat="1" x14ac:dyDescent="0.25">
      <c r="A140" s="78"/>
      <c r="B140" s="78"/>
      <c r="C140" s="79" t="s">
        <v>393</v>
      </c>
      <c r="D140" s="80">
        <f>'дод 3'!E199</f>
        <v>348000</v>
      </c>
      <c r="E140" s="80">
        <f>'дод 3'!F199</f>
        <v>348000</v>
      </c>
      <c r="F140" s="80">
        <f>'дод 3'!G199</f>
        <v>0</v>
      </c>
      <c r="G140" s="80">
        <f>'дод 3'!H199</f>
        <v>0</v>
      </c>
      <c r="H140" s="80">
        <f>'дод 3'!I199</f>
        <v>0</v>
      </c>
      <c r="I140" s="80">
        <f>'дод 3'!J199</f>
        <v>0</v>
      </c>
      <c r="J140" s="80">
        <f>'дод 3'!K199</f>
        <v>0</v>
      </c>
      <c r="K140" s="80">
        <f>'дод 3'!L199</f>
        <v>0</v>
      </c>
      <c r="L140" s="80">
        <f>'дод 3'!M199</f>
        <v>0</v>
      </c>
      <c r="M140" s="80">
        <f>'дод 3'!N199</f>
        <v>0</v>
      </c>
      <c r="N140" s="80">
        <f>'дод 3'!O199</f>
        <v>0</v>
      </c>
      <c r="O140" s="80">
        <f>'дод 3'!P199</f>
        <v>348000</v>
      </c>
    </row>
    <row r="141" spans="1:15" s="52" customFormat="1" ht="19.5" customHeight="1" x14ac:dyDescent="0.25">
      <c r="A141" s="38" t="s">
        <v>71</v>
      </c>
      <c r="B141" s="41"/>
      <c r="C141" s="2" t="s">
        <v>72</v>
      </c>
      <c r="D141" s="48">
        <f t="shared" ref="D141:O141" si="23">D142+D143+D144+D145</f>
        <v>37999308</v>
      </c>
      <c r="E141" s="48">
        <f t="shared" si="23"/>
        <v>37999308</v>
      </c>
      <c r="F141" s="48">
        <f t="shared" si="23"/>
        <v>24275500</v>
      </c>
      <c r="G141" s="48">
        <f t="shared" si="23"/>
        <v>2688297</v>
      </c>
      <c r="H141" s="48">
        <f t="shared" si="23"/>
        <v>0</v>
      </c>
      <c r="I141" s="48">
        <f t="shared" si="23"/>
        <v>346500</v>
      </c>
      <c r="J141" s="48">
        <f t="shared" si="23"/>
        <v>315500</v>
      </c>
      <c r="K141" s="48">
        <f t="shared" si="23"/>
        <v>31000</v>
      </c>
      <c r="L141" s="48">
        <f t="shared" si="23"/>
        <v>12100</v>
      </c>
      <c r="M141" s="48">
        <f t="shared" si="23"/>
        <v>3300</v>
      </c>
      <c r="N141" s="48">
        <f t="shared" si="23"/>
        <v>315500</v>
      </c>
      <c r="O141" s="48">
        <f t="shared" si="23"/>
        <v>38345808</v>
      </c>
    </row>
    <row r="142" spans="1:15" ht="22.5" customHeight="1" x14ac:dyDescent="0.25">
      <c r="A142" s="37" t="s">
        <v>73</v>
      </c>
      <c r="B142" s="37" t="s">
        <v>74</v>
      </c>
      <c r="C142" s="3" t="s">
        <v>15</v>
      </c>
      <c r="D142" s="49">
        <f>'дод 3'!E214</f>
        <v>23708364</v>
      </c>
      <c r="E142" s="49">
        <f>'дод 3'!F214</f>
        <v>23708364</v>
      </c>
      <c r="F142" s="49">
        <f>'дод 3'!G214</f>
        <v>16852700</v>
      </c>
      <c r="G142" s="49">
        <f>'дод 3'!H214</f>
        <v>1700964</v>
      </c>
      <c r="H142" s="49">
        <f>'дод 3'!I214</f>
        <v>0</v>
      </c>
      <c r="I142" s="49">
        <f>'дод 3'!J214</f>
        <v>252500</v>
      </c>
      <c r="J142" s="49">
        <f>'дод 3'!K214</f>
        <v>227500</v>
      </c>
      <c r="K142" s="49">
        <f>'дод 3'!L214</f>
        <v>25000</v>
      </c>
      <c r="L142" s="49">
        <f>'дод 3'!M214</f>
        <v>12100</v>
      </c>
      <c r="M142" s="49">
        <f>'дод 3'!N214</f>
        <v>0</v>
      </c>
      <c r="N142" s="49">
        <f>'дод 3'!O214</f>
        <v>227500</v>
      </c>
      <c r="O142" s="49">
        <f>'дод 3'!P214</f>
        <v>23960864</v>
      </c>
    </row>
    <row r="143" spans="1:15" ht="33.75" customHeight="1" x14ac:dyDescent="0.25">
      <c r="A143" s="37" t="s">
        <v>319</v>
      </c>
      <c r="B143" s="37" t="s">
        <v>320</v>
      </c>
      <c r="C143" s="3" t="s">
        <v>321</v>
      </c>
      <c r="D143" s="49">
        <f>'дод 3'!E33+'дод 3'!E215</f>
        <v>7201925</v>
      </c>
      <c r="E143" s="49">
        <f>'дод 3'!F33+'дод 3'!F215</f>
        <v>7201925</v>
      </c>
      <c r="F143" s="49">
        <f>'дод 3'!G33+'дод 3'!G215</f>
        <v>4057800</v>
      </c>
      <c r="G143" s="49">
        <f>'дод 3'!H33+'дод 3'!H215</f>
        <v>829525</v>
      </c>
      <c r="H143" s="49">
        <f>'дод 3'!I33+'дод 3'!I215</f>
        <v>0</v>
      </c>
      <c r="I143" s="49">
        <f>'дод 3'!J33+'дод 3'!J215</f>
        <v>6000</v>
      </c>
      <c r="J143" s="49">
        <f>'дод 3'!K33+'дод 3'!K215</f>
        <v>0</v>
      </c>
      <c r="K143" s="49">
        <f>'дод 3'!L33+'дод 3'!L215</f>
        <v>6000</v>
      </c>
      <c r="L143" s="49">
        <f>'дод 3'!M33+'дод 3'!M215</f>
        <v>0</v>
      </c>
      <c r="M143" s="49">
        <f>'дод 3'!N33+'дод 3'!N215</f>
        <v>3300</v>
      </c>
      <c r="N143" s="49">
        <f>'дод 3'!O33+'дод 3'!O215</f>
        <v>0</v>
      </c>
      <c r="O143" s="49">
        <f>'дод 3'!P33+'дод 3'!P215</f>
        <v>7207925</v>
      </c>
    </row>
    <row r="144" spans="1:15" s="54" customFormat="1" ht="37.5" customHeight="1" x14ac:dyDescent="0.25">
      <c r="A144" s="37" t="s">
        <v>293</v>
      </c>
      <c r="B144" s="37" t="s">
        <v>75</v>
      </c>
      <c r="C144" s="3" t="s">
        <v>343</v>
      </c>
      <c r="D144" s="49">
        <f>'дод 3'!E34+'дод 3'!E216</f>
        <v>5291508</v>
      </c>
      <c r="E144" s="49">
        <f>'дод 3'!F34+'дод 3'!F216</f>
        <v>5291508</v>
      </c>
      <c r="F144" s="49">
        <f>'дод 3'!G34+'дод 3'!G216</f>
        <v>3365000</v>
      </c>
      <c r="G144" s="49">
        <f>'дод 3'!H34+'дод 3'!H216</f>
        <v>157808</v>
      </c>
      <c r="H144" s="49">
        <f>'дод 3'!I34+'дод 3'!I216</f>
        <v>0</v>
      </c>
      <c r="I144" s="49">
        <f>'дод 3'!J34+'дод 3'!J216</f>
        <v>88000</v>
      </c>
      <c r="J144" s="49">
        <f>'дод 3'!K34+'дод 3'!K216</f>
        <v>88000</v>
      </c>
      <c r="K144" s="49">
        <f>'дод 3'!L34+'дод 3'!L216</f>
        <v>0</v>
      </c>
      <c r="L144" s="49">
        <f>'дод 3'!M34+'дод 3'!M216</f>
        <v>0</v>
      </c>
      <c r="M144" s="49">
        <f>'дод 3'!N34+'дод 3'!N216</f>
        <v>0</v>
      </c>
      <c r="N144" s="49">
        <f>'дод 3'!O34+'дод 3'!O216</f>
        <v>88000</v>
      </c>
      <c r="O144" s="49">
        <f>'дод 3'!P34+'дод 3'!P216</f>
        <v>5379508</v>
      </c>
    </row>
    <row r="145" spans="1:15" s="54" customFormat="1" ht="22.5" customHeight="1" x14ac:dyDescent="0.25">
      <c r="A145" s="37" t="s">
        <v>294</v>
      </c>
      <c r="B145" s="37" t="s">
        <v>75</v>
      </c>
      <c r="C145" s="3" t="s">
        <v>295</v>
      </c>
      <c r="D145" s="49">
        <f>'дод 3'!E35+'дод 3'!E217</f>
        <v>1797511</v>
      </c>
      <c r="E145" s="49">
        <f>'дод 3'!F35+'дод 3'!F217</f>
        <v>1797511</v>
      </c>
      <c r="F145" s="49">
        <f>'дод 3'!G35+'дод 3'!G217</f>
        <v>0</v>
      </c>
      <c r="G145" s="49">
        <f>'дод 3'!H35+'дод 3'!H217</f>
        <v>0</v>
      </c>
      <c r="H145" s="49">
        <f>'дод 3'!I35+'дод 3'!I217</f>
        <v>0</v>
      </c>
      <c r="I145" s="49">
        <f>'дод 3'!J35+'дод 3'!J217</f>
        <v>0</v>
      </c>
      <c r="J145" s="49">
        <f>'дод 3'!K35+'дод 3'!K217</f>
        <v>0</v>
      </c>
      <c r="K145" s="49">
        <f>'дод 3'!L35+'дод 3'!L217</f>
        <v>0</v>
      </c>
      <c r="L145" s="49">
        <f>'дод 3'!M35+'дод 3'!M217</f>
        <v>0</v>
      </c>
      <c r="M145" s="49">
        <f>'дод 3'!N35+'дод 3'!N217</f>
        <v>0</v>
      </c>
      <c r="N145" s="49">
        <f>'дод 3'!O35+'дод 3'!O217</f>
        <v>0</v>
      </c>
      <c r="O145" s="49">
        <f>'дод 3'!P35+'дод 3'!P217</f>
        <v>1797511</v>
      </c>
    </row>
    <row r="146" spans="1:15" s="52" customFormat="1" ht="21.75" customHeight="1" x14ac:dyDescent="0.25">
      <c r="A146" s="38" t="s">
        <v>78</v>
      </c>
      <c r="B146" s="41"/>
      <c r="C146" s="2" t="s">
        <v>593</v>
      </c>
      <c r="D146" s="48">
        <f t="shared" ref="D146:O146" si="24">D148+D149+D150+D152+D153+D154</f>
        <v>64456239</v>
      </c>
      <c r="E146" s="48">
        <f t="shared" si="24"/>
        <v>64456239</v>
      </c>
      <c r="F146" s="48">
        <f t="shared" si="24"/>
        <v>22530635</v>
      </c>
      <c r="G146" s="48">
        <f t="shared" si="24"/>
        <v>1607179</v>
      </c>
      <c r="H146" s="48">
        <f t="shared" si="24"/>
        <v>0</v>
      </c>
      <c r="I146" s="48">
        <f t="shared" si="24"/>
        <v>2315794</v>
      </c>
      <c r="J146" s="48">
        <f t="shared" si="24"/>
        <v>2102800</v>
      </c>
      <c r="K146" s="48">
        <f t="shared" si="24"/>
        <v>212994</v>
      </c>
      <c r="L146" s="48">
        <f t="shared" si="24"/>
        <v>119291</v>
      </c>
      <c r="M146" s="48">
        <f t="shared" si="24"/>
        <v>50432</v>
      </c>
      <c r="N146" s="48">
        <f t="shared" si="24"/>
        <v>2102800</v>
      </c>
      <c r="O146" s="48">
        <f t="shared" si="24"/>
        <v>66772033</v>
      </c>
    </row>
    <row r="147" spans="1:15" s="52" customFormat="1" ht="21.75" customHeight="1" x14ac:dyDescent="0.25">
      <c r="A147" s="38"/>
      <c r="B147" s="41"/>
      <c r="C147" s="77" t="s">
        <v>395</v>
      </c>
      <c r="D147" s="76">
        <f>D151</f>
        <v>134064</v>
      </c>
      <c r="E147" s="76">
        <f t="shared" ref="E147:O147" si="25">E151</f>
        <v>134064</v>
      </c>
      <c r="F147" s="76">
        <f t="shared" si="25"/>
        <v>0</v>
      </c>
      <c r="G147" s="76">
        <f t="shared" si="25"/>
        <v>0</v>
      </c>
      <c r="H147" s="76">
        <f t="shared" si="25"/>
        <v>0</v>
      </c>
      <c r="I147" s="76">
        <f t="shared" si="25"/>
        <v>0</v>
      </c>
      <c r="J147" s="76">
        <f t="shared" si="25"/>
        <v>0</v>
      </c>
      <c r="K147" s="76">
        <f t="shared" si="25"/>
        <v>0</v>
      </c>
      <c r="L147" s="76">
        <f t="shared" si="25"/>
        <v>0</v>
      </c>
      <c r="M147" s="76">
        <f t="shared" si="25"/>
        <v>0</v>
      </c>
      <c r="N147" s="76">
        <f t="shared" si="25"/>
        <v>0</v>
      </c>
      <c r="O147" s="76">
        <f t="shared" si="25"/>
        <v>134064</v>
      </c>
    </row>
    <row r="148" spans="1:15" s="54" customFormat="1" ht="37.5" customHeight="1" x14ac:dyDescent="0.25">
      <c r="A148" s="37" t="s">
        <v>79</v>
      </c>
      <c r="B148" s="37" t="s">
        <v>80</v>
      </c>
      <c r="C148" s="3" t="s">
        <v>21</v>
      </c>
      <c r="D148" s="49">
        <f>'дод 3'!E36</f>
        <v>710000</v>
      </c>
      <c r="E148" s="49">
        <f>'дод 3'!F36</f>
        <v>710000</v>
      </c>
      <c r="F148" s="49">
        <f>'дод 3'!G36</f>
        <v>0</v>
      </c>
      <c r="G148" s="49">
        <f>'дод 3'!H36</f>
        <v>0</v>
      </c>
      <c r="H148" s="49">
        <f>'дод 3'!I36</f>
        <v>0</v>
      </c>
      <c r="I148" s="49">
        <f>'дод 3'!J36</f>
        <v>0</v>
      </c>
      <c r="J148" s="49">
        <f>'дод 3'!K36</f>
        <v>0</v>
      </c>
      <c r="K148" s="49">
        <f>'дод 3'!L36</f>
        <v>0</v>
      </c>
      <c r="L148" s="49">
        <f>'дод 3'!M36</f>
        <v>0</v>
      </c>
      <c r="M148" s="49">
        <f>'дод 3'!N36</f>
        <v>0</v>
      </c>
      <c r="N148" s="49">
        <f>'дод 3'!O36</f>
        <v>0</v>
      </c>
      <c r="O148" s="49">
        <f>'дод 3'!P36</f>
        <v>710000</v>
      </c>
    </row>
    <row r="149" spans="1:15" s="54" customFormat="1" ht="34.5" customHeight="1" x14ac:dyDescent="0.25">
      <c r="A149" s="37" t="s">
        <v>81</v>
      </c>
      <c r="B149" s="37" t="s">
        <v>80</v>
      </c>
      <c r="C149" s="3" t="s">
        <v>16</v>
      </c>
      <c r="D149" s="49">
        <f>'дод 3'!E37</f>
        <v>1031480</v>
      </c>
      <c r="E149" s="49">
        <f>'дод 3'!F37</f>
        <v>1031480</v>
      </c>
      <c r="F149" s="49">
        <f>'дод 3'!G37</f>
        <v>0</v>
      </c>
      <c r="G149" s="49">
        <f>'дод 3'!H37</f>
        <v>0</v>
      </c>
      <c r="H149" s="49">
        <f>'дод 3'!I37</f>
        <v>0</v>
      </c>
      <c r="I149" s="49">
        <f>'дод 3'!J37</f>
        <v>0</v>
      </c>
      <c r="J149" s="49">
        <f>'дод 3'!K37</f>
        <v>0</v>
      </c>
      <c r="K149" s="49">
        <f>'дод 3'!L37</f>
        <v>0</v>
      </c>
      <c r="L149" s="49">
        <f>'дод 3'!M37</f>
        <v>0</v>
      </c>
      <c r="M149" s="49">
        <f>'дод 3'!N37</f>
        <v>0</v>
      </c>
      <c r="N149" s="49">
        <f>'дод 3'!O37</f>
        <v>0</v>
      </c>
      <c r="O149" s="49">
        <f>'дод 3'!P37</f>
        <v>1031480</v>
      </c>
    </row>
    <row r="150" spans="1:15" s="54" customFormat="1" ht="47.25" x14ac:dyDescent="0.25">
      <c r="A150" s="37" t="s">
        <v>116</v>
      </c>
      <c r="B150" s="37" t="s">
        <v>80</v>
      </c>
      <c r="C150" s="3" t="s">
        <v>594</v>
      </c>
      <c r="D150" s="49">
        <f>'дод 3'!E38+'дод 3'!E114</f>
        <v>27079638</v>
      </c>
      <c r="E150" s="49">
        <f>'дод 3'!F38+'дод 3'!F114</f>
        <v>27079638</v>
      </c>
      <c r="F150" s="49">
        <f>'дод 3'!G38+'дод 3'!G114</f>
        <v>19543235</v>
      </c>
      <c r="G150" s="49">
        <f>'дод 3'!H38+'дод 3'!H114</f>
        <v>1182540</v>
      </c>
      <c r="H150" s="49">
        <f>'дод 3'!I38+'дод 3'!I114</f>
        <v>0</v>
      </c>
      <c r="I150" s="49">
        <f>'дод 3'!J38+'дод 3'!J114</f>
        <v>200700</v>
      </c>
      <c r="J150" s="49">
        <f>'дод 3'!K38+'дод 3'!K114</f>
        <v>200700</v>
      </c>
      <c r="K150" s="49">
        <f>'дод 3'!L38+'дод 3'!L114</f>
        <v>0</v>
      </c>
      <c r="L150" s="49">
        <f>'дод 3'!M38+'дод 3'!M114</f>
        <v>0</v>
      </c>
      <c r="M150" s="49">
        <f>'дод 3'!N38+'дод 3'!N114</f>
        <v>0</v>
      </c>
      <c r="N150" s="49">
        <f>'дод 3'!O38+'дод 3'!O114</f>
        <v>200700</v>
      </c>
      <c r="O150" s="49">
        <f>'дод 3'!P38+'дод 3'!P114</f>
        <v>27280338</v>
      </c>
    </row>
    <row r="151" spans="1:15" s="54" customFormat="1" ht="25.5" customHeight="1" x14ac:dyDescent="0.25">
      <c r="A151" s="37"/>
      <c r="B151" s="37"/>
      <c r="C151" s="87" t="s">
        <v>395</v>
      </c>
      <c r="D151" s="80">
        <f>'дод 3'!E115</f>
        <v>134064</v>
      </c>
      <c r="E151" s="80">
        <f>'дод 3'!F115</f>
        <v>134064</v>
      </c>
      <c r="F151" s="80">
        <f>'дод 3'!G115</f>
        <v>0</v>
      </c>
      <c r="G151" s="80">
        <f>'дод 3'!H115</f>
        <v>0</v>
      </c>
      <c r="H151" s="80">
        <f>'дод 3'!I115</f>
        <v>0</v>
      </c>
      <c r="I151" s="80">
        <f>'дод 3'!J115</f>
        <v>0</v>
      </c>
      <c r="J151" s="80">
        <f>'дод 3'!K115</f>
        <v>0</v>
      </c>
      <c r="K151" s="80">
        <f>'дод 3'!L115</f>
        <v>0</v>
      </c>
      <c r="L151" s="80">
        <f>'дод 3'!M115</f>
        <v>0</v>
      </c>
      <c r="M151" s="80">
        <f>'дод 3'!N115</f>
        <v>0</v>
      </c>
      <c r="N151" s="80">
        <f>'дод 3'!O115</f>
        <v>0</v>
      </c>
      <c r="O151" s="80">
        <f>'дод 3'!P115</f>
        <v>134064</v>
      </c>
    </row>
    <row r="152" spans="1:15" s="54" customFormat="1" ht="31.5" customHeight="1" x14ac:dyDescent="0.25">
      <c r="A152" s="37" t="s">
        <v>117</v>
      </c>
      <c r="B152" s="37" t="s">
        <v>80</v>
      </c>
      <c r="C152" s="3" t="s">
        <v>22</v>
      </c>
      <c r="D152" s="49">
        <f>'дод 3'!E39</f>
        <v>14979942</v>
      </c>
      <c r="E152" s="49">
        <f>'дод 3'!F39</f>
        <v>14979942</v>
      </c>
      <c r="F152" s="49">
        <f>'дод 3'!G39</f>
        <v>0</v>
      </c>
      <c r="G152" s="49">
        <f>'дод 3'!H39</f>
        <v>0</v>
      </c>
      <c r="H152" s="49">
        <f>'дод 3'!I39</f>
        <v>0</v>
      </c>
      <c r="I152" s="49">
        <f>'дод 3'!J39</f>
        <v>372100</v>
      </c>
      <c r="J152" s="49">
        <f>'дод 3'!K39</f>
        <v>372100</v>
      </c>
      <c r="K152" s="49">
        <f>'дод 3'!L39</f>
        <v>0</v>
      </c>
      <c r="L152" s="49">
        <f>'дод 3'!M39</f>
        <v>0</v>
      </c>
      <c r="M152" s="49">
        <f>'дод 3'!N39</f>
        <v>0</v>
      </c>
      <c r="N152" s="49">
        <f>'дод 3'!O39</f>
        <v>372100</v>
      </c>
      <c r="O152" s="49">
        <f>'дод 3'!P39</f>
        <v>15352042</v>
      </c>
    </row>
    <row r="153" spans="1:15" s="54" customFormat="1" ht="54" customHeight="1" x14ac:dyDescent="0.25">
      <c r="A153" s="37" t="s">
        <v>112</v>
      </c>
      <c r="B153" s="37" t="s">
        <v>80</v>
      </c>
      <c r="C153" s="3" t="s">
        <v>113</v>
      </c>
      <c r="D153" s="49">
        <f>'дод 3'!E40</f>
        <v>5088784</v>
      </c>
      <c r="E153" s="49">
        <f>'дод 3'!F40</f>
        <v>5088784</v>
      </c>
      <c r="F153" s="49">
        <f>'дод 3'!G40</f>
        <v>2987400</v>
      </c>
      <c r="G153" s="49">
        <f>'дод 3'!H40</f>
        <v>424639</v>
      </c>
      <c r="H153" s="49">
        <f>'дод 3'!I40</f>
        <v>0</v>
      </c>
      <c r="I153" s="49">
        <f>'дод 3'!J40</f>
        <v>1742994</v>
      </c>
      <c r="J153" s="49">
        <f>'дод 3'!K40</f>
        <v>1530000</v>
      </c>
      <c r="K153" s="49">
        <f>'дод 3'!L40</f>
        <v>212994</v>
      </c>
      <c r="L153" s="49">
        <f>'дод 3'!M40</f>
        <v>119291</v>
      </c>
      <c r="M153" s="49">
        <f>'дод 3'!N40</f>
        <v>50432</v>
      </c>
      <c r="N153" s="49">
        <f>'дод 3'!O40</f>
        <v>1530000</v>
      </c>
      <c r="O153" s="49">
        <f>'дод 3'!P40</f>
        <v>6831778</v>
      </c>
    </row>
    <row r="154" spans="1:15" s="54" customFormat="1" ht="37.5" customHeight="1" x14ac:dyDescent="0.25">
      <c r="A154" s="37" t="s">
        <v>115</v>
      </c>
      <c r="B154" s="37" t="s">
        <v>80</v>
      </c>
      <c r="C154" s="3" t="s">
        <v>114</v>
      </c>
      <c r="D154" s="49">
        <f>'дод 3'!E41</f>
        <v>15566395</v>
      </c>
      <c r="E154" s="49">
        <f>'дод 3'!F41</f>
        <v>15566395</v>
      </c>
      <c r="F154" s="49">
        <f>'дод 3'!G41</f>
        <v>0</v>
      </c>
      <c r="G154" s="49">
        <f>'дод 3'!H41</f>
        <v>0</v>
      </c>
      <c r="H154" s="49">
        <f>'дод 3'!I41</f>
        <v>0</v>
      </c>
      <c r="I154" s="49">
        <f>'дод 3'!J41</f>
        <v>0</v>
      </c>
      <c r="J154" s="49">
        <f>'дод 3'!K41</f>
        <v>0</v>
      </c>
      <c r="K154" s="49">
        <f>'дод 3'!L41</f>
        <v>0</v>
      </c>
      <c r="L154" s="49">
        <f>'дод 3'!M41</f>
        <v>0</v>
      </c>
      <c r="M154" s="49">
        <f>'дод 3'!N41</f>
        <v>0</v>
      </c>
      <c r="N154" s="49">
        <f>'дод 3'!O41</f>
        <v>0</v>
      </c>
      <c r="O154" s="49">
        <f>'дод 3'!P41</f>
        <v>15566395</v>
      </c>
    </row>
    <row r="155" spans="1:15" s="52" customFormat="1" ht="18" customHeight="1" x14ac:dyDescent="0.25">
      <c r="A155" s="38" t="s">
        <v>66</v>
      </c>
      <c r="B155" s="41"/>
      <c r="C155" s="2" t="s">
        <v>67</v>
      </c>
      <c r="D155" s="48">
        <f>D157+D158+D159+D160+D161+D162+D163+D165+D166</f>
        <v>283072483.26999998</v>
      </c>
      <c r="E155" s="48">
        <f t="shared" ref="E155:O155" si="26">E157+E158+E159+E160+E161+E162+E163+E165+E166</f>
        <v>252386224.78999999</v>
      </c>
      <c r="F155" s="48">
        <f t="shared" si="26"/>
        <v>0</v>
      </c>
      <c r="G155" s="48">
        <f t="shared" si="26"/>
        <v>35040050</v>
      </c>
      <c r="H155" s="48">
        <f t="shared" si="26"/>
        <v>30686258.48</v>
      </c>
      <c r="I155" s="48">
        <f t="shared" si="26"/>
        <v>157106522.22999999</v>
      </c>
      <c r="J155" s="48">
        <f t="shared" si="26"/>
        <v>155163693.57999998</v>
      </c>
      <c r="K155" s="48">
        <f t="shared" si="26"/>
        <v>1785000</v>
      </c>
      <c r="L155" s="48">
        <f t="shared" si="26"/>
        <v>0</v>
      </c>
      <c r="M155" s="48">
        <f t="shared" si="26"/>
        <v>0</v>
      </c>
      <c r="N155" s="48">
        <f t="shared" si="26"/>
        <v>155321522.22999999</v>
      </c>
      <c r="O155" s="48">
        <f t="shared" si="26"/>
        <v>440179005.5</v>
      </c>
    </row>
    <row r="156" spans="1:15" s="52" customFormat="1" ht="110.25" hidden="1" customHeight="1" x14ac:dyDescent="0.25">
      <c r="A156" s="38"/>
      <c r="B156" s="41"/>
      <c r="C156" s="2" t="s">
        <v>445</v>
      </c>
      <c r="D156" s="48">
        <f>D164</f>
        <v>0</v>
      </c>
      <c r="E156" s="48">
        <f t="shared" ref="E156:O156" si="27">E164</f>
        <v>0</v>
      </c>
      <c r="F156" s="48">
        <f t="shared" si="27"/>
        <v>0</v>
      </c>
      <c r="G156" s="48">
        <f t="shared" si="27"/>
        <v>0</v>
      </c>
      <c r="H156" s="48">
        <f t="shared" si="27"/>
        <v>0</v>
      </c>
      <c r="I156" s="48">
        <f t="shared" si="27"/>
        <v>9689741</v>
      </c>
      <c r="J156" s="48">
        <f t="shared" si="27"/>
        <v>9689741</v>
      </c>
      <c r="K156" s="48">
        <f t="shared" si="27"/>
        <v>0</v>
      </c>
      <c r="L156" s="48">
        <f t="shared" si="27"/>
        <v>0</v>
      </c>
      <c r="M156" s="48">
        <f t="shared" si="27"/>
        <v>0</v>
      </c>
      <c r="N156" s="48">
        <f t="shared" si="27"/>
        <v>9689741</v>
      </c>
      <c r="O156" s="48">
        <f t="shared" si="27"/>
        <v>9689741</v>
      </c>
    </row>
    <row r="157" spans="1:15" s="54" customFormat="1" ht="31.5" x14ac:dyDescent="0.25">
      <c r="A157" s="37" t="s">
        <v>127</v>
      </c>
      <c r="B157" s="37" t="s">
        <v>68</v>
      </c>
      <c r="C157" s="3" t="s">
        <v>128</v>
      </c>
      <c r="D157" s="49">
        <f>'дод 3'!E232</f>
        <v>0</v>
      </c>
      <c r="E157" s="49">
        <f>'дод 3'!F232</f>
        <v>0</v>
      </c>
      <c r="F157" s="49">
        <f>'дод 3'!G232</f>
        <v>0</v>
      </c>
      <c r="G157" s="49">
        <f>'дод 3'!H232</f>
        <v>0</v>
      </c>
      <c r="H157" s="49">
        <f>'дод 3'!I232</f>
        <v>0</v>
      </c>
      <c r="I157" s="49">
        <f>'дод 3'!J232</f>
        <v>9271809</v>
      </c>
      <c r="J157" s="49">
        <f>'дод 3'!K232</f>
        <v>9235329</v>
      </c>
      <c r="K157" s="49">
        <f>'дод 3'!L232</f>
        <v>0</v>
      </c>
      <c r="L157" s="49">
        <f>'дод 3'!M232</f>
        <v>0</v>
      </c>
      <c r="M157" s="49">
        <f>'дод 3'!N232</f>
        <v>0</v>
      </c>
      <c r="N157" s="49">
        <f>'дод 3'!O232</f>
        <v>9271809</v>
      </c>
      <c r="O157" s="49">
        <f>'дод 3'!P232</f>
        <v>9271809</v>
      </c>
    </row>
    <row r="158" spans="1:15" s="54" customFormat="1" ht="36.75" customHeight="1" x14ac:dyDescent="0.25">
      <c r="A158" s="37" t="s">
        <v>129</v>
      </c>
      <c r="B158" s="37" t="s">
        <v>70</v>
      </c>
      <c r="C158" s="3" t="s">
        <v>147</v>
      </c>
      <c r="D158" s="49">
        <f>'дод 3'!E233</f>
        <v>29375568</v>
      </c>
      <c r="E158" s="49">
        <f>'дод 3'!F233</f>
        <v>875568</v>
      </c>
      <c r="F158" s="49">
        <f>'дод 3'!G233</f>
        <v>0</v>
      </c>
      <c r="G158" s="49">
        <f>'дод 3'!H233</f>
        <v>0</v>
      </c>
      <c r="H158" s="49">
        <f>'дод 3'!I233</f>
        <v>28500000</v>
      </c>
      <c r="I158" s="49">
        <f>'дод 3'!J233</f>
        <v>200000</v>
      </c>
      <c r="J158" s="49">
        <f>'дод 3'!K233</f>
        <v>200000</v>
      </c>
      <c r="K158" s="49">
        <f>'дод 3'!L233</f>
        <v>0</v>
      </c>
      <c r="L158" s="49">
        <f>'дод 3'!M233</f>
        <v>0</v>
      </c>
      <c r="M158" s="49">
        <f>'дод 3'!N233</f>
        <v>0</v>
      </c>
      <c r="N158" s="49">
        <f>'дод 3'!O233</f>
        <v>200000</v>
      </c>
      <c r="O158" s="49">
        <f>'дод 3'!P233</f>
        <v>29575568</v>
      </c>
    </row>
    <row r="159" spans="1:15" s="54" customFormat="1" ht="33" customHeight="1" x14ac:dyDescent="0.25">
      <c r="A159" s="40" t="s">
        <v>260</v>
      </c>
      <c r="B159" s="40" t="s">
        <v>70</v>
      </c>
      <c r="C159" s="3" t="s">
        <v>261</v>
      </c>
      <c r="D159" s="49">
        <f>'дод 3'!E234</f>
        <v>155980</v>
      </c>
      <c r="E159" s="49">
        <f>'дод 3'!F234</f>
        <v>155980</v>
      </c>
      <c r="F159" s="49">
        <f>'дод 3'!G234</f>
        <v>0</v>
      </c>
      <c r="G159" s="49">
        <f>'дод 3'!H234</f>
        <v>0</v>
      </c>
      <c r="H159" s="49">
        <f>'дод 3'!I234</f>
        <v>0</v>
      </c>
      <c r="I159" s="49">
        <f>'дод 3'!J234</f>
        <v>33240150</v>
      </c>
      <c r="J159" s="49">
        <f>'дод 3'!K234</f>
        <v>33190150</v>
      </c>
      <c r="K159" s="49">
        <f>'дод 3'!L234</f>
        <v>0</v>
      </c>
      <c r="L159" s="49">
        <f>'дод 3'!M234</f>
        <v>0</v>
      </c>
      <c r="M159" s="49">
        <f>'дод 3'!N234</f>
        <v>0</v>
      </c>
      <c r="N159" s="49">
        <f>'дод 3'!O234</f>
        <v>33240150</v>
      </c>
      <c r="O159" s="49">
        <f>'дод 3'!P234</f>
        <v>33396130</v>
      </c>
    </row>
    <row r="160" spans="1:15" s="54" customFormat="1" ht="33" customHeight="1" x14ac:dyDescent="0.25">
      <c r="A160" s="37" t="s">
        <v>263</v>
      </c>
      <c r="B160" s="37" t="s">
        <v>70</v>
      </c>
      <c r="C160" s="3" t="s">
        <v>344</v>
      </c>
      <c r="D160" s="49">
        <f>'дод 3'!E235</f>
        <v>100000</v>
      </c>
      <c r="E160" s="49">
        <f>'дод 3'!F235</f>
        <v>100000</v>
      </c>
      <c r="F160" s="49">
        <f>'дод 3'!G235</f>
        <v>0</v>
      </c>
      <c r="G160" s="49">
        <f>'дод 3'!H235</f>
        <v>0</v>
      </c>
      <c r="H160" s="49">
        <f>'дод 3'!I235</f>
        <v>0</v>
      </c>
      <c r="I160" s="49">
        <f>'дод 3'!J235</f>
        <v>0</v>
      </c>
      <c r="J160" s="49">
        <f>'дод 3'!K235</f>
        <v>0</v>
      </c>
      <c r="K160" s="49">
        <f>'дод 3'!L235</f>
        <v>0</v>
      </c>
      <c r="L160" s="49">
        <f>'дод 3'!M235</f>
        <v>0</v>
      </c>
      <c r="M160" s="49">
        <f>'дод 3'!N235</f>
        <v>0</v>
      </c>
      <c r="N160" s="49">
        <f>'дод 3'!O235</f>
        <v>0</v>
      </c>
      <c r="O160" s="49">
        <f>'дод 3'!P235</f>
        <v>100000</v>
      </c>
    </row>
    <row r="161" spans="1:15" s="54" customFormat="1" ht="52.5" customHeight="1" x14ac:dyDescent="0.25">
      <c r="A161" s="37" t="s">
        <v>69</v>
      </c>
      <c r="B161" s="37" t="s">
        <v>70</v>
      </c>
      <c r="C161" s="3" t="s">
        <v>132</v>
      </c>
      <c r="D161" s="49">
        <f>'дод 3'!E236</f>
        <v>1786258.4800000004</v>
      </c>
      <c r="E161" s="49">
        <f>'дод 3'!F236</f>
        <v>0</v>
      </c>
      <c r="F161" s="49">
        <f>'дод 3'!G236</f>
        <v>0</v>
      </c>
      <c r="G161" s="49">
        <f>'дод 3'!H236</f>
        <v>0</v>
      </c>
      <c r="H161" s="49">
        <f>'дод 3'!I236</f>
        <v>1786258.4800000004</v>
      </c>
      <c r="I161" s="49">
        <f>'дод 3'!J236</f>
        <v>85000</v>
      </c>
      <c r="J161" s="49">
        <f>'дод 3'!K236</f>
        <v>85000</v>
      </c>
      <c r="K161" s="49">
        <f>'дод 3'!L236</f>
        <v>0</v>
      </c>
      <c r="L161" s="49">
        <f>'дод 3'!M236</f>
        <v>0</v>
      </c>
      <c r="M161" s="49">
        <f>'дод 3'!N236</f>
        <v>0</v>
      </c>
      <c r="N161" s="49">
        <f>'дод 3'!O236</f>
        <v>85000</v>
      </c>
      <c r="O161" s="49">
        <f>'дод 3'!P236</f>
        <v>1871258.4800000004</v>
      </c>
    </row>
    <row r="162" spans="1:15" ht="24" customHeight="1" x14ac:dyDescent="0.25">
      <c r="A162" s="37" t="s">
        <v>130</v>
      </c>
      <c r="B162" s="37" t="s">
        <v>70</v>
      </c>
      <c r="C162" s="3" t="s">
        <v>131</v>
      </c>
      <c r="D162" s="49">
        <f>'дод 3'!E237+'дод 3'!E272</f>
        <v>243940773.78</v>
      </c>
      <c r="E162" s="49">
        <f>'дод 3'!F237+'дод 3'!F272</f>
        <v>243840773.78</v>
      </c>
      <c r="F162" s="49">
        <f>'дод 3'!G237+'дод 3'!G272</f>
        <v>0</v>
      </c>
      <c r="G162" s="49">
        <f>'дод 3'!H237+'дод 3'!H272</f>
        <v>34990460</v>
      </c>
      <c r="H162" s="49">
        <f>'дод 3'!I237+'дод 3'!I272</f>
        <v>100000</v>
      </c>
      <c r="I162" s="49">
        <f>'дод 3'!J237+'дод 3'!J272</f>
        <v>101424929.57999998</v>
      </c>
      <c r="J162" s="49">
        <f>'дод 3'!K237+'дод 3'!K272</f>
        <v>101424929.57999998</v>
      </c>
      <c r="K162" s="49">
        <f>'дод 3'!L237+'дод 3'!L272</f>
        <v>0</v>
      </c>
      <c r="L162" s="49">
        <f>'дод 3'!M237+'дод 3'!M272</f>
        <v>0</v>
      </c>
      <c r="M162" s="49">
        <f>'дод 3'!N237+'дод 3'!N272</f>
        <v>0</v>
      </c>
      <c r="N162" s="49">
        <f>'дод 3'!O237+'дод 3'!O272</f>
        <v>101424929.57999998</v>
      </c>
      <c r="O162" s="49">
        <f>'дод 3'!P237+'дод 3'!P272</f>
        <v>345365703.36000001</v>
      </c>
    </row>
    <row r="163" spans="1:15" ht="83.25" customHeight="1" x14ac:dyDescent="0.25">
      <c r="A163" s="37">
        <v>6083</v>
      </c>
      <c r="B163" s="58" t="s">
        <v>68</v>
      </c>
      <c r="C163" s="11" t="s">
        <v>438</v>
      </c>
      <c r="D163" s="49">
        <f>'дод 3'!E208+'дод 3'!E238</f>
        <v>0</v>
      </c>
      <c r="E163" s="49">
        <f>'дод 3'!F208+'дод 3'!F238</f>
        <v>0</v>
      </c>
      <c r="F163" s="49">
        <f>'дод 3'!G208+'дод 3'!G238</f>
        <v>0</v>
      </c>
      <c r="G163" s="49">
        <f>'дод 3'!H208+'дод 3'!H238</f>
        <v>0</v>
      </c>
      <c r="H163" s="49">
        <f>'дод 3'!I208+'дод 3'!I238</f>
        <v>0</v>
      </c>
      <c r="I163" s="49">
        <f>'дод 3'!J208+'дод 3'!J238</f>
        <v>11028285</v>
      </c>
      <c r="J163" s="49">
        <f>'дод 3'!K208+'дод 3'!K238</f>
        <v>11028285</v>
      </c>
      <c r="K163" s="49">
        <f>'дод 3'!L208+'дод 3'!L238</f>
        <v>0</v>
      </c>
      <c r="L163" s="49">
        <f>'дод 3'!M208+'дод 3'!M238</f>
        <v>0</v>
      </c>
      <c r="M163" s="49">
        <f>'дод 3'!N208+'дод 3'!N238</f>
        <v>0</v>
      </c>
      <c r="N163" s="49">
        <f>'дод 3'!O208+'дод 3'!O238</f>
        <v>11028285</v>
      </c>
      <c r="O163" s="49">
        <f>'дод 3'!P208+'дод 3'!P238</f>
        <v>11028285</v>
      </c>
    </row>
    <row r="164" spans="1:15" s="54" customFormat="1" ht="110.25" x14ac:dyDescent="0.25">
      <c r="A164" s="78"/>
      <c r="B164" s="89"/>
      <c r="C164" s="90" t="s">
        <v>445</v>
      </c>
      <c r="D164" s="80">
        <f>'дод 3'!E209+'дод 3'!E239</f>
        <v>0</v>
      </c>
      <c r="E164" s="80">
        <f>'дод 3'!F209+'дод 3'!F239</f>
        <v>0</v>
      </c>
      <c r="F164" s="80">
        <f>'дод 3'!G209+'дод 3'!G239</f>
        <v>0</v>
      </c>
      <c r="G164" s="80">
        <f>'дод 3'!H209+'дод 3'!H239</f>
        <v>0</v>
      </c>
      <c r="H164" s="80">
        <f>'дод 3'!I209+'дод 3'!I239</f>
        <v>0</v>
      </c>
      <c r="I164" s="80">
        <f>'дод 3'!J209+'дод 3'!J239</f>
        <v>9689741</v>
      </c>
      <c r="J164" s="80">
        <f>'дод 3'!K209+'дод 3'!K239</f>
        <v>9689741</v>
      </c>
      <c r="K164" s="80">
        <f>'дод 3'!L209+'дод 3'!L239</f>
        <v>0</v>
      </c>
      <c r="L164" s="80">
        <f>'дод 3'!M209+'дод 3'!M239</f>
        <v>0</v>
      </c>
      <c r="M164" s="80">
        <f>'дод 3'!N209+'дод 3'!N239</f>
        <v>0</v>
      </c>
      <c r="N164" s="80">
        <f>'дод 3'!O209+'дод 3'!O239</f>
        <v>9689741</v>
      </c>
      <c r="O164" s="80">
        <f>'дод 3'!P209+'дод 3'!P239</f>
        <v>9689741</v>
      </c>
    </row>
    <row r="165" spans="1:15" s="54" customFormat="1" ht="54.75" customHeight="1" x14ac:dyDescent="0.25">
      <c r="A165" s="37" t="s">
        <v>134</v>
      </c>
      <c r="B165" s="42" t="s">
        <v>68</v>
      </c>
      <c r="C165" s="3" t="s">
        <v>135</v>
      </c>
      <c r="D165" s="49">
        <f>'дод 3'!E273</f>
        <v>0</v>
      </c>
      <c r="E165" s="49">
        <f>'дод 3'!F273</f>
        <v>0</v>
      </c>
      <c r="F165" s="49">
        <f>'дод 3'!G273</f>
        <v>0</v>
      </c>
      <c r="G165" s="49">
        <f>'дод 3'!H273</f>
        <v>0</v>
      </c>
      <c r="H165" s="49">
        <f>'дод 3'!I273</f>
        <v>0</v>
      </c>
      <c r="I165" s="49">
        <f>'дод 3'!J273</f>
        <v>71348.649999999994</v>
      </c>
      <c r="J165" s="49">
        <f>'дод 3'!K273</f>
        <v>0</v>
      </c>
      <c r="K165" s="49">
        <f>'дод 3'!L273</f>
        <v>0</v>
      </c>
      <c r="L165" s="49">
        <f>'дод 3'!M273</f>
        <v>0</v>
      </c>
      <c r="M165" s="49">
        <f>'дод 3'!N273</f>
        <v>0</v>
      </c>
      <c r="N165" s="49">
        <f>'дод 3'!O273</f>
        <v>71348.649999999994</v>
      </c>
      <c r="O165" s="49">
        <f>'дод 3'!P273</f>
        <v>71348.649999999994</v>
      </c>
    </row>
    <row r="166" spans="1:15" ht="36" customHeight="1" x14ac:dyDescent="0.25">
      <c r="A166" s="37" t="s">
        <v>141</v>
      </c>
      <c r="B166" s="42" t="s">
        <v>312</v>
      </c>
      <c r="C166" s="3" t="s">
        <v>142</v>
      </c>
      <c r="D166" s="49">
        <f>'дод 3'!E240+'дод 3'!E291</f>
        <v>7713903.0100000016</v>
      </c>
      <c r="E166" s="49">
        <f>'дод 3'!F240+'дод 3'!F291</f>
        <v>7413903.0100000016</v>
      </c>
      <c r="F166" s="49">
        <f>'дод 3'!G240+'дод 3'!G291</f>
        <v>0</v>
      </c>
      <c r="G166" s="49">
        <f>'дод 3'!H240+'дод 3'!H291</f>
        <v>49590</v>
      </c>
      <c r="H166" s="49">
        <f>'дод 3'!I240+'дод 3'!I291</f>
        <v>300000</v>
      </c>
      <c r="I166" s="49">
        <f>'дод 3'!J240+'дод 3'!J291</f>
        <v>1785000</v>
      </c>
      <c r="J166" s="49">
        <f>'дод 3'!K240+'дод 3'!K291</f>
        <v>0</v>
      </c>
      <c r="K166" s="49">
        <f>'дод 3'!L240+'дод 3'!L291</f>
        <v>1785000</v>
      </c>
      <c r="L166" s="49">
        <f>'дод 3'!M240+'дод 3'!M291</f>
        <v>0</v>
      </c>
      <c r="M166" s="49">
        <f>'дод 3'!N240+'дод 3'!N291</f>
        <v>0</v>
      </c>
      <c r="N166" s="49">
        <f>'дод 3'!O240+'дод 3'!O291</f>
        <v>0</v>
      </c>
      <c r="O166" s="49">
        <f>'дод 3'!P240+'дод 3'!P291</f>
        <v>9498903.0100000016</v>
      </c>
    </row>
    <row r="167" spans="1:15" s="52" customFormat="1" ht="21.75" customHeight="1" x14ac:dyDescent="0.25">
      <c r="A167" s="38" t="s">
        <v>136</v>
      </c>
      <c r="B167" s="41"/>
      <c r="C167" s="2" t="s">
        <v>407</v>
      </c>
      <c r="D167" s="48">
        <f>D172+D174+D194+D210+D212+D224</f>
        <v>79926762.149999991</v>
      </c>
      <c r="E167" s="48">
        <f>E172+E174+E194+E210+E212+E224</f>
        <v>15850156.149999999</v>
      </c>
      <c r="F167" s="48">
        <f t="shared" ref="F167:O167" si="28">F172+F174+F194+F210+F212+F224</f>
        <v>0</v>
      </c>
      <c r="G167" s="48">
        <f t="shared" si="28"/>
        <v>0</v>
      </c>
      <c r="H167" s="48">
        <f t="shared" si="28"/>
        <v>64076606</v>
      </c>
      <c r="I167" s="48">
        <f t="shared" si="28"/>
        <v>451714449.49000001</v>
      </c>
      <c r="J167" s="48">
        <f t="shared" si="28"/>
        <v>431261527.62</v>
      </c>
      <c r="K167" s="48">
        <f t="shared" si="28"/>
        <v>2948437.8699999996</v>
      </c>
      <c r="L167" s="48">
        <f t="shared" si="28"/>
        <v>0</v>
      </c>
      <c r="M167" s="48">
        <f t="shared" si="28"/>
        <v>0</v>
      </c>
      <c r="N167" s="48">
        <f t="shared" si="28"/>
        <v>448766011.62</v>
      </c>
      <c r="O167" s="48">
        <f t="shared" si="28"/>
        <v>531641211.63999999</v>
      </c>
    </row>
    <row r="168" spans="1:15" s="53" customFormat="1" ht="47.25" x14ac:dyDescent="0.25">
      <c r="A168" s="71"/>
      <c r="B168" s="72"/>
      <c r="C168" s="75" t="s">
        <v>388</v>
      </c>
      <c r="D168" s="76">
        <f>D175</f>
        <v>0</v>
      </c>
      <c r="E168" s="76">
        <f t="shared" ref="E168:O168" si="29">E175</f>
        <v>0</v>
      </c>
      <c r="F168" s="76">
        <f t="shared" si="29"/>
        <v>0</v>
      </c>
      <c r="G168" s="76">
        <f t="shared" si="29"/>
        <v>0</v>
      </c>
      <c r="H168" s="76">
        <f t="shared" si="29"/>
        <v>0</v>
      </c>
      <c r="I168" s="76">
        <f t="shared" si="29"/>
        <v>20015420</v>
      </c>
      <c r="J168" s="76">
        <f t="shared" si="29"/>
        <v>16522470</v>
      </c>
      <c r="K168" s="76">
        <f t="shared" si="29"/>
        <v>0</v>
      </c>
      <c r="L168" s="76">
        <f t="shared" si="29"/>
        <v>0</v>
      </c>
      <c r="M168" s="76">
        <f t="shared" si="29"/>
        <v>0</v>
      </c>
      <c r="N168" s="76">
        <f t="shared" si="29"/>
        <v>20015420</v>
      </c>
      <c r="O168" s="76">
        <f t="shared" si="29"/>
        <v>20015420</v>
      </c>
    </row>
    <row r="169" spans="1:15" s="53" customFormat="1" ht="94.5" hidden="1" x14ac:dyDescent="0.25">
      <c r="A169" s="71"/>
      <c r="B169" s="72"/>
      <c r="C169" s="75" t="s">
        <v>397</v>
      </c>
      <c r="D169" s="76">
        <f>D195</f>
        <v>0</v>
      </c>
      <c r="E169" s="76">
        <f t="shared" ref="E169:N169" si="30">E195</f>
        <v>0</v>
      </c>
      <c r="F169" s="76">
        <f t="shared" si="30"/>
        <v>0</v>
      </c>
      <c r="G169" s="76">
        <f t="shared" si="30"/>
        <v>0</v>
      </c>
      <c r="H169" s="76">
        <f t="shared" si="30"/>
        <v>0</v>
      </c>
      <c r="I169" s="76">
        <f t="shared" si="30"/>
        <v>0</v>
      </c>
      <c r="J169" s="76">
        <f t="shared" si="30"/>
        <v>0</v>
      </c>
      <c r="K169" s="76">
        <f t="shared" si="30"/>
        <v>0</v>
      </c>
      <c r="L169" s="76">
        <f t="shared" si="30"/>
        <v>0</v>
      </c>
      <c r="M169" s="76">
        <f t="shared" si="30"/>
        <v>0</v>
      </c>
      <c r="N169" s="76">
        <f t="shared" si="30"/>
        <v>0</v>
      </c>
      <c r="O169" s="76">
        <f t="shared" ref="O169" si="31">O195</f>
        <v>0</v>
      </c>
    </row>
    <row r="170" spans="1:15" s="53" customFormat="1" x14ac:dyDescent="0.25">
      <c r="A170" s="71"/>
      <c r="B170" s="72"/>
      <c r="C170" s="77" t="s">
        <v>395</v>
      </c>
      <c r="D170" s="76">
        <f>D176+D197</f>
        <v>200000</v>
      </c>
      <c r="E170" s="76">
        <f t="shared" ref="E170:O170" si="32">E176+E197</f>
        <v>200000</v>
      </c>
      <c r="F170" s="76">
        <f t="shared" si="32"/>
        <v>0</v>
      </c>
      <c r="G170" s="76">
        <f t="shared" si="32"/>
        <v>0</v>
      </c>
      <c r="H170" s="76">
        <f t="shared" si="32"/>
        <v>0</v>
      </c>
      <c r="I170" s="76">
        <f t="shared" si="32"/>
        <v>450000</v>
      </c>
      <c r="J170" s="76">
        <f t="shared" si="32"/>
        <v>450000</v>
      </c>
      <c r="K170" s="76">
        <f t="shared" si="32"/>
        <v>0</v>
      </c>
      <c r="L170" s="76">
        <f t="shared" si="32"/>
        <v>0</v>
      </c>
      <c r="M170" s="76">
        <f t="shared" si="32"/>
        <v>0</v>
      </c>
      <c r="N170" s="76">
        <f t="shared" si="32"/>
        <v>450000</v>
      </c>
      <c r="O170" s="76">
        <f t="shared" si="32"/>
        <v>650000</v>
      </c>
    </row>
    <row r="171" spans="1:15" s="53" customFormat="1" ht="18" customHeight="1" x14ac:dyDescent="0.25">
      <c r="A171" s="71"/>
      <c r="B171" s="71"/>
      <c r="C171" s="83" t="s">
        <v>419</v>
      </c>
      <c r="D171" s="76">
        <f>D213</f>
        <v>0</v>
      </c>
      <c r="E171" s="76">
        <f t="shared" ref="E171:O171" si="33">E213</f>
        <v>0</v>
      </c>
      <c r="F171" s="76">
        <f t="shared" si="33"/>
        <v>0</v>
      </c>
      <c r="G171" s="76">
        <f t="shared" si="33"/>
        <v>0</v>
      </c>
      <c r="H171" s="76">
        <f t="shared" si="33"/>
        <v>0</v>
      </c>
      <c r="I171" s="76">
        <f t="shared" si="33"/>
        <v>127771665.12</v>
      </c>
      <c r="J171" s="76">
        <f t="shared" si="33"/>
        <v>127771665.12</v>
      </c>
      <c r="K171" s="76">
        <f t="shared" si="33"/>
        <v>0</v>
      </c>
      <c r="L171" s="76">
        <f t="shared" si="33"/>
        <v>0</v>
      </c>
      <c r="M171" s="76">
        <f t="shared" si="33"/>
        <v>0</v>
      </c>
      <c r="N171" s="76">
        <f t="shared" si="33"/>
        <v>127771665.12</v>
      </c>
      <c r="O171" s="76">
        <f t="shared" si="33"/>
        <v>127771665.12</v>
      </c>
    </row>
    <row r="172" spans="1:15" s="52" customFormat="1" x14ac:dyDescent="0.25">
      <c r="A172" s="38" t="s">
        <v>143</v>
      </c>
      <c r="B172" s="41"/>
      <c r="C172" s="2" t="s">
        <v>144</v>
      </c>
      <c r="D172" s="48">
        <f t="shared" ref="D172:O172" si="34">D173</f>
        <v>450000</v>
      </c>
      <c r="E172" s="48">
        <f t="shared" si="34"/>
        <v>450000</v>
      </c>
      <c r="F172" s="48">
        <f t="shared" si="34"/>
        <v>0</v>
      </c>
      <c r="G172" s="48">
        <f t="shared" si="34"/>
        <v>0</v>
      </c>
      <c r="H172" s="48">
        <f t="shared" si="34"/>
        <v>0</v>
      </c>
      <c r="I172" s="48">
        <f t="shared" si="34"/>
        <v>0</v>
      </c>
      <c r="J172" s="48">
        <f t="shared" si="34"/>
        <v>0</v>
      </c>
      <c r="K172" s="48">
        <f t="shared" si="34"/>
        <v>0</v>
      </c>
      <c r="L172" s="48">
        <f t="shared" si="34"/>
        <v>0</v>
      </c>
      <c r="M172" s="48">
        <f t="shared" si="34"/>
        <v>0</v>
      </c>
      <c r="N172" s="48">
        <f t="shared" si="34"/>
        <v>0</v>
      </c>
      <c r="O172" s="48">
        <f t="shared" si="34"/>
        <v>450000</v>
      </c>
    </row>
    <row r="173" spans="1:15" ht="24" customHeight="1" x14ac:dyDescent="0.25">
      <c r="A173" s="37" t="s">
        <v>137</v>
      </c>
      <c r="B173" s="37" t="s">
        <v>83</v>
      </c>
      <c r="C173" s="3" t="s">
        <v>345</v>
      </c>
      <c r="D173" s="49">
        <f>'дод 3'!E301</f>
        <v>450000</v>
      </c>
      <c r="E173" s="49">
        <f>'дод 3'!F301</f>
        <v>450000</v>
      </c>
      <c r="F173" s="49">
        <f>'дод 3'!G301</f>
        <v>0</v>
      </c>
      <c r="G173" s="49">
        <f>'дод 3'!H301</f>
        <v>0</v>
      </c>
      <c r="H173" s="49">
        <f>'дод 3'!I301</f>
        <v>0</v>
      </c>
      <c r="I173" s="49">
        <f>'дод 3'!J301</f>
        <v>0</v>
      </c>
      <c r="J173" s="49">
        <f>'дод 3'!K301</f>
        <v>0</v>
      </c>
      <c r="K173" s="49">
        <f>'дод 3'!L301</f>
        <v>0</v>
      </c>
      <c r="L173" s="49">
        <f>'дод 3'!M301</f>
        <v>0</v>
      </c>
      <c r="M173" s="49">
        <f>'дод 3'!N301</f>
        <v>0</v>
      </c>
      <c r="N173" s="49">
        <f>'дод 3'!O301</f>
        <v>0</v>
      </c>
      <c r="O173" s="49">
        <f>'дод 3'!P301</f>
        <v>450000</v>
      </c>
    </row>
    <row r="174" spans="1:15" s="52" customFormat="1" ht="31.5" x14ac:dyDescent="0.25">
      <c r="A174" s="38" t="s">
        <v>97</v>
      </c>
      <c r="B174" s="38"/>
      <c r="C174" s="13" t="s">
        <v>595</v>
      </c>
      <c r="D174" s="48">
        <f>D177+D178+D180+D181+D182+D183+D184+D185+D186+D187+D189+D191+D193</f>
        <v>2341300.6</v>
      </c>
      <c r="E174" s="48">
        <f t="shared" ref="E174:O174" si="35">E177+E178+E180+E181+E182+E183+E184+E185+E186+E187+E189+E191+E193</f>
        <v>2341300.6</v>
      </c>
      <c r="F174" s="48">
        <f t="shared" si="35"/>
        <v>0</v>
      </c>
      <c r="G174" s="48">
        <f t="shared" si="35"/>
        <v>0</v>
      </c>
      <c r="H174" s="48">
        <f t="shared" si="35"/>
        <v>0</v>
      </c>
      <c r="I174" s="48">
        <f t="shared" si="35"/>
        <v>251103215.05000001</v>
      </c>
      <c r="J174" s="48">
        <f t="shared" si="35"/>
        <v>247610265.05000001</v>
      </c>
      <c r="K174" s="48">
        <f t="shared" si="35"/>
        <v>0</v>
      </c>
      <c r="L174" s="48">
        <f t="shared" si="35"/>
        <v>0</v>
      </c>
      <c r="M174" s="48">
        <f t="shared" si="35"/>
        <v>0</v>
      </c>
      <c r="N174" s="48">
        <f t="shared" si="35"/>
        <v>251103215.05000001</v>
      </c>
      <c r="O174" s="48">
        <f t="shared" si="35"/>
        <v>253444515.65000001</v>
      </c>
    </row>
    <row r="175" spans="1:15" s="53" customFormat="1" ht="53.25" customHeight="1" x14ac:dyDescent="0.25">
      <c r="A175" s="71"/>
      <c r="B175" s="71"/>
      <c r="C175" s="75" t="s">
        <v>388</v>
      </c>
      <c r="D175" s="76">
        <f>D190</f>
        <v>0</v>
      </c>
      <c r="E175" s="76">
        <f t="shared" ref="E175:O175" si="36">E190</f>
        <v>0</v>
      </c>
      <c r="F175" s="76">
        <f t="shared" si="36"/>
        <v>0</v>
      </c>
      <c r="G175" s="76">
        <f t="shared" si="36"/>
        <v>0</v>
      </c>
      <c r="H175" s="76">
        <f t="shared" si="36"/>
        <v>0</v>
      </c>
      <c r="I175" s="76">
        <f t="shared" si="36"/>
        <v>20015420</v>
      </c>
      <c r="J175" s="76">
        <f t="shared" si="36"/>
        <v>16522470</v>
      </c>
      <c r="K175" s="76">
        <f t="shared" si="36"/>
        <v>0</v>
      </c>
      <c r="L175" s="76">
        <f t="shared" si="36"/>
        <v>0</v>
      </c>
      <c r="M175" s="76">
        <f t="shared" si="36"/>
        <v>0</v>
      </c>
      <c r="N175" s="76">
        <f t="shared" si="36"/>
        <v>20015420</v>
      </c>
      <c r="O175" s="76">
        <f t="shared" si="36"/>
        <v>20015420</v>
      </c>
    </row>
    <row r="176" spans="1:15" s="53" customFormat="1" x14ac:dyDescent="0.25">
      <c r="A176" s="71"/>
      <c r="B176" s="71"/>
      <c r="C176" s="77" t="s">
        <v>395</v>
      </c>
      <c r="D176" s="76">
        <f>D179+D192</f>
        <v>0</v>
      </c>
      <c r="E176" s="76">
        <f t="shared" ref="E176:O176" si="37">E179+E192</f>
        <v>0</v>
      </c>
      <c r="F176" s="76">
        <f t="shared" si="37"/>
        <v>0</v>
      </c>
      <c r="G176" s="76">
        <f t="shared" si="37"/>
        <v>0</v>
      </c>
      <c r="H176" s="76">
        <f t="shared" si="37"/>
        <v>0</v>
      </c>
      <c r="I176" s="76">
        <f t="shared" si="37"/>
        <v>450000</v>
      </c>
      <c r="J176" s="76">
        <f>J179+J192</f>
        <v>450000</v>
      </c>
      <c r="K176" s="76">
        <f t="shared" si="37"/>
        <v>0</v>
      </c>
      <c r="L176" s="76">
        <f t="shared" si="37"/>
        <v>0</v>
      </c>
      <c r="M176" s="76">
        <f t="shared" si="37"/>
        <v>0</v>
      </c>
      <c r="N176" s="76">
        <f t="shared" si="37"/>
        <v>450000</v>
      </c>
      <c r="O176" s="76">
        <f t="shared" si="37"/>
        <v>450000</v>
      </c>
    </row>
    <row r="177" spans="1:15" ht="33" customHeight="1" x14ac:dyDescent="0.25">
      <c r="A177" s="40" t="s">
        <v>272</v>
      </c>
      <c r="B177" s="40" t="s">
        <v>111</v>
      </c>
      <c r="C177" s="6" t="s">
        <v>552</v>
      </c>
      <c r="D177" s="49">
        <f>'дод 3'!E274+'дод 3'!E241</f>
        <v>0</v>
      </c>
      <c r="E177" s="49">
        <f>'дод 3'!F274+'дод 3'!F241</f>
        <v>0</v>
      </c>
      <c r="F177" s="49">
        <f>'дод 3'!G274+'дод 3'!G241</f>
        <v>0</v>
      </c>
      <c r="G177" s="49">
        <f>'дод 3'!H274+'дод 3'!H241</f>
        <v>0</v>
      </c>
      <c r="H177" s="49">
        <f>'дод 3'!I274+'дод 3'!I241</f>
        <v>0</v>
      </c>
      <c r="I177" s="49">
        <f>'дод 3'!J274+'дод 3'!J241</f>
        <v>23965176.469999999</v>
      </c>
      <c r="J177" s="49">
        <f>'дод 3'!K274+'дод 3'!K241</f>
        <v>23965176.469999999</v>
      </c>
      <c r="K177" s="49">
        <f>'дод 3'!L274+'дод 3'!L241</f>
        <v>0</v>
      </c>
      <c r="L177" s="49">
        <f>'дод 3'!M274+'дод 3'!M241</f>
        <v>0</v>
      </c>
      <c r="M177" s="49">
        <f>'дод 3'!N274+'дод 3'!N241</f>
        <v>0</v>
      </c>
      <c r="N177" s="49">
        <f>'дод 3'!O274+'дод 3'!O241</f>
        <v>23965176.469999999</v>
      </c>
      <c r="O177" s="49">
        <f>'дод 3'!P274+'дод 3'!P241</f>
        <v>23965176.469999999</v>
      </c>
    </row>
    <row r="178" spans="1:15" s="54" customFormat="1" ht="34.5" x14ac:dyDescent="0.25">
      <c r="A178" s="40" t="s">
        <v>277</v>
      </c>
      <c r="B178" s="40" t="s">
        <v>111</v>
      </c>
      <c r="C178" s="6" t="s">
        <v>596</v>
      </c>
      <c r="D178" s="49">
        <f>'дод 3'!E116+'дод 3'!E275</f>
        <v>0</v>
      </c>
      <c r="E178" s="49">
        <f>'дод 3'!F116+'дод 3'!F275</f>
        <v>0</v>
      </c>
      <c r="F178" s="49">
        <f>'дод 3'!G116+'дод 3'!G275</f>
        <v>0</v>
      </c>
      <c r="G178" s="49">
        <f>'дод 3'!H116+'дод 3'!H275</f>
        <v>0</v>
      </c>
      <c r="H178" s="49">
        <f>'дод 3'!I116+'дод 3'!I275</f>
        <v>0</v>
      </c>
      <c r="I178" s="49">
        <f>'дод 3'!J116+'дод 3'!J275</f>
        <v>30592842</v>
      </c>
      <c r="J178" s="49">
        <f>'дод 3'!K116+'дод 3'!K275</f>
        <v>30592842</v>
      </c>
      <c r="K178" s="49">
        <f>'дод 3'!L116+'дод 3'!L275</f>
        <v>0</v>
      </c>
      <c r="L178" s="49">
        <f>'дод 3'!M116+'дод 3'!M275</f>
        <v>0</v>
      </c>
      <c r="M178" s="49">
        <f>'дод 3'!N116+'дод 3'!N275</f>
        <v>0</v>
      </c>
      <c r="N178" s="49">
        <f>'дод 3'!O116+'дод 3'!O275</f>
        <v>30592842</v>
      </c>
      <c r="O178" s="49">
        <f>'дод 3'!P116+'дод 3'!P275</f>
        <v>30592842</v>
      </c>
    </row>
    <row r="179" spans="1:15" s="54" customFormat="1" ht="21.75" customHeight="1" x14ac:dyDescent="0.25">
      <c r="A179" s="82"/>
      <c r="B179" s="82"/>
      <c r="C179" s="87" t="s">
        <v>395</v>
      </c>
      <c r="D179" s="80">
        <f>'дод 3'!E117</f>
        <v>0</v>
      </c>
      <c r="E179" s="80">
        <f>'дод 3'!F117</f>
        <v>0</v>
      </c>
      <c r="F179" s="80">
        <f>'дод 3'!G117</f>
        <v>0</v>
      </c>
      <c r="G179" s="80">
        <f>'дод 3'!H117</f>
        <v>0</v>
      </c>
      <c r="H179" s="80">
        <f>'дод 3'!I117</f>
        <v>0</v>
      </c>
      <c r="I179" s="80">
        <f>'дод 3'!J117</f>
        <v>250000</v>
      </c>
      <c r="J179" s="80">
        <f>'дод 3'!K117</f>
        <v>250000</v>
      </c>
      <c r="K179" s="80">
        <f>'дод 3'!L117</f>
        <v>0</v>
      </c>
      <c r="L179" s="80">
        <f>'дод 3'!M117</f>
        <v>0</v>
      </c>
      <c r="M179" s="80">
        <f>'дод 3'!N117</f>
        <v>0</v>
      </c>
      <c r="N179" s="80">
        <f>'дод 3'!O117</f>
        <v>250000</v>
      </c>
      <c r="O179" s="80">
        <f>'дод 3'!P117</f>
        <v>250000</v>
      </c>
    </row>
    <row r="180" spans="1:15" s="54" customFormat="1" ht="24" customHeight="1" x14ac:dyDescent="0.25">
      <c r="A180" s="40" t="s">
        <v>279</v>
      </c>
      <c r="B180" s="40" t="s">
        <v>111</v>
      </c>
      <c r="C180" s="6" t="s">
        <v>549</v>
      </c>
      <c r="D180" s="49">
        <f>'дод 3'!E276+'дод 3'!E153</f>
        <v>0</v>
      </c>
      <c r="E180" s="49">
        <f>'дод 3'!F276+'дод 3'!F153</f>
        <v>0</v>
      </c>
      <c r="F180" s="49">
        <f>'дод 3'!G276+'дод 3'!G153</f>
        <v>0</v>
      </c>
      <c r="G180" s="49">
        <f>'дод 3'!H276+'дод 3'!H153</f>
        <v>0</v>
      </c>
      <c r="H180" s="49">
        <f>'дод 3'!I276+'дод 3'!I153</f>
        <v>0</v>
      </c>
      <c r="I180" s="49">
        <f>'дод 3'!J276+'дод 3'!J153</f>
        <v>45035972</v>
      </c>
      <c r="J180" s="49">
        <f>'дод 3'!K276+'дод 3'!K153</f>
        <v>45035972</v>
      </c>
      <c r="K180" s="49">
        <f>'дод 3'!L276+'дод 3'!L153</f>
        <v>0</v>
      </c>
      <c r="L180" s="49">
        <f>'дод 3'!M276+'дод 3'!M153</f>
        <v>0</v>
      </c>
      <c r="M180" s="49">
        <f>'дод 3'!N276+'дод 3'!N153</f>
        <v>0</v>
      </c>
      <c r="N180" s="49">
        <f>'дод 3'!O276+'дод 3'!O153</f>
        <v>45035972</v>
      </c>
      <c r="O180" s="49">
        <f>'дод 3'!P276+'дод 3'!P153</f>
        <v>45035972</v>
      </c>
    </row>
    <row r="181" spans="1:15" s="54" customFormat="1" ht="22.5" customHeight="1" x14ac:dyDescent="0.25">
      <c r="A181" s="40">
        <v>7323</v>
      </c>
      <c r="B181" s="73" t="s">
        <v>111</v>
      </c>
      <c r="C181" s="134" t="s">
        <v>550</v>
      </c>
      <c r="D181" s="49">
        <f>'дод 3'!E200</f>
        <v>0</v>
      </c>
      <c r="E181" s="49">
        <f>'дод 3'!F200</f>
        <v>0</v>
      </c>
      <c r="F181" s="49">
        <f>'дод 3'!G200</f>
        <v>0</v>
      </c>
      <c r="G181" s="49">
        <f>'дод 3'!H200</f>
        <v>0</v>
      </c>
      <c r="H181" s="49">
        <f>'дод 3'!I200</f>
        <v>0</v>
      </c>
      <c r="I181" s="49">
        <f>'дод 3'!J200</f>
        <v>473213</v>
      </c>
      <c r="J181" s="49">
        <f>'дод 3'!K200</f>
        <v>473213</v>
      </c>
      <c r="K181" s="49">
        <f>'дод 3'!L200</f>
        <v>0</v>
      </c>
      <c r="L181" s="49">
        <f>'дод 3'!M200</f>
        <v>0</v>
      </c>
      <c r="M181" s="49">
        <f>'дод 3'!N200</f>
        <v>0</v>
      </c>
      <c r="N181" s="49">
        <f>'дод 3'!O200</f>
        <v>473213</v>
      </c>
      <c r="O181" s="49">
        <f>'дод 3'!P200</f>
        <v>473213</v>
      </c>
    </row>
    <row r="182" spans="1:15" s="54" customFormat="1" ht="19.5" customHeight="1" x14ac:dyDescent="0.25">
      <c r="A182" s="40">
        <v>7324</v>
      </c>
      <c r="B182" s="73" t="s">
        <v>111</v>
      </c>
      <c r="C182" s="6" t="s">
        <v>551</v>
      </c>
      <c r="D182" s="49">
        <f>'дод 3'!E218+'дод 3'!E277</f>
        <v>0</v>
      </c>
      <c r="E182" s="49">
        <f>'дод 3'!F218+'дод 3'!F277</f>
        <v>0</v>
      </c>
      <c r="F182" s="49">
        <f>'дод 3'!G218+'дод 3'!G277</f>
        <v>0</v>
      </c>
      <c r="G182" s="49">
        <f>'дод 3'!H218+'дод 3'!H277</f>
        <v>0</v>
      </c>
      <c r="H182" s="49">
        <f>'дод 3'!I218+'дод 3'!I277</f>
        <v>0</v>
      </c>
      <c r="I182" s="49">
        <f>'дод 3'!J218+'дод 3'!J277</f>
        <v>970000</v>
      </c>
      <c r="J182" s="49">
        <f>'дод 3'!K218+'дод 3'!K277</f>
        <v>970000</v>
      </c>
      <c r="K182" s="49">
        <f>'дод 3'!L218+'дод 3'!L277</f>
        <v>0</v>
      </c>
      <c r="L182" s="49">
        <f>'дод 3'!M218+'дод 3'!M277</f>
        <v>0</v>
      </c>
      <c r="M182" s="49">
        <f>'дод 3'!N218+'дод 3'!N277</f>
        <v>0</v>
      </c>
      <c r="N182" s="49">
        <f>'дод 3'!O218+'дод 3'!O277</f>
        <v>970000</v>
      </c>
      <c r="O182" s="49">
        <f>'дод 3'!P218+'дод 3'!P277</f>
        <v>970000</v>
      </c>
    </row>
    <row r="183" spans="1:15" s="54" customFormat="1" ht="34.5" x14ac:dyDescent="0.25">
      <c r="A183" s="40">
        <v>7325</v>
      </c>
      <c r="B183" s="73" t="s">
        <v>111</v>
      </c>
      <c r="C183" s="6" t="s">
        <v>546</v>
      </c>
      <c r="D183" s="49">
        <f>'дод 3'!E278+'дод 3'!E42</f>
        <v>0</v>
      </c>
      <c r="E183" s="49">
        <f>'дод 3'!F278+'дод 3'!F42</f>
        <v>0</v>
      </c>
      <c r="F183" s="49">
        <f>'дод 3'!G278+'дод 3'!G42</f>
        <v>0</v>
      </c>
      <c r="G183" s="49">
        <f>'дод 3'!H278+'дод 3'!H42</f>
        <v>0</v>
      </c>
      <c r="H183" s="49">
        <f>'дод 3'!I278+'дод 3'!I42</f>
        <v>0</v>
      </c>
      <c r="I183" s="49">
        <f>'дод 3'!J278+'дод 3'!J42</f>
        <v>12639440</v>
      </c>
      <c r="J183" s="49">
        <f>'дод 3'!K278+'дод 3'!K42</f>
        <v>12639440</v>
      </c>
      <c r="K183" s="49">
        <f>'дод 3'!L278+'дод 3'!L42</f>
        <v>0</v>
      </c>
      <c r="L183" s="49">
        <f>'дод 3'!M278+'дод 3'!M42</f>
        <v>0</v>
      </c>
      <c r="M183" s="49">
        <f>'дод 3'!N278+'дод 3'!N42</f>
        <v>0</v>
      </c>
      <c r="N183" s="49">
        <f>'дод 3'!O278+'дод 3'!O42</f>
        <v>12639440</v>
      </c>
      <c r="O183" s="49">
        <f>'дод 3'!P278+'дод 3'!P42</f>
        <v>12639440</v>
      </c>
    </row>
    <row r="184" spans="1:15" ht="21.75" customHeight="1" x14ac:dyDescent="0.25">
      <c r="A184" s="40" t="s">
        <v>274</v>
      </c>
      <c r="B184" s="40" t="s">
        <v>111</v>
      </c>
      <c r="C184" s="6" t="s">
        <v>547</v>
      </c>
      <c r="D184" s="49">
        <f>'дод 3'!E279+'дод 3'!E242+'дод 3'!E43</f>
        <v>0</v>
      </c>
      <c r="E184" s="49">
        <f>'дод 3'!F279+'дод 3'!F242+'дод 3'!F43</f>
        <v>0</v>
      </c>
      <c r="F184" s="49">
        <f>'дод 3'!G279+'дод 3'!G242+'дод 3'!G43</f>
        <v>0</v>
      </c>
      <c r="G184" s="49">
        <f>'дод 3'!H279+'дод 3'!H242+'дод 3'!H43</f>
        <v>0</v>
      </c>
      <c r="H184" s="49">
        <f>'дод 3'!I279+'дод 3'!I242+'дод 3'!I43</f>
        <v>0</v>
      </c>
      <c r="I184" s="49">
        <f>'дод 3'!J279+'дод 3'!J242+'дод 3'!J43</f>
        <v>30924714.579999998</v>
      </c>
      <c r="J184" s="49">
        <f>'дод 3'!K279+'дод 3'!K242+'дод 3'!K43</f>
        <v>30924714.579999998</v>
      </c>
      <c r="K184" s="49">
        <f>'дод 3'!L279+'дод 3'!L242+'дод 3'!L43</f>
        <v>0</v>
      </c>
      <c r="L184" s="49">
        <f>'дод 3'!M279+'дод 3'!M242+'дод 3'!M43</f>
        <v>0</v>
      </c>
      <c r="M184" s="49">
        <f>'дод 3'!N279+'дод 3'!N242+'дод 3'!N43</f>
        <v>0</v>
      </c>
      <c r="N184" s="49">
        <f>'дод 3'!O279+'дод 3'!O242+'дод 3'!O43</f>
        <v>30924714.579999998</v>
      </c>
      <c r="O184" s="49">
        <f>'дод 3'!P279+'дод 3'!P242+'дод 3'!P43</f>
        <v>30924714.579999998</v>
      </c>
    </row>
    <row r="185" spans="1:15" ht="31.5" customHeight="1" x14ac:dyDescent="0.25">
      <c r="A185" s="37" t="s">
        <v>138</v>
      </c>
      <c r="B185" s="37" t="s">
        <v>111</v>
      </c>
      <c r="C185" s="3" t="s">
        <v>1</v>
      </c>
      <c r="D185" s="49">
        <f>'дод 3'!E243+'дод 3'!E280</f>
        <v>0</v>
      </c>
      <c r="E185" s="49">
        <f>'дод 3'!F243+'дод 3'!F280</f>
        <v>0</v>
      </c>
      <c r="F185" s="49">
        <f>'дод 3'!G243+'дод 3'!G280</f>
        <v>0</v>
      </c>
      <c r="G185" s="49">
        <f>'дод 3'!H243+'дод 3'!H280</f>
        <v>0</v>
      </c>
      <c r="H185" s="49">
        <f>'дод 3'!I243+'дод 3'!I280</f>
        <v>0</v>
      </c>
      <c r="I185" s="49">
        <f>'дод 3'!J243+'дод 3'!J280</f>
        <v>4250000</v>
      </c>
      <c r="J185" s="49">
        <f>'дод 3'!K243+'дод 3'!K280</f>
        <v>4250000</v>
      </c>
      <c r="K185" s="49">
        <f>'дод 3'!L243+'дод 3'!L280</f>
        <v>0</v>
      </c>
      <c r="L185" s="49">
        <f>'дод 3'!M243+'дод 3'!M280</f>
        <v>0</v>
      </c>
      <c r="M185" s="49">
        <f>'дод 3'!N243+'дод 3'!N280</f>
        <v>0</v>
      </c>
      <c r="N185" s="49">
        <f>'дод 3'!O243+'дод 3'!O280</f>
        <v>4250000</v>
      </c>
      <c r="O185" s="49">
        <f>'дод 3'!P243+'дод 3'!P280</f>
        <v>4250000</v>
      </c>
    </row>
    <row r="186" spans="1:15" ht="35.25" customHeight="1" x14ac:dyDescent="0.25">
      <c r="A186" s="58" t="s">
        <v>459</v>
      </c>
      <c r="B186" s="58" t="s">
        <v>111</v>
      </c>
      <c r="C186" s="3" t="s">
        <v>460</v>
      </c>
      <c r="D186" s="49">
        <f>'дод 3'!E292</f>
        <v>0</v>
      </c>
      <c r="E186" s="49">
        <f>'дод 3'!F292</f>
        <v>0</v>
      </c>
      <c r="F186" s="49">
        <f>'дод 3'!G292</f>
        <v>0</v>
      </c>
      <c r="G186" s="49">
        <f>'дод 3'!H292</f>
        <v>0</v>
      </c>
      <c r="H186" s="49">
        <f>'дод 3'!I292</f>
        <v>0</v>
      </c>
      <c r="I186" s="49">
        <f>'дод 3'!J292</f>
        <v>0</v>
      </c>
      <c r="J186" s="49">
        <f>'дод 3'!K292</f>
        <v>0</v>
      </c>
      <c r="K186" s="49">
        <f>'дод 3'!L292</f>
        <v>0</v>
      </c>
      <c r="L186" s="49">
        <f>'дод 3'!M292</f>
        <v>0</v>
      </c>
      <c r="M186" s="49">
        <f>'дод 3'!N292</f>
        <v>0</v>
      </c>
      <c r="N186" s="49">
        <f>'дод 3'!O292</f>
        <v>0</v>
      </c>
      <c r="O186" s="49">
        <f>'дод 3'!P292</f>
        <v>0</v>
      </c>
    </row>
    <row r="187" spans="1:15" ht="51.75" customHeight="1" x14ac:dyDescent="0.25">
      <c r="A187" s="37">
        <v>7361</v>
      </c>
      <c r="B187" s="37" t="s">
        <v>82</v>
      </c>
      <c r="C187" s="3" t="s">
        <v>372</v>
      </c>
      <c r="D187" s="49">
        <f>'дод 3'!E244+'дод 3'!E281+'дод 3'!E154</f>
        <v>0</v>
      </c>
      <c r="E187" s="49">
        <f>'дод 3'!F244+'дод 3'!F281+'дод 3'!F154</f>
        <v>0</v>
      </c>
      <c r="F187" s="49">
        <f>'дод 3'!G244+'дод 3'!G281+'дод 3'!G154</f>
        <v>0</v>
      </c>
      <c r="G187" s="49">
        <f>'дод 3'!H244+'дод 3'!H281+'дод 3'!H154</f>
        <v>0</v>
      </c>
      <c r="H187" s="49">
        <f>'дод 3'!I244+'дод 3'!I281+'дод 3'!I154</f>
        <v>0</v>
      </c>
      <c r="I187" s="49">
        <f>'дод 3'!J244+'дод 3'!J281+'дод 3'!J154</f>
        <v>72850673</v>
      </c>
      <c r="J187" s="49">
        <f>'дод 3'!K244+'дод 3'!K281+'дод 3'!K154</f>
        <v>72850673</v>
      </c>
      <c r="K187" s="49">
        <f>'дод 3'!L244+'дод 3'!L281+'дод 3'!L154</f>
        <v>0</v>
      </c>
      <c r="L187" s="49">
        <f>'дод 3'!M244+'дод 3'!M281+'дод 3'!M154</f>
        <v>0</v>
      </c>
      <c r="M187" s="49">
        <f>'дод 3'!N244+'дод 3'!N281+'дод 3'!N154</f>
        <v>0</v>
      </c>
      <c r="N187" s="49">
        <f>'дод 3'!O244+'дод 3'!O281+'дод 3'!O154</f>
        <v>72850673</v>
      </c>
      <c r="O187" s="49">
        <f>'дод 3'!P244+'дод 3'!P281+'дод 3'!P154</f>
        <v>72850673</v>
      </c>
    </row>
    <row r="188" spans="1:15" s="54" customFormat="1" ht="46.5" hidden="1" customHeight="1" x14ac:dyDescent="0.25">
      <c r="A188" s="37">
        <v>7362</v>
      </c>
      <c r="B188" s="37" t="s">
        <v>82</v>
      </c>
      <c r="C188" s="3" t="s">
        <v>364</v>
      </c>
      <c r="D188" s="49">
        <f>'дод 3'!E245</f>
        <v>0</v>
      </c>
      <c r="E188" s="49">
        <f>'дод 3'!F245</f>
        <v>0</v>
      </c>
      <c r="F188" s="49">
        <f>'дод 3'!G245</f>
        <v>0</v>
      </c>
      <c r="G188" s="49">
        <f>'дод 3'!H245</f>
        <v>0</v>
      </c>
      <c r="H188" s="49">
        <f>'дод 3'!I245</f>
        <v>0</v>
      </c>
      <c r="I188" s="49">
        <f>'дод 3'!J245</f>
        <v>0</v>
      </c>
      <c r="J188" s="49">
        <f>'дод 3'!K245</f>
        <v>0</v>
      </c>
      <c r="K188" s="49">
        <f>'дод 3'!L245</f>
        <v>0</v>
      </c>
      <c r="L188" s="49">
        <f>'дод 3'!M245</f>
        <v>0</v>
      </c>
      <c r="M188" s="49">
        <f>'дод 3'!N245</f>
        <v>0</v>
      </c>
      <c r="N188" s="49">
        <f>'дод 3'!O245</f>
        <v>0</v>
      </c>
      <c r="O188" s="49">
        <f>'дод 3'!P245</f>
        <v>0</v>
      </c>
    </row>
    <row r="189" spans="1:15" s="54" customFormat="1" ht="47.25" x14ac:dyDescent="0.25">
      <c r="A189" s="37">
        <v>7363</v>
      </c>
      <c r="B189" s="59" t="s">
        <v>82</v>
      </c>
      <c r="C189" s="60" t="s">
        <v>398</v>
      </c>
      <c r="D189" s="49">
        <f>'дод 3'!E246+'дод 3'!E118+'дод 3'!E155</f>
        <v>0</v>
      </c>
      <c r="E189" s="49">
        <f>'дод 3'!F246+'дод 3'!F118+'дод 3'!F155</f>
        <v>0</v>
      </c>
      <c r="F189" s="49">
        <f>'дод 3'!G246+'дод 3'!G118+'дод 3'!G155</f>
        <v>0</v>
      </c>
      <c r="G189" s="49">
        <f>'дод 3'!H246+'дод 3'!H118+'дод 3'!H155</f>
        <v>0</v>
      </c>
      <c r="H189" s="49">
        <f>'дод 3'!I246+'дод 3'!I118+'дод 3'!I155</f>
        <v>0</v>
      </c>
      <c r="I189" s="49">
        <f>'дод 3'!J246+'дод 3'!J118+'дод 3'!J155</f>
        <v>29201184</v>
      </c>
      <c r="J189" s="49">
        <f>'дод 3'!K246+'дод 3'!K118+'дод 3'!K155</f>
        <v>25708234</v>
      </c>
      <c r="K189" s="49">
        <f>'дод 3'!L246+'дод 3'!L118+'дод 3'!L155</f>
        <v>0</v>
      </c>
      <c r="L189" s="49">
        <f>'дод 3'!M246+'дод 3'!M118+'дод 3'!M155</f>
        <v>0</v>
      </c>
      <c r="M189" s="49">
        <f>'дод 3'!N246+'дод 3'!N118+'дод 3'!N155</f>
        <v>0</v>
      </c>
      <c r="N189" s="49">
        <f>'дод 3'!O246+'дод 3'!O118+'дод 3'!O155</f>
        <v>29201184</v>
      </c>
      <c r="O189" s="49">
        <f>'дод 3'!P246+'дод 3'!P118+'дод 3'!P155</f>
        <v>29201184</v>
      </c>
    </row>
    <row r="190" spans="1:15" s="54" customFormat="1" ht="47.25" x14ac:dyDescent="0.25">
      <c r="A190" s="78"/>
      <c r="B190" s="84"/>
      <c r="C190" s="79" t="s">
        <v>388</v>
      </c>
      <c r="D190" s="80">
        <f>'дод 3'!E119+'дод 3'!E156+'дод 3'!E247</f>
        <v>0</v>
      </c>
      <c r="E190" s="80">
        <f>'дод 3'!F119+'дод 3'!F156+'дод 3'!F247</f>
        <v>0</v>
      </c>
      <c r="F190" s="80">
        <f>'дод 3'!G119+'дод 3'!G156+'дод 3'!G247</f>
        <v>0</v>
      </c>
      <c r="G190" s="80">
        <f>'дод 3'!H119+'дод 3'!H156+'дод 3'!H247</f>
        <v>0</v>
      </c>
      <c r="H190" s="80">
        <f>'дод 3'!I119+'дод 3'!I156+'дод 3'!I247</f>
        <v>0</v>
      </c>
      <c r="I190" s="80">
        <f>'дод 3'!J119+'дод 3'!J156+'дод 3'!J247</f>
        <v>20015420</v>
      </c>
      <c r="J190" s="80">
        <f>'дод 3'!K119+'дод 3'!K156+'дод 3'!K247</f>
        <v>16522470</v>
      </c>
      <c r="K190" s="80">
        <f>'дод 3'!L119+'дод 3'!L156+'дод 3'!L247</f>
        <v>0</v>
      </c>
      <c r="L190" s="80">
        <f>'дод 3'!M119+'дод 3'!M156+'дод 3'!M247</f>
        <v>0</v>
      </c>
      <c r="M190" s="80">
        <f>'дод 3'!N119+'дод 3'!N156+'дод 3'!N247</f>
        <v>0</v>
      </c>
      <c r="N190" s="80">
        <f>'дод 3'!O119+'дод 3'!O156+'дод 3'!O247</f>
        <v>20015420</v>
      </c>
      <c r="O190" s="80">
        <f>'дод 3'!P119+'дод 3'!P156+'дод 3'!P247</f>
        <v>20015420</v>
      </c>
    </row>
    <row r="191" spans="1:15" ht="31.5" x14ac:dyDescent="0.25">
      <c r="A191" s="37">
        <v>7368</v>
      </c>
      <c r="B191" s="37" t="s">
        <v>82</v>
      </c>
      <c r="C191" s="36" t="s">
        <v>592</v>
      </c>
      <c r="D191" s="49">
        <f>'дод 3'!E248</f>
        <v>0</v>
      </c>
      <c r="E191" s="49">
        <f>'дод 3'!F248</f>
        <v>0</v>
      </c>
      <c r="F191" s="49">
        <f>'дод 3'!G248</f>
        <v>0</v>
      </c>
      <c r="G191" s="49">
        <f>'дод 3'!H248</f>
        <v>0</v>
      </c>
      <c r="H191" s="49">
        <f>'дод 3'!I248</f>
        <v>0</v>
      </c>
      <c r="I191" s="49">
        <f>'дод 3'!J248</f>
        <v>200000</v>
      </c>
      <c r="J191" s="49">
        <f>'дод 3'!K248</f>
        <v>200000</v>
      </c>
      <c r="K191" s="49">
        <f>'дод 3'!L248</f>
        <v>0</v>
      </c>
      <c r="L191" s="49">
        <f>'дод 3'!M248</f>
        <v>0</v>
      </c>
      <c r="M191" s="49">
        <f>'дод 3'!N248</f>
        <v>0</v>
      </c>
      <c r="N191" s="49">
        <f>'дод 3'!O248</f>
        <v>200000</v>
      </c>
      <c r="O191" s="49">
        <f>'дод 3'!P248</f>
        <v>200000</v>
      </c>
    </row>
    <row r="192" spans="1:15" s="54" customFormat="1" x14ac:dyDescent="0.25">
      <c r="A192" s="78"/>
      <c r="B192" s="84"/>
      <c r="C192" s="85" t="s">
        <v>393</v>
      </c>
      <c r="D192" s="80">
        <f>'дод 3'!E249</f>
        <v>0</v>
      </c>
      <c r="E192" s="80">
        <f>'дод 3'!F249</f>
        <v>0</v>
      </c>
      <c r="F192" s="80">
        <f>'дод 3'!G249</f>
        <v>0</v>
      </c>
      <c r="G192" s="80">
        <f>'дод 3'!H249</f>
        <v>0</v>
      </c>
      <c r="H192" s="80">
        <f>'дод 3'!I249</f>
        <v>0</v>
      </c>
      <c r="I192" s="80">
        <f>'дод 3'!J249</f>
        <v>200000</v>
      </c>
      <c r="J192" s="80">
        <f>'дод 3'!K249</f>
        <v>200000</v>
      </c>
      <c r="K192" s="80">
        <f>'дод 3'!L249</f>
        <v>0</v>
      </c>
      <c r="L192" s="80">
        <f>'дод 3'!M249</f>
        <v>0</v>
      </c>
      <c r="M192" s="80">
        <f>'дод 3'!N249</f>
        <v>0</v>
      </c>
      <c r="N192" s="80">
        <f>'дод 3'!O249</f>
        <v>200000</v>
      </c>
      <c r="O192" s="80">
        <f>'дод 3'!P249</f>
        <v>200000</v>
      </c>
    </row>
    <row r="193" spans="1:15" s="54" customFormat="1" ht="31.5" x14ac:dyDescent="0.25">
      <c r="A193" s="37">
        <v>7370</v>
      </c>
      <c r="B193" s="59" t="s">
        <v>82</v>
      </c>
      <c r="C193" s="60" t="s">
        <v>431</v>
      </c>
      <c r="D193" s="49">
        <f>'дод 3'!E283+'дод 3'!E293</f>
        <v>2341300.6</v>
      </c>
      <c r="E193" s="49">
        <f>'дод 3'!F283+'дод 3'!F293</f>
        <v>2341300.6</v>
      </c>
      <c r="F193" s="49">
        <f>'дод 3'!G283+'дод 3'!G293</f>
        <v>0</v>
      </c>
      <c r="G193" s="49">
        <f>'дод 3'!H283+'дод 3'!H293</f>
        <v>0</v>
      </c>
      <c r="H193" s="49">
        <f>'дод 3'!I283+'дод 3'!I293</f>
        <v>0</v>
      </c>
      <c r="I193" s="49">
        <f>'дод 3'!J283+'дод 3'!J293</f>
        <v>0</v>
      </c>
      <c r="J193" s="49">
        <f>'дод 3'!K283+'дод 3'!K293</f>
        <v>0</v>
      </c>
      <c r="K193" s="49">
        <f>'дод 3'!L283+'дод 3'!L293</f>
        <v>0</v>
      </c>
      <c r="L193" s="49">
        <f>'дод 3'!M283+'дод 3'!M293</f>
        <v>0</v>
      </c>
      <c r="M193" s="49">
        <f>'дод 3'!N283+'дод 3'!N293</f>
        <v>0</v>
      </c>
      <c r="N193" s="49">
        <f>'дод 3'!O283+'дод 3'!O293</f>
        <v>0</v>
      </c>
      <c r="O193" s="49">
        <f>'дод 3'!P283+'дод 3'!P293</f>
        <v>2341300.6</v>
      </c>
    </row>
    <row r="194" spans="1:15" s="52" customFormat="1" ht="34.5" customHeight="1" x14ac:dyDescent="0.25">
      <c r="A194" s="38" t="s">
        <v>85</v>
      </c>
      <c r="B194" s="41"/>
      <c r="C194" s="2" t="s">
        <v>597</v>
      </c>
      <c r="D194" s="48">
        <f>D198+D199+D200+D201+D205+D206+D208</f>
        <v>64546042</v>
      </c>
      <c r="E194" s="48">
        <f t="shared" ref="E194:O194" si="38">E198+E199+E200+E201+E205+E206+E208</f>
        <v>1867346</v>
      </c>
      <c r="F194" s="48">
        <f t="shared" si="38"/>
        <v>0</v>
      </c>
      <c r="G194" s="48">
        <f t="shared" si="38"/>
        <v>0</v>
      </c>
      <c r="H194" s="48">
        <f t="shared" si="38"/>
        <v>62678696</v>
      </c>
      <c r="I194" s="48">
        <f t="shared" si="38"/>
        <v>0</v>
      </c>
      <c r="J194" s="48">
        <f t="shared" si="38"/>
        <v>0</v>
      </c>
      <c r="K194" s="48">
        <f t="shared" si="38"/>
        <v>0</v>
      </c>
      <c r="L194" s="48">
        <f t="shared" si="38"/>
        <v>0</v>
      </c>
      <c r="M194" s="48">
        <f t="shared" si="38"/>
        <v>0</v>
      </c>
      <c r="N194" s="48">
        <f t="shared" si="38"/>
        <v>0</v>
      </c>
      <c r="O194" s="48">
        <f t="shared" si="38"/>
        <v>64546042</v>
      </c>
    </row>
    <row r="195" spans="1:15" s="53" customFormat="1" ht="94.5" hidden="1" customHeight="1" x14ac:dyDescent="0.25">
      <c r="A195" s="71"/>
      <c r="B195" s="72"/>
      <c r="C195" s="75" t="s">
        <v>397</v>
      </c>
      <c r="D195" s="76">
        <f>D203</f>
        <v>0</v>
      </c>
      <c r="E195" s="76">
        <f t="shared" ref="E195:O195" si="39">E203</f>
        <v>0</v>
      </c>
      <c r="F195" s="76">
        <f t="shared" si="39"/>
        <v>0</v>
      </c>
      <c r="G195" s="76">
        <f t="shared" si="39"/>
        <v>0</v>
      </c>
      <c r="H195" s="76">
        <f t="shared" si="39"/>
        <v>0</v>
      </c>
      <c r="I195" s="76">
        <f t="shared" si="39"/>
        <v>0</v>
      </c>
      <c r="J195" s="76">
        <f t="shared" si="39"/>
        <v>0</v>
      </c>
      <c r="K195" s="76">
        <f t="shared" si="39"/>
        <v>0</v>
      </c>
      <c r="L195" s="76">
        <f t="shared" si="39"/>
        <v>0</v>
      </c>
      <c r="M195" s="76">
        <f t="shared" si="39"/>
        <v>0</v>
      </c>
      <c r="N195" s="76">
        <f t="shared" si="39"/>
        <v>0</v>
      </c>
      <c r="O195" s="76">
        <f t="shared" si="39"/>
        <v>0</v>
      </c>
    </row>
    <row r="196" spans="1:15" s="53" customFormat="1" ht="63" x14ac:dyDescent="0.25">
      <c r="A196" s="71"/>
      <c r="B196" s="72"/>
      <c r="C196" s="75" t="s">
        <v>446</v>
      </c>
      <c r="D196" s="76">
        <f>D207</f>
        <v>1527346</v>
      </c>
      <c r="E196" s="76">
        <f t="shared" ref="E196:O196" si="40">E207</f>
        <v>1527346</v>
      </c>
      <c r="F196" s="76">
        <f t="shared" si="40"/>
        <v>0</v>
      </c>
      <c r="G196" s="76">
        <f t="shared" si="40"/>
        <v>0</v>
      </c>
      <c r="H196" s="76">
        <f t="shared" si="40"/>
        <v>0</v>
      </c>
      <c r="I196" s="76">
        <f t="shared" si="40"/>
        <v>0</v>
      </c>
      <c r="J196" s="76">
        <f t="shared" si="40"/>
        <v>0</v>
      </c>
      <c r="K196" s="76">
        <f t="shared" si="40"/>
        <v>0</v>
      </c>
      <c r="L196" s="76">
        <f t="shared" si="40"/>
        <v>0</v>
      </c>
      <c r="M196" s="76">
        <f t="shared" si="40"/>
        <v>0</v>
      </c>
      <c r="N196" s="76">
        <f t="shared" si="40"/>
        <v>0</v>
      </c>
      <c r="O196" s="76">
        <f t="shared" si="40"/>
        <v>1527346</v>
      </c>
    </row>
    <row r="197" spans="1:15" s="53" customFormat="1" x14ac:dyDescent="0.25">
      <c r="A197" s="71"/>
      <c r="B197" s="72"/>
      <c r="C197" s="83" t="s">
        <v>393</v>
      </c>
      <c r="D197" s="76">
        <f>D209</f>
        <v>200000</v>
      </c>
      <c r="E197" s="76">
        <f t="shared" ref="E197:O197" si="41">E209</f>
        <v>200000</v>
      </c>
      <c r="F197" s="76">
        <f t="shared" si="41"/>
        <v>0</v>
      </c>
      <c r="G197" s="76">
        <f t="shared" si="41"/>
        <v>0</v>
      </c>
      <c r="H197" s="76">
        <f t="shared" si="41"/>
        <v>0</v>
      </c>
      <c r="I197" s="76">
        <f t="shared" si="41"/>
        <v>0</v>
      </c>
      <c r="J197" s="76">
        <f t="shared" si="41"/>
        <v>0</v>
      </c>
      <c r="K197" s="76">
        <f t="shared" si="41"/>
        <v>0</v>
      </c>
      <c r="L197" s="76">
        <f t="shared" si="41"/>
        <v>0</v>
      </c>
      <c r="M197" s="76">
        <f t="shared" si="41"/>
        <v>0</v>
      </c>
      <c r="N197" s="76">
        <f t="shared" si="41"/>
        <v>0</v>
      </c>
      <c r="O197" s="76">
        <f t="shared" si="41"/>
        <v>200000</v>
      </c>
    </row>
    <row r="198" spans="1:15" s="54" customFormat="1" ht="18.75" customHeight="1" x14ac:dyDescent="0.25">
      <c r="A198" s="37" t="s">
        <v>3</v>
      </c>
      <c r="B198" s="37" t="s">
        <v>84</v>
      </c>
      <c r="C198" s="3" t="s">
        <v>36</v>
      </c>
      <c r="D198" s="49">
        <f>'дод 3'!E44</f>
        <v>6542500</v>
      </c>
      <c r="E198" s="49">
        <f>'дод 3'!F44</f>
        <v>0</v>
      </c>
      <c r="F198" s="49">
        <f>'дод 3'!G44</f>
        <v>0</v>
      </c>
      <c r="G198" s="49">
        <f>'дод 3'!H44</f>
        <v>0</v>
      </c>
      <c r="H198" s="49">
        <f>'дод 3'!I44</f>
        <v>6542500</v>
      </c>
      <c r="I198" s="49">
        <f>'дод 3'!J44</f>
        <v>0</v>
      </c>
      <c r="J198" s="49">
        <f>'дод 3'!K44</f>
        <v>0</v>
      </c>
      <c r="K198" s="49">
        <f>'дод 3'!L44</f>
        <v>0</v>
      </c>
      <c r="L198" s="49">
        <f>'дод 3'!M44</f>
        <v>0</v>
      </c>
      <c r="M198" s="49">
        <f>'дод 3'!N44</f>
        <v>0</v>
      </c>
      <c r="N198" s="49">
        <f>'дод 3'!O44</f>
        <v>0</v>
      </c>
      <c r="O198" s="49">
        <f>'дод 3'!P44</f>
        <v>6542500</v>
      </c>
    </row>
    <row r="199" spans="1:15" s="54" customFormat="1" ht="20.25" customHeight="1" x14ac:dyDescent="0.25">
      <c r="A199" s="37">
        <v>7413</v>
      </c>
      <c r="B199" s="37" t="s">
        <v>84</v>
      </c>
      <c r="C199" s="3" t="s">
        <v>375</v>
      </c>
      <c r="D199" s="49">
        <f>'дод 3'!E45</f>
        <v>12800000</v>
      </c>
      <c r="E199" s="49">
        <f>'дод 3'!F45</f>
        <v>0</v>
      </c>
      <c r="F199" s="49">
        <f>'дод 3'!G45</f>
        <v>0</v>
      </c>
      <c r="G199" s="49">
        <f>'дод 3'!H45</f>
        <v>0</v>
      </c>
      <c r="H199" s="49">
        <f>'дод 3'!I45</f>
        <v>12800000</v>
      </c>
      <c r="I199" s="49">
        <f>'дод 3'!J45</f>
        <v>0</v>
      </c>
      <c r="J199" s="49">
        <f>'дод 3'!K45</f>
        <v>0</v>
      </c>
      <c r="K199" s="49">
        <f>'дод 3'!L45</f>
        <v>0</v>
      </c>
      <c r="L199" s="49">
        <f>'дод 3'!M45</f>
        <v>0</v>
      </c>
      <c r="M199" s="49">
        <f>'дод 3'!N45</f>
        <v>0</v>
      </c>
      <c r="N199" s="49">
        <f>'дод 3'!O45</f>
        <v>0</v>
      </c>
      <c r="O199" s="49">
        <f>'дод 3'!P45</f>
        <v>12800000</v>
      </c>
    </row>
    <row r="200" spans="1:15" s="54" customFormat="1" ht="31.5" x14ac:dyDescent="0.25">
      <c r="A200" s="42">
        <v>7422</v>
      </c>
      <c r="B200" s="103" t="s">
        <v>413</v>
      </c>
      <c r="C200" s="104" t="s">
        <v>568</v>
      </c>
      <c r="D200" s="49">
        <f>'дод 3'!E46</f>
        <v>5893900</v>
      </c>
      <c r="E200" s="49">
        <f>'дод 3'!F46</f>
        <v>0</v>
      </c>
      <c r="F200" s="49">
        <f>'дод 3'!G46</f>
        <v>0</v>
      </c>
      <c r="G200" s="49">
        <f>'дод 3'!H46</f>
        <v>0</v>
      </c>
      <c r="H200" s="49">
        <f>'дод 3'!I46</f>
        <v>5893900</v>
      </c>
      <c r="I200" s="49">
        <f>'дод 3'!J46</f>
        <v>0</v>
      </c>
      <c r="J200" s="49">
        <f>'дод 3'!K46</f>
        <v>0</v>
      </c>
      <c r="K200" s="49">
        <f>'дод 3'!L46</f>
        <v>0</v>
      </c>
      <c r="L200" s="49">
        <f>'дод 3'!M46</f>
        <v>0</v>
      </c>
      <c r="M200" s="49">
        <f>'дод 3'!N46</f>
        <v>0</v>
      </c>
      <c r="N200" s="49">
        <f>'дод 3'!O46</f>
        <v>0</v>
      </c>
      <c r="O200" s="49">
        <f>'дод 3'!P46</f>
        <v>5893900</v>
      </c>
    </row>
    <row r="201" spans="1:15" s="54" customFormat="1" ht="24" customHeight="1" x14ac:dyDescent="0.25">
      <c r="A201" s="37">
        <v>7426</v>
      </c>
      <c r="B201" s="58" t="s">
        <v>413</v>
      </c>
      <c r="C201" s="3" t="s">
        <v>376</v>
      </c>
      <c r="D201" s="49">
        <f>'дод 3'!E47</f>
        <v>37442296</v>
      </c>
      <c r="E201" s="49">
        <f>'дод 3'!F47</f>
        <v>0</v>
      </c>
      <c r="F201" s="49">
        <f>'дод 3'!G47</f>
        <v>0</v>
      </c>
      <c r="G201" s="49">
        <f>'дод 3'!H47</f>
        <v>0</v>
      </c>
      <c r="H201" s="49">
        <f>'дод 3'!I47</f>
        <v>37442296</v>
      </c>
      <c r="I201" s="49">
        <f>'дод 3'!J47</f>
        <v>0</v>
      </c>
      <c r="J201" s="49">
        <f>'дод 3'!K47</f>
        <v>0</v>
      </c>
      <c r="K201" s="49">
        <f>'дод 3'!L47</f>
        <v>0</v>
      </c>
      <c r="L201" s="49">
        <f>'дод 3'!M47</f>
        <v>0</v>
      </c>
      <c r="M201" s="49">
        <f>'дод 3'!N47</f>
        <v>0</v>
      </c>
      <c r="N201" s="49">
        <f>'дод 3'!O47</f>
        <v>0</v>
      </c>
      <c r="O201" s="49">
        <f>'дод 3'!P47</f>
        <v>37442296</v>
      </c>
    </row>
    <row r="202" spans="1:15" s="54" customFormat="1" ht="53.25" hidden="1" customHeight="1" x14ac:dyDescent="0.25">
      <c r="A202" s="37">
        <v>7462</v>
      </c>
      <c r="B202" s="58" t="s">
        <v>400</v>
      </c>
      <c r="C202" s="3" t="s">
        <v>399</v>
      </c>
      <c r="D202" s="49">
        <f>'дод 3'!E250</f>
        <v>1527346</v>
      </c>
      <c r="E202" s="49">
        <f>'дод 3'!F250</f>
        <v>1527346</v>
      </c>
      <c r="F202" s="49">
        <f>'дод 3'!G250</f>
        <v>0</v>
      </c>
      <c r="G202" s="49">
        <f>'дод 3'!H250</f>
        <v>0</v>
      </c>
      <c r="H202" s="49">
        <f>'дод 3'!I250</f>
        <v>0</v>
      </c>
      <c r="I202" s="49">
        <f>'дод 3'!J250</f>
        <v>0</v>
      </c>
      <c r="J202" s="49">
        <f>'дод 3'!K250</f>
        <v>0</v>
      </c>
      <c r="K202" s="49">
        <f>'дод 3'!L250</f>
        <v>0</v>
      </c>
      <c r="L202" s="49">
        <f>'дод 3'!M250</f>
        <v>0</v>
      </c>
      <c r="M202" s="49">
        <f>'дод 3'!N250</f>
        <v>0</v>
      </c>
      <c r="N202" s="49">
        <f>'дод 3'!O250</f>
        <v>0</v>
      </c>
      <c r="O202" s="49">
        <f>'дод 3'!P250</f>
        <v>1527346</v>
      </c>
    </row>
    <row r="203" spans="1:15" s="54" customFormat="1" ht="94.5" hidden="1" customHeight="1" x14ac:dyDescent="0.25">
      <c r="A203" s="78"/>
      <c r="B203" s="78"/>
      <c r="C203" s="79" t="s">
        <v>397</v>
      </c>
      <c r="D203" s="80">
        <f>'дод 3'!E251</f>
        <v>0</v>
      </c>
      <c r="E203" s="80">
        <f>'дод 3'!F251</f>
        <v>0</v>
      </c>
      <c r="F203" s="80">
        <f>'дод 3'!G251</f>
        <v>0</v>
      </c>
      <c r="G203" s="80">
        <f>'дод 3'!H251</f>
        <v>0</v>
      </c>
      <c r="H203" s="80">
        <f>'дод 3'!I251</f>
        <v>0</v>
      </c>
      <c r="I203" s="80">
        <f>'дод 3'!J251</f>
        <v>0</v>
      </c>
      <c r="J203" s="80">
        <f>'дод 3'!K251</f>
        <v>0</v>
      </c>
      <c r="K203" s="80">
        <f>'дод 3'!L251</f>
        <v>0</v>
      </c>
      <c r="L203" s="80">
        <f>'дод 3'!M251</f>
        <v>0</v>
      </c>
      <c r="M203" s="80">
        <f>'дод 3'!N251</f>
        <v>0</v>
      </c>
      <c r="N203" s="80">
        <f>'дод 3'!O251</f>
        <v>0</v>
      </c>
      <c r="O203" s="80">
        <f>'дод 3'!P251</f>
        <v>0</v>
      </c>
    </row>
    <row r="204" spans="1:15" s="54" customFormat="1" ht="63" hidden="1" customHeight="1" x14ac:dyDescent="0.25">
      <c r="A204" s="78"/>
      <c r="B204" s="78"/>
      <c r="C204" s="79" t="s">
        <v>446</v>
      </c>
      <c r="D204" s="80">
        <f>'дод 3'!E252</f>
        <v>1527346</v>
      </c>
      <c r="E204" s="80">
        <f>'дод 3'!F252</f>
        <v>1527346</v>
      </c>
      <c r="F204" s="80">
        <f>'дод 3'!G252</f>
        <v>0</v>
      </c>
      <c r="G204" s="80">
        <f>'дод 3'!H252</f>
        <v>0</v>
      </c>
      <c r="H204" s="80">
        <f>'дод 3'!I252</f>
        <v>0</v>
      </c>
      <c r="I204" s="80">
        <f>'дод 3'!J252</f>
        <v>0</v>
      </c>
      <c r="J204" s="80">
        <f>'дод 3'!K252</f>
        <v>0</v>
      </c>
      <c r="K204" s="80">
        <f>'дод 3'!L252</f>
        <v>0</v>
      </c>
      <c r="L204" s="80">
        <f>'дод 3'!M252</f>
        <v>0</v>
      </c>
      <c r="M204" s="80">
        <f>'дод 3'!N252</f>
        <v>0</v>
      </c>
      <c r="N204" s="80">
        <f>'дод 3'!O252</f>
        <v>0</v>
      </c>
      <c r="O204" s="80">
        <f>'дод 3'!P252</f>
        <v>1527346</v>
      </c>
    </row>
    <row r="205" spans="1:15" s="54" customFormat="1" ht="18" customHeight="1" x14ac:dyDescent="0.25">
      <c r="A205" s="58" t="s">
        <v>455</v>
      </c>
      <c r="B205" s="58" t="s">
        <v>400</v>
      </c>
      <c r="C205" s="3" t="s">
        <v>461</v>
      </c>
      <c r="D205" s="49">
        <f>'дод 3'!E48</f>
        <v>140000</v>
      </c>
      <c r="E205" s="49">
        <f>'дод 3'!F48</f>
        <v>140000</v>
      </c>
      <c r="F205" s="49">
        <f>'дод 3'!G48</f>
        <v>0</v>
      </c>
      <c r="G205" s="49">
        <f>'дод 3'!H48</f>
        <v>0</v>
      </c>
      <c r="H205" s="49">
        <f>'дод 3'!I48</f>
        <v>0</v>
      </c>
      <c r="I205" s="49">
        <f>'дод 3'!J48</f>
        <v>0</v>
      </c>
      <c r="J205" s="49">
        <f>'дод 3'!K48</f>
        <v>0</v>
      </c>
      <c r="K205" s="49">
        <f>'дод 3'!L48</f>
        <v>0</v>
      </c>
      <c r="L205" s="49">
        <f>'дод 3'!M48</f>
        <v>0</v>
      </c>
      <c r="M205" s="49">
        <f>'дод 3'!N48</f>
        <v>0</v>
      </c>
      <c r="N205" s="49">
        <f>'дод 3'!O48</f>
        <v>0</v>
      </c>
      <c r="O205" s="49">
        <f>'дод 3'!P48</f>
        <v>140000</v>
      </c>
    </row>
    <row r="206" spans="1:15" s="54" customFormat="1" ht="54.75" customHeight="1" x14ac:dyDescent="0.25">
      <c r="A206" s="58" t="s">
        <v>542</v>
      </c>
      <c r="B206" s="58" t="s">
        <v>400</v>
      </c>
      <c r="C206" s="117" t="s">
        <v>399</v>
      </c>
      <c r="D206" s="49">
        <f>'дод 3'!E250</f>
        <v>1527346</v>
      </c>
      <c r="E206" s="49">
        <f>'дод 3'!F250</f>
        <v>1527346</v>
      </c>
      <c r="F206" s="49">
        <f>'дод 3'!G250</f>
        <v>0</v>
      </c>
      <c r="G206" s="49">
        <f>'дод 3'!H250</f>
        <v>0</v>
      </c>
      <c r="H206" s="49">
        <f>'дод 3'!I250</f>
        <v>0</v>
      </c>
      <c r="I206" s="49">
        <f>'дод 3'!J250</f>
        <v>0</v>
      </c>
      <c r="J206" s="49">
        <f>'дод 3'!K250</f>
        <v>0</v>
      </c>
      <c r="K206" s="49">
        <f>'дод 3'!L250</f>
        <v>0</v>
      </c>
      <c r="L206" s="49">
        <f>'дод 3'!M250</f>
        <v>0</v>
      </c>
      <c r="M206" s="49">
        <f>'дод 3'!N250</f>
        <v>0</v>
      </c>
      <c r="N206" s="49">
        <f>'дод 3'!O250</f>
        <v>0</v>
      </c>
      <c r="O206" s="49">
        <f>'дод 3'!P250</f>
        <v>1527346</v>
      </c>
    </row>
    <row r="207" spans="1:15" s="54" customFormat="1" ht="63" x14ac:dyDescent="0.25">
      <c r="A207" s="89"/>
      <c r="B207" s="89"/>
      <c r="C207" s="87" t="s">
        <v>540</v>
      </c>
      <c r="D207" s="80">
        <f>'дод 3'!E252</f>
        <v>1527346</v>
      </c>
      <c r="E207" s="80">
        <f>'дод 3'!F252</f>
        <v>1527346</v>
      </c>
      <c r="F207" s="80">
        <f>'дод 3'!G252</f>
        <v>0</v>
      </c>
      <c r="G207" s="80">
        <f>'дод 3'!H252</f>
        <v>0</v>
      </c>
      <c r="H207" s="80">
        <f>'дод 3'!I252</f>
        <v>0</v>
      </c>
      <c r="I207" s="80">
        <f>'дод 3'!J252</f>
        <v>0</v>
      </c>
      <c r="J207" s="80">
        <f>'дод 3'!K252</f>
        <v>0</v>
      </c>
      <c r="K207" s="80">
        <f>'дод 3'!L252</f>
        <v>0</v>
      </c>
      <c r="L207" s="80">
        <f>'дод 3'!M252</f>
        <v>0</v>
      </c>
      <c r="M207" s="80">
        <f>'дод 3'!N252</f>
        <v>0</v>
      </c>
      <c r="N207" s="80">
        <f>'дод 3'!O252</f>
        <v>0</v>
      </c>
      <c r="O207" s="80">
        <f>'дод 3'!P252</f>
        <v>1527346</v>
      </c>
    </row>
    <row r="208" spans="1:15" ht="49.5" customHeight="1" x14ac:dyDescent="0.25">
      <c r="A208" s="58" t="s">
        <v>600</v>
      </c>
      <c r="B208" s="59" t="s">
        <v>400</v>
      </c>
      <c r="C208" s="117" t="s">
        <v>590</v>
      </c>
      <c r="D208" s="49">
        <f>'дод 3'!E253</f>
        <v>200000</v>
      </c>
      <c r="E208" s="49">
        <f>'дод 3'!F253</f>
        <v>200000</v>
      </c>
      <c r="F208" s="49">
        <f>'дод 3'!G253</f>
        <v>0</v>
      </c>
      <c r="G208" s="49">
        <f>'дод 3'!H253</f>
        <v>0</v>
      </c>
      <c r="H208" s="49">
        <f>'дод 3'!I253</f>
        <v>0</v>
      </c>
      <c r="I208" s="49">
        <f>'дод 3'!J253</f>
        <v>0</v>
      </c>
      <c r="J208" s="49">
        <f>'дод 3'!K253</f>
        <v>0</v>
      </c>
      <c r="K208" s="49">
        <f>'дод 3'!L253</f>
        <v>0</v>
      </c>
      <c r="L208" s="49">
        <f>'дод 3'!M253</f>
        <v>0</v>
      </c>
      <c r="M208" s="49">
        <f>'дод 3'!N253</f>
        <v>0</v>
      </c>
      <c r="N208" s="49">
        <f>'дод 3'!O253</f>
        <v>0</v>
      </c>
      <c r="O208" s="49">
        <f>'дод 3'!P253</f>
        <v>200000</v>
      </c>
    </row>
    <row r="209" spans="1:15" s="54" customFormat="1" x14ac:dyDescent="0.25">
      <c r="A209" s="89"/>
      <c r="B209" s="89"/>
      <c r="C209" s="85" t="s">
        <v>393</v>
      </c>
      <c r="D209" s="80">
        <f>'дод 3'!E254</f>
        <v>200000</v>
      </c>
      <c r="E209" s="80">
        <f>'дод 3'!F254</f>
        <v>200000</v>
      </c>
      <c r="F209" s="80">
        <f>'дод 3'!G254</f>
        <v>0</v>
      </c>
      <c r="G209" s="80">
        <f>'дод 3'!H254</f>
        <v>0</v>
      </c>
      <c r="H209" s="80">
        <f>'дод 3'!I254</f>
        <v>0</v>
      </c>
      <c r="I209" s="80">
        <f>'дод 3'!J254</f>
        <v>0</v>
      </c>
      <c r="J209" s="80">
        <f>'дод 3'!K254</f>
        <v>0</v>
      </c>
      <c r="K209" s="80">
        <f>'дод 3'!L254</f>
        <v>0</v>
      </c>
      <c r="L209" s="80">
        <f>'дод 3'!M254</f>
        <v>0</v>
      </c>
      <c r="M209" s="80">
        <f>'дод 3'!N254</f>
        <v>0</v>
      </c>
      <c r="N209" s="80">
        <f>'дод 3'!O254</f>
        <v>0</v>
      </c>
      <c r="O209" s="80">
        <f>'дод 3'!P254</f>
        <v>200000</v>
      </c>
    </row>
    <row r="210" spans="1:15" s="52" customFormat="1" ht="18.75" customHeight="1" x14ac:dyDescent="0.25">
      <c r="A210" s="39" t="s">
        <v>237</v>
      </c>
      <c r="B210" s="41"/>
      <c r="C210" s="2" t="s">
        <v>238</v>
      </c>
      <c r="D210" s="48">
        <f>D211</f>
        <v>6490000</v>
      </c>
      <c r="E210" s="48">
        <f t="shared" ref="E210:O210" si="42">E211</f>
        <v>6490000</v>
      </c>
      <c r="F210" s="48">
        <f t="shared" si="42"/>
        <v>0</v>
      </c>
      <c r="G210" s="48">
        <f t="shared" si="42"/>
        <v>0</v>
      </c>
      <c r="H210" s="48">
        <f t="shared" si="42"/>
        <v>0</v>
      </c>
      <c r="I210" s="48">
        <f t="shared" si="42"/>
        <v>3910000</v>
      </c>
      <c r="J210" s="48">
        <f t="shared" si="42"/>
        <v>3910000</v>
      </c>
      <c r="K210" s="48">
        <f t="shared" si="42"/>
        <v>0</v>
      </c>
      <c r="L210" s="48">
        <f t="shared" si="42"/>
        <v>0</v>
      </c>
      <c r="M210" s="48">
        <f t="shared" si="42"/>
        <v>0</v>
      </c>
      <c r="N210" s="48">
        <f t="shared" si="42"/>
        <v>3910000</v>
      </c>
      <c r="O210" s="48">
        <f t="shared" si="42"/>
        <v>10400000</v>
      </c>
    </row>
    <row r="211" spans="1:15" ht="37.5" customHeight="1" x14ac:dyDescent="0.25">
      <c r="A211" s="40" t="s">
        <v>235</v>
      </c>
      <c r="B211" s="40" t="s">
        <v>236</v>
      </c>
      <c r="C211" s="11" t="s">
        <v>234</v>
      </c>
      <c r="D211" s="49">
        <f>'дод 3'!E49+'дод 3'!E255</f>
        <v>6490000</v>
      </c>
      <c r="E211" s="49">
        <f>'дод 3'!F49+'дод 3'!F255</f>
        <v>6490000</v>
      </c>
      <c r="F211" s="49">
        <f>'дод 3'!G49+'дод 3'!G255</f>
        <v>0</v>
      </c>
      <c r="G211" s="49">
        <f>'дод 3'!H49+'дод 3'!H255</f>
        <v>0</v>
      </c>
      <c r="H211" s="49">
        <f>'дод 3'!I49+'дод 3'!I255</f>
        <v>0</v>
      </c>
      <c r="I211" s="49">
        <f>'дод 3'!J49+'дод 3'!J255</f>
        <v>3910000</v>
      </c>
      <c r="J211" s="49">
        <f>'дод 3'!K49+'дод 3'!K255</f>
        <v>3910000</v>
      </c>
      <c r="K211" s="49">
        <f>'дод 3'!L49+'дод 3'!L255</f>
        <v>0</v>
      </c>
      <c r="L211" s="49">
        <f>'дод 3'!M49+'дод 3'!M255</f>
        <v>0</v>
      </c>
      <c r="M211" s="49">
        <f>'дод 3'!N49+'дод 3'!N255</f>
        <v>0</v>
      </c>
      <c r="N211" s="49">
        <f>'дод 3'!O49+'дод 3'!O255</f>
        <v>3910000</v>
      </c>
      <c r="O211" s="49">
        <f>'дод 3'!P49+'дод 3'!P255</f>
        <v>10400000</v>
      </c>
    </row>
    <row r="212" spans="1:15" s="52" customFormat="1" ht="31.5" customHeight="1" x14ac:dyDescent="0.25">
      <c r="A212" s="38" t="s">
        <v>88</v>
      </c>
      <c r="B212" s="41"/>
      <c r="C212" s="2" t="s">
        <v>421</v>
      </c>
      <c r="D212" s="48">
        <f>D214+D215+D217+D218+D219+D221+D222+D223</f>
        <v>6099419.5499999998</v>
      </c>
      <c r="E212" s="48">
        <f t="shared" ref="E212:O212" si="43">E214+E215+E217+E218+E219+E221+E222+E223</f>
        <v>4701509.55</v>
      </c>
      <c r="F212" s="48">
        <f t="shared" si="43"/>
        <v>0</v>
      </c>
      <c r="G212" s="48">
        <f t="shared" si="43"/>
        <v>0</v>
      </c>
      <c r="H212" s="48">
        <f t="shared" si="43"/>
        <v>1397910</v>
      </c>
      <c r="I212" s="48">
        <f t="shared" si="43"/>
        <v>196071234.44</v>
      </c>
      <c r="J212" s="48">
        <f t="shared" si="43"/>
        <v>179741262.56999999</v>
      </c>
      <c r="K212" s="48">
        <f t="shared" si="43"/>
        <v>2948437.8699999996</v>
      </c>
      <c r="L212" s="48">
        <f t="shared" si="43"/>
        <v>0</v>
      </c>
      <c r="M212" s="48">
        <f t="shared" si="43"/>
        <v>0</v>
      </c>
      <c r="N212" s="48">
        <f t="shared" si="43"/>
        <v>193122796.56999999</v>
      </c>
      <c r="O212" s="48">
        <f t="shared" si="43"/>
        <v>202170653.98999998</v>
      </c>
    </row>
    <row r="213" spans="1:15" s="53" customFormat="1" ht="16.5" customHeight="1" x14ac:dyDescent="0.25">
      <c r="A213" s="71"/>
      <c r="B213" s="71"/>
      <c r="C213" s="83" t="s">
        <v>419</v>
      </c>
      <c r="D213" s="76">
        <f>D216+D220</f>
        <v>0</v>
      </c>
      <c r="E213" s="76">
        <f t="shared" ref="E213:O213" si="44">E216+E220</f>
        <v>0</v>
      </c>
      <c r="F213" s="76">
        <f t="shared" si="44"/>
        <v>0</v>
      </c>
      <c r="G213" s="76">
        <f t="shared" si="44"/>
        <v>0</v>
      </c>
      <c r="H213" s="76">
        <f t="shared" si="44"/>
        <v>0</v>
      </c>
      <c r="I213" s="76">
        <f t="shared" si="44"/>
        <v>127771665.12</v>
      </c>
      <c r="J213" s="76">
        <f t="shared" si="44"/>
        <v>127771665.12</v>
      </c>
      <c r="K213" s="76">
        <f t="shared" si="44"/>
        <v>0</v>
      </c>
      <c r="L213" s="76">
        <f t="shared" si="44"/>
        <v>0</v>
      </c>
      <c r="M213" s="76">
        <f t="shared" si="44"/>
        <v>0</v>
      </c>
      <c r="N213" s="76">
        <f t="shared" si="44"/>
        <v>127771665.12</v>
      </c>
      <c r="O213" s="76">
        <f t="shared" si="44"/>
        <v>127771665.12</v>
      </c>
    </row>
    <row r="214" spans="1:15" ht="32.25" customHeight="1" x14ac:dyDescent="0.25">
      <c r="A214" s="37" t="s">
        <v>4</v>
      </c>
      <c r="B214" s="37" t="s">
        <v>87</v>
      </c>
      <c r="C214" s="3" t="s">
        <v>23</v>
      </c>
      <c r="D214" s="49">
        <f>'дод 3'!E50+'дод 3'!E302</f>
        <v>372000</v>
      </c>
      <c r="E214" s="49">
        <f>'дод 3'!F50+'дод 3'!F302</f>
        <v>372000</v>
      </c>
      <c r="F214" s="49">
        <f>'дод 3'!G50+'дод 3'!G302</f>
        <v>0</v>
      </c>
      <c r="G214" s="49">
        <f>'дод 3'!H50+'дод 3'!H302</f>
        <v>0</v>
      </c>
      <c r="H214" s="49">
        <f>'дод 3'!I50+'дод 3'!I302</f>
        <v>0</v>
      </c>
      <c r="I214" s="49">
        <f>'дод 3'!J50+'дод 3'!J302</f>
        <v>0</v>
      </c>
      <c r="J214" s="49">
        <f>'дод 3'!K50+'дод 3'!K302</f>
        <v>0</v>
      </c>
      <c r="K214" s="49">
        <f>'дод 3'!L50+'дод 3'!L302</f>
        <v>0</v>
      </c>
      <c r="L214" s="49">
        <f>'дод 3'!M50+'дод 3'!M302</f>
        <v>0</v>
      </c>
      <c r="M214" s="49">
        <f>'дод 3'!N50+'дод 3'!N302</f>
        <v>0</v>
      </c>
      <c r="N214" s="49">
        <f>'дод 3'!O50+'дод 3'!O302</f>
        <v>0</v>
      </c>
      <c r="O214" s="49">
        <f>'дод 3'!P50+'дод 3'!P302</f>
        <v>372000</v>
      </c>
    </row>
    <row r="215" spans="1:15" ht="20.25" customHeight="1" x14ac:dyDescent="0.25">
      <c r="A215" s="37" t="s">
        <v>2</v>
      </c>
      <c r="B215" s="37" t="s">
        <v>86</v>
      </c>
      <c r="C215" s="3" t="s">
        <v>418</v>
      </c>
      <c r="D215" s="49">
        <f>'дод 3'!E120+'дод 3'!E157+'дод 3'!E219+'дод 3'!E256+'дод 3'!E284+'дод 3'!E312</f>
        <v>3645986.55</v>
      </c>
      <c r="E215" s="49">
        <f>'дод 3'!F120+'дод 3'!F157+'дод 3'!F219+'дод 3'!F256+'дод 3'!F284+'дод 3'!F312</f>
        <v>2248076.5499999998</v>
      </c>
      <c r="F215" s="49">
        <f>'дод 3'!G120+'дод 3'!G157+'дод 3'!G219+'дод 3'!G256+'дод 3'!G284+'дод 3'!G312</f>
        <v>0</v>
      </c>
      <c r="G215" s="49">
        <f>'дод 3'!H120+'дод 3'!H157+'дод 3'!H219+'дод 3'!H256+'дод 3'!H284+'дод 3'!H312</f>
        <v>0</v>
      </c>
      <c r="H215" s="49">
        <f>'дод 3'!I120+'дод 3'!I157+'дод 3'!I219+'дод 3'!I256+'дод 3'!I284+'дод 3'!I312</f>
        <v>1397910</v>
      </c>
      <c r="I215" s="49">
        <f>'дод 3'!J120+'дод 3'!J157+'дод 3'!J219+'дод 3'!J256+'дод 3'!J284+'дод 3'!J312</f>
        <v>145362296.56999999</v>
      </c>
      <c r="J215" s="49">
        <f>'дод 3'!K120+'дод 3'!K157+'дод 3'!K219+'дод 3'!K256+'дод 3'!K284+'дод 3'!K312</f>
        <v>133888362.57000001</v>
      </c>
      <c r="K215" s="49">
        <f>'дод 3'!L120+'дод 3'!L157+'дод 3'!L219+'дод 3'!L256+'дод 3'!L284+'дод 3'!L312</f>
        <v>0</v>
      </c>
      <c r="L215" s="49">
        <f>'дод 3'!M120+'дод 3'!M157+'дод 3'!M219+'дод 3'!M256+'дод 3'!M284+'дод 3'!M312</f>
        <v>0</v>
      </c>
      <c r="M215" s="49">
        <f>'дод 3'!N120+'дод 3'!N157+'дод 3'!N219+'дод 3'!N256+'дод 3'!N284+'дод 3'!N312</f>
        <v>0</v>
      </c>
      <c r="N215" s="49">
        <f>'дод 3'!O120+'дод 3'!O157+'дод 3'!O219+'дод 3'!O256+'дод 3'!O284+'дод 3'!O312</f>
        <v>145362296.56999999</v>
      </c>
      <c r="O215" s="49">
        <f>'дод 3'!P120+'дод 3'!P157+'дод 3'!P219+'дод 3'!P256+'дод 3'!P284+'дод 3'!P312</f>
        <v>149008283.11999997</v>
      </c>
    </row>
    <row r="216" spans="1:15" s="54" customFormat="1" ht="17.25" customHeight="1" x14ac:dyDescent="0.25">
      <c r="A216" s="78"/>
      <c r="B216" s="78"/>
      <c r="C216" s="85" t="s">
        <v>419</v>
      </c>
      <c r="D216" s="80">
        <f>'дод 3'!E158+'дод 3'!E285</f>
        <v>0</v>
      </c>
      <c r="E216" s="80">
        <f>'дод 3'!F158+'дод 3'!F285</f>
        <v>0</v>
      </c>
      <c r="F216" s="80">
        <f>'дод 3'!G158+'дод 3'!G285</f>
        <v>0</v>
      </c>
      <c r="G216" s="80">
        <f>'дод 3'!H158+'дод 3'!H285</f>
        <v>0</v>
      </c>
      <c r="H216" s="80">
        <f>'дод 3'!I158+'дод 3'!I285</f>
        <v>0</v>
      </c>
      <c r="I216" s="80">
        <f>'дод 3'!J158+'дод 3'!J285</f>
        <v>101521665.12</v>
      </c>
      <c r="J216" s="80">
        <f>'дод 3'!K158+'дод 3'!K285</f>
        <v>101521665.12</v>
      </c>
      <c r="K216" s="80">
        <f>'дод 3'!L158+'дод 3'!L285</f>
        <v>0</v>
      </c>
      <c r="L216" s="80">
        <f>'дод 3'!M158+'дод 3'!M285</f>
        <v>0</v>
      </c>
      <c r="M216" s="80">
        <f>'дод 3'!N158+'дод 3'!N285</f>
        <v>0</v>
      </c>
      <c r="N216" s="80">
        <f>'дод 3'!O158+'дод 3'!O285</f>
        <v>101521665.12</v>
      </c>
      <c r="O216" s="80">
        <f>'дод 3'!P158+'дод 3'!P285</f>
        <v>101521665.12</v>
      </c>
    </row>
    <row r="217" spans="1:15" ht="33.75" customHeight="1" x14ac:dyDescent="0.25">
      <c r="A217" s="37" t="s">
        <v>267</v>
      </c>
      <c r="B217" s="37" t="s">
        <v>82</v>
      </c>
      <c r="C217" s="3" t="s">
        <v>346</v>
      </c>
      <c r="D217" s="49">
        <f>'дод 3'!E303</f>
        <v>0</v>
      </c>
      <c r="E217" s="49">
        <f>'дод 3'!F303</f>
        <v>0</v>
      </c>
      <c r="F217" s="49">
        <f>'дод 3'!G303</f>
        <v>0</v>
      </c>
      <c r="G217" s="49">
        <f>'дод 3'!H303</f>
        <v>0</v>
      </c>
      <c r="H217" s="49">
        <f>'дод 3'!I303</f>
        <v>0</v>
      </c>
      <c r="I217" s="49">
        <f>'дод 3'!J303</f>
        <v>20000</v>
      </c>
      <c r="J217" s="49">
        <f>'дод 3'!K303</f>
        <v>20000</v>
      </c>
      <c r="K217" s="49">
        <f>'дод 3'!L303</f>
        <v>0</v>
      </c>
      <c r="L217" s="49">
        <f>'дод 3'!M303</f>
        <v>0</v>
      </c>
      <c r="M217" s="49">
        <f>'дод 3'!N303</f>
        <v>0</v>
      </c>
      <c r="N217" s="49">
        <f>'дод 3'!O303</f>
        <v>20000</v>
      </c>
      <c r="O217" s="49">
        <f>'дод 3'!P303</f>
        <v>20000</v>
      </c>
    </row>
    <row r="218" spans="1:15" ht="67.5" customHeight="1" x14ac:dyDescent="0.25">
      <c r="A218" s="37" t="s">
        <v>269</v>
      </c>
      <c r="B218" s="37" t="s">
        <v>82</v>
      </c>
      <c r="C218" s="3" t="s">
        <v>270</v>
      </c>
      <c r="D218" s="49">
        <f>'дод 3'!E304</f>
        <v>0</v>
      </c>
      <c r="E218" s="49">
        <f>'дод 3'!F304</f>
        <v>0</v>
      </c>
      <c r="F218" s="49">
        <f>'дод 3'!G304</f>
        <v>0</v>
      </c>
      <c r="G218" s="49">
        <f>'дод 3'!H304</f>
        <v>0</v>
      </c>
      <c r="H218" s="49">
        <f>'дод 3'!I304</f>
        <v>0</v>
      </c>
      <c r="I218" s="49">
        <f>'дод 3'!J304</f>
        <v>45000</v>
      </c>
      <c r="J218" s="49">
        <f>'дод 3'!K304</f>
        <v>45000</v>
      </c>
      <c r="K218" s="49">
        <f>'дод 3'!L304</f>
        <v>0</v>
      </c>
      <c r="L218" s="49">
        <f>'дод 3'!M304</f>
        <v>0</v>
      </c>
      <c r="M218" s="49">
        <f>'дод 3'!N304</f>
        <v>0</v>
      </c>
      <c r="N218" s="49">
        <f>'дод 3'!O304</f>
        <v>45000</v>
      </c>
      <c r="O218" s="49">
        <f>'дод 3'!P304</f>
        <v>45000</v>
      </c>
    </row>
    <row r="219" spans="1:15" ht="30.75" customHeight="1" x14ac:dyDescent="0.25">
      <c r="A219" s="37" t="s">
        <v>5</v>
      </c>
      <c r="B219" s="37" t="s">
        <v>82</v>
      </c>
      <c r="C219" s="3" t="s">
        <v>467</v>
      </c>
      <c r="D219" s="49">
        <f>'дод 3'!E51+'дод 3'!E257</f>
        <v>0</v>
      </c>
      <c r="E219" s="49">
        <f>'дод 3'!F51+'дод 3'!F257</f>
        <v>0</v>
      </c>
      <c r="F219" s="49">
        <f>'дод 3'!G51+'дод 3'!G257</f>
        <v>0</v>
      </c>
      <c r="G219" s="49">
        <f>'дод 3'!H51+'дод 3'!H257</f>
        <v>0</v>
      </c>
      <c r="H219" s="49">
        <f>'дод 3'!I51+'дод 3'!I257</f>
        <v>0</v>
      </c>
      <c r="I219" s="49">
        <f>'дод 3'!J51+'дод 3'!J257</f>
        <v>45787900</v>
      </c>
      <c r="J219" s="49">
        <f>'дод 3'!K51+'дод 3'!K257</f>
        <v>45787900</v>
      </c>
      <c r="K219" s="49">
        <f>'дод 3'!L51+'дод 3'!L257</f>
        <v>0</v>
      </c>
      <c r="L219" s="49">
        <f>'дод 3'!M51+'дод 3'!M257</f>
        <v>0</v>
      </c>
      <c r="M219" s="49">
        <f>'дод 3'!N51+'дод 3'!N257</f>
        <v>0</v>
      </c>
      <c r="N219" s="49">
        <f>'дод 3'!O51+'дод 3'!O257</f>
        <v>45787900</v>
      </c>
      <c r="O219" s="49">
        <f>'дод 3'!P51+'дод 3'!P257</f>
        <v>45787900</v>
      </c>
    </row>
    <row r="220" spans="1:15" ht="16.5" customHeight="1" x14ac:dyDescent="0.25">
      <c r="A220" s="37"/>
      <c r="B220" s="37"/>
      <c r="C220" s="85" t="s">
        <v>419</v>
      </c>
      <c r="D220" s="49">
        <f>'дод 3'!E258</f>
        <v>0</v>
      </c>
      <c r="E220" s="49">
        <f>'дод 3'!F258</f>
        <v>0</v>
      </c>
      <c r="F220" s="49">
        <f>'дод 3'!G258</f>
        <v>0</v>
      </c>
      <c r="G220" s="49">
        <f>'дод 3'!H258</f>
        <v>0</v>
      </c>
      <c r="H220" s="49">
        <f>'дод 3'!I258</f>
        <v>0</v>
      </c>
      <c r="I220" s="49">
        <f>'дод 3'!J258</f>
        <v>26250000</v>
      </c>
      <c r="J220" s="49">
        <f>'дод 3'!K258</f>
        <v>26250000</v>
      </c>
      <c r="K220" s="49">
        <f>'дод 3'!L258</f>
        <v>0</v>
      </c>
      <c r="L220" s="49">
        <f>'дод 3'!M258</f>
        <v>0</v>
      </c>
      <c r="M220" s="49">
        <f>'дод 3'!N258</f>
        <v>0</v>
      </c>
      <c r="N220" s="49">
        <f>'дод 3'!O258</f>
        <v>26250000</v>
      </c>
      <c r="O220" s="49">
        <f>'дод 3'!P258</f>
        <v>26250000</v>
      </c>
    </row>
    <row r="221" spans="1:15" ht="36.75" customHeight="1" x14ac:dyDescent="0.25">
      <c r="A221" s="37" t="s">
        <v>248</v>
      </c>
      <c r="B221" s="37" t="s">
        <v>82</v>
      </c>
      <c r="C221" s="3" t="s">
        <v>249</v>
      </c>
      <c r="D221" s="49">
        <f>'дод 3'!E52</f>
        <v>356337</v>
      </c>
      <c r="E221" s="49">
        <f>'дод 3'!F52</f>
        <v>356337</v>
      </c>
      <c r="F221" s="49">
        <f>'дод 3'!G52</f>
        <v>0</v>
      </c>
      <c r="G221" s="49">
        <f>'дод 3'!H52</f>
        <v>0</v>
      </c>
      <c r="H221" s="49">
        <f>'дод 3'!I52</f>
        <v>0</v>
      </c>
      <c r="I221" s="49">
        <f>'дод 3'!J52</f>
        <v>0</v>
      </c>
      <c r="J221" s="49">
        <f>'дод 3'!K52</f>
        <v>0</v>
      </c>
      <c r="K221" s="49">
        <f>'дод 3'!L52</f>
        <v>0</v>
      </c>
      <c r="L221" s="49">
        <f>'дод 3'!M52</f>
        <v>0</v>
      </c>
      <c r="M221" s="49">
        <f>'дод 3'!N52</f>
        <v>0</v>
      </c>
      <c r="N221" s="49">
        <f>'дод 3'!O52</f>
        <v>0</v>
      </c>
      <c r="O221" s="49">
        <f>'дод 3'!P52</f>
        <v>356337</v>
      </c>
    </row>
    <row r="222" spans="1:15" s="54" customFormat="1" ht="117" customHeight="1" x14ac:dyDescent="0.25">
      <c r="A222" s="37" t="s">
        <v>296</v>
      </c>
      <c r="B222" s="37" t="s">
        <v>82</v>
      </c>
      <c r="C222" s="3" t="s">
        <v>314</v>
      </c>
      <c r="D222" s="49">
        <f>'дод 3'!E53+'дод 3'!E259+'дод 3'!E286+'дод 3'!E294</f>
        <v>0</v>
      </c>
      <c r="E222" s="49">
        <f>'дод 3'!F53+'дод 3'!F259+'дод 3'!F286+'дод 3'!F294</f>
        <v>0</v>
      </c>
      <c r="F222" s="49">
        <f>'дод 3'!G53+'дод 3'!G259+'дод 3'!G286+'дод 3'!G294</f>
        <v>0</v>
      </c>
      <c r="G222" s="49">
        <f>'дод 3'!H53+'дод 3'!H259+'дод 3'!H286+'дод 3'!H294</f>
        <v>0</v>
      </c>
      <c r="H222" s="49">
        <f>'дод 3'!I53+'дод 3'!I259+'дод 3'!I286+'дод 3'!I294</f>
        <v>0</v>
      </c>
      <c r="I222" s="49">
        <f>'дод 3'!J53+'дод 3'!J259+'дод 3'!J286+'дод 3'!J294</f>
        <v>4856037.8699999992</v>
      </c>
      <c r="J222" s="49">
        <f>'дод 3'!K53+'дод 3'!K259+'дод 3'!K286+'дод 3'!K294</f>
        <v>0</v>
      </c>
      <c r="K222" s="49">
        <f>'дод 3'!L53+'дод 3'!L259+'дод 3'!L286+'дод 3'!L294</f>
        <v>2948437.8699999996</v>
      </c>
      <c r="L222" s="49">
        <f>'дод 3'!M53+'дод 3'!M259+'дод 3'!M286+'дод 3'!M294</f>
        <v>0</v>
      </c>
      <c r="M222" s="49">
        <f>'дод 3'!N53+'дод 3'!N259+'дод 3'!N286+'дод 3'!N294</f>
        <v>0</v>
      </c>
      <c r="N222" s="49">
        <f>'дод 3'!O53+'дод 3'!O259+'дод 3'!O286+'дод 3'!O294</f>
        <v>1907600</v>
      </c>
      <c r="O222" s="49">
        <f>'дод 3'!P53+'дод 3'!P259+'дод 3'!P286+'дод 3'!P294</f>
        <v>4856037.8699999992</v>
      </c>
    </row>
    <row r="223" spans="1:15" s="54" customFormat="1" ht="23.25" customHeight="1" x14ac:dyDescent="0.25">
      <c r="A223" s="37" t="s">
        <v>239</v>
      </c>
      <c r="B223" s="37" t="s">
        <v>82</v>
      </c>
      <c r="C223" s="3" t="s">
        <v>17</v>
      </c>
      <c r="D223" s="49">
        <f>'дод 3'!E54+'дод 3'!E305+'дод 3'!E313</f>
        <v>1725096</v>
      </c>
      <c r="E223" s="49">
        <f>'дод 3'!F54+'дод 3'!F305+'дод 3'!F313</f>
        <v>1725096</v>
      </c>
      <c r="F223" s="49">
        <f>'дод 3'!G54+'дод 3'!G305+'дод 3'!G313</f>
        <v>0</v>
      </c>
      <c r="G223" s="49">
        <f>'дод 3'!H54+'дод 3'!H305+'дод 3'!H313</f>
        <v>0</v>
      </c>
      <c r="H223" s="49">
        <f>'дод 3'!I54+'дод 3'!I305+'дод 3'!I313</f>
        <v>0</v>
      </c>
      <c r="I223" s="49">
        <f>'дод 3'!J54+'дод 3'!J305+'дод 3'!J313</f>
        <v>0</v>
      </c>
      <c r="J223" s="49">
        <f>'дод 3'!K54+'дод 3'!K305+'дод 3'!K313</f>
        <v>0</v>
      </c>
      <c r="K223" s="49">
        <f>'дод 3'!L54+'дод 3'!L305+'дод 3'!L313</f>
        <v>0</v>
      </c>
      <c r="L223" s="49">
        <f>'дод 3'!M54+'дод 3'!M305+'дод 3'!M313</f>
        <v>0</v>
      </c>
      <c r="M223" s="49">
        <f>'дод 3'!N54+'дод 3'!N305+'дод 3'!N313</f>
        <v>0</v>
      </c>
      <c r="N223" s="49">
        <f>'дод 3'!O54+'дод 3'!O305+'дод 3'!O313</f>
        <v>0</v>
      </c>
      <c r="O223" s="49">
        <f>'дод 3'!P54+'дод 3'!P305+'дод 3'!P313</f>
        <v>1725096</v>
      </c>
    </row>
    <row r="224" spans="1:15" s="53" customFormat="1" ht="48.75" customHeight="1" x14ac:dyDescent="0.25">
      <c r="A224" s="38">
        <v>7700</v>
      </c>
      <c r="B224" s="38"/>
      <c r="C224" s="91" t="s">
        <v>362</v>
      </c>
      <c r="D224" s="48">
        <f>D225</f>
        <v>0</v>
      </c>
      <c r="E224" s="48">
        <f t="shared" ref="E224:O224" si="45">E225</f>
        <v>0</v>
      </c>
      <c r="F224" s="48">
        <f t="shared" si="45"/>
        <v>0</v>
      </c>
      <c r="G224" s="48">
        <f t="shared" si="45"/>
        <v>0</v>
      </c>
      <c r="H224" s="48">
        <f t="shared" si="45"/>
        <v>0</v>
      </c>
      <c r="I224" s="48">
        <f t="shared" si="45"/>
        <v>630000</v>
      </c>
      <c r="J224" s="48">
        <f t="shared" si="45"/>
        <v>0</v>
      </c>
      <c r="K224" s="48">
        <f t="shared" si="45"/>
        <v>0</v>
      </c>
      <c r="L224" s="48">
        <f t="shared" si="45"/>
        <v>0</v>
      </c>
      <c r="M224" s="48">
        <f t="shared" si="45"/>
        <v>0</v>
      </c>
      <c r="N224" s="48">
        <f t="shared" si="45"/>
        <v>630000</v>
      </c>
      <c r="O224" s="48">
        <f t="shared" si="45"/>
        <v>630000</v>
      </c>
    </row>
    <row r="225" spans="1:15" s="54" customFormat="1" ht="46.5" customHeight="1" x14ac:dyDescent="0.25">
      <c r="A225" s="37">
        <v>7700</v>
      </c>
      <c r="B225" s="58" t="s">
        <v>93</v>
      </c>
      <c r="C225" s="60" t="s">
        <v>362</v>
      </c>
      <c r="D225" s="49">
        <f>'дод 3'!E121</f>
        <v>0</v>
      </c>
      <c r="E225" s="49">
        <f>'дод 3'!F121</f>
        <v>0</v>
      </c>
      <c r="F225" s="49">
        <f>'дод 3'!G121</f>
        <v>0</v>
      </c>
      <c r="G225" s="49">
        <f>'дод 3'!H121</f>
        <v>0</v>
      </c>
      <c r="H225" s="49">
        <f>'дод 3'!I121</f>
        <v>0</v>
      </c>
      <c r="I225" s="49">
        <f>'дод 3'!J121</f>
        <v>630000</v>
      </c>
      <c r="J225" s="49">
        <f>'дод 3'!K121</f>
        <v>0</v>
      </c>
      <c r="K225" s="49">
        <f>'дод 3'!L121</f>
        <v>0</v>
      </c>
      <c r="L225" s="49">
        <f>'дод 3'!M121</f>
        <v>0</v>
      </c>
      <c r="M225" s="49">
        <f>'дод 3'!N121</f>
        <v>0</v>
      </c>
      <c r="N225" s="49">
        <f>'дод 3'!O121</f>
        <v>630000</v>
      </c>
      <c r="O225" s="49">
        <f>'дод 3'!P121</f>
        <v>630000</v>
      </c>
    </row>
    <row r="226" spans="1:15" s="52" customFormat="1" ht="30.75" customHeight="1" x14ac:dyDescent="0.25">
      <c r="A226" s="38" t="s">
        <v>94</v>
      </c>
      <c r="B226" s="39"/>
      <c r="C226" s="2" t="s">
        <v>588</v>
      </c>
      <c r="D226" s="48">
        <f>D228+D233+D235+D238+D240+D241</f>
        <v>23740740.649999999</v>
      </c>
      <c r="E226" s="48">
        <f t="shared" ref="E226:O226" si="46">E228+E233+E235+E238+E240+E241</f>
        <v>5112081.21</v>
      </c>
      <c r="F226" s="48">
        <f t="shared" si="46"/>
        <v>1906900</v>
      </c>
      <c r="G226" s="48">
        <f t="shared" si="46"/>
        <v>372947</v>
      </c>
      <c r="H226" s="48">
        <f t="shared" si="46"/>
        <v>0</v>
      </c>
      <c r="I226" s="48">
        <f t="shared" si="46"/>
        <v>5730564.6600000001</v>
      </c>
      <c r="J226" s="48">
        <f t="shared" si="46"/>
        <v>1398264.66</v>
      </c>
      <c r="K226" s="48">
        <f t="shared" si="46"/>
        <v>2982400</v>
      </c>
      <c r="L226" s="48">
        <f t="shared" si="46"/>
        <v>0</v>
      </c>
      <c r="M226" s="48">
        <f t="shared" si="46"/>
        <v>1400</v>
      </c>
      <c r="N226" s="48">
        <f t="shared" si="46"/>
        <v>2748164.66</v>
      </c>
      <c r="O226" s="48">
        <f t="shared" si="46"/>
        <v>29471305.309999999</v>
      </c>
    </row>
    <row r="227" spans="1:15" s="53" customFormat="1" ht="54.75" customHeight="1" x14ac:dyDescent="0.25">
      <c r="A227" s="71"/>
      <c r="B227" s="74"/>
      <c r="C227" s="75" t="s">
        <v>382</v>
      </c>
      <c r="D227" s="76">
        <f>D229</f>
        <v>588815</v>
      </c>
      <c r="E227" s="76">
        <f t="shared" ref="E227:O227" si="47">E229</f>
        <v>588815</v>
      </c>
      <c r="F227" s="76">
        <f t="shared" si="47"/>
        <v>482635</v>
      </c>
      <c r="G227" s="76">
        <f t="shared" si="47"/>
        <v>0</v>
      </c>
      <c r="H227" s="76">
        <f t="shared" si="47"/>
        <v>0</v>
      </c>
      <c r="I227" s="76">
        <f t="shared" si="47"/>
        <v>0</v>
      </c>
      <c r="J227" s="76">
        <f t="shared" si="47"/>
        <v>0</v>
      </c>
      <c r="K227" s="76">
        <f t="shared" si="47"/>
        <v>0</v>
      </c>
      <c r="L227" s="76">
        <f t="shared" si="47"/>
        <v>0</v>
      </c>
      <c r="M227" s="76">
        <f t="shared" si="47"/>
        <v>0</v>
      </c>
      <c r="N227" s="76">
        <f t="shared" si="47"/>
        <v>0</v>
      </c>
      <c r="O227" s="76">
        <f t="shared" si="47"/>
        <v>588815</v>
      </c>
    </row>
    <row r="228" spans="1:15" s="52" customFormat="1" ht="51.75" customHeight="1" x14ac:dyDescent="0.25">
      <c r="A228" s="38" t="s">
        <v>96</v>
      </c>
      <c r="B228" s="39"/>
      <c r="C228" s="2" t="s">
        <v>521</v>
      </c>
      <c r="D228" s="48">
        <f t="shared" ref="D228:O228" si="48">D230+D231</f>
        <v>3410086.21</v>
      </c>
      <c r="E228" s="48">
        <f t="shared" si="48"/>
        <v>3410086.21</v>
      </c>
      <c r="F228" s="48">
        <f t="shared" si="48"/>
        <v>1906900</v>
      </c>
      <c r="G228" s="48">
        <f t="shared" si="48"/>
        <v>80205</v>
      </c>
      <c r="H228" s="48">
        <f t="shared" si="48"/>
        <v>0</v>
      </c>
      <c r="I228" s="48">
        <f t="shared" si="48"/>
        <v>1403964.66</v>
      </c>
      <c r="J228" s="48">
        <f t="shared" si="48"/>
        <v>1398264.66</v>
      </c>
      <c r="K228" s="48">
        <f t="shared" si="48"/>
        <v>5700</v>
      </c>
      <c r="L228" s="48">
        <f t="shared" si="48"/>
        <v>0</v>
      </c>
      <c r="M228" s="48">
        <f t="shared" si="48"/>
        <v>1400</v>
      </c>
      <c r="N228" s="48">
        <f t="shared" si="48"/>
        <v>1398264.66</v>
      </c>
      <c r="O228" s="48">
        <f t="shared" si="48"/>
        <v>4814050.87</v>
      </c>
    </row>
    <row r="229" spans="1:15" s="53" customFormat="1" ht="53.25" customHeight="1" x14ac:dyDescent="0.25">
      <c r="A229" s="71"/>
      <c r="B229" s="74"/>
      <c r="C229" s="77" t="str">
        <f>C232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29" s="76">
        <f>D232</f>
        <v>588815</v>
      </c>
      <c r="E229" s="76">
        <f t="shared" ref="E229:O229" si="49">E232</f>
        <v>588815</v>
      </c>
      <c r="F229" s="76">
        <f t="shared" si="49"/>
        <v>482635</v>
      </c>
      <c r="G229" s="76">
        <f t="shared" si="49"/>
        <v>0</v>
      </c>
      <c r="H229" s="76">
        <f t="shared" si="49"/>
        <v>0</v>
      </c>
      <c r="I229" s="76">
        <f t="shared" si="49"/>
        <v>0</v>
      </c>
      <c r="J229" s="76">
        <f t="shared" si="49"/>
        <v>0</v>
      </c>
      <c r="K229" s="76">
        <f t="shared" si="49"/>
        <v>0</v>
      </c>
      <c r="L229" s="76">
        <f t="shared" si="49"/>
        <v>0</v>
      </c>
      <c r="M229" s="76">
        <f t="shared" si="49"/>
        <v>0</v>
      </c>
      <c r="N229" s="76">
        <f t="shared" si="49"/>
        <v>0</v>
      </c>
      <c r="O229" s="76">
        <f t="shared" si="49"/>
        <v>588815</v>
      </c>
    </row>
    <row r="230" spans="1:15" s="52" customFormat="1" ht="36.75" customHeight="1" x14ac:dyDescent="0.25">
      <c r="A230" s="40" t="s">
        <v>7</v>
      </c>
      <c r="B230" s="40" t="s">
        <v>89</v>
      </c>
      <c r="C230" s="3" t="s">
        <v>297</v>
      </c>
      <c r="D230" s="49">
        <f>'дод 3'!E55+'дод 3'!E260</f>
        <v>960981.21</v>
      </c>
      <c r="E230" s="49">
        <f>'дод 3'!F55+'дод 3'!F260</f>
        <v>960981.21</v>
      </c>
      <c r="F230" s="49">
        <f>'дод 3'!G55+'дод 3'!G260</f>
        <v>0</v>
      </c>
      <c r="G230" s="49">
        <f>'дод 3'!H55+'дод 3'!H260</f>
        <v>6500</v>
      </c>
      <c r="H230" s="49">
        <f>'дод 3'!I55+'дод 3'!I260</f>
        <v>0</v>
      </c>
      <c r="I230" s="49">
        <f>'дод 3'!J55+'дод 3'!J260</f>
        <v>1398264.66</v>
      </c>
      <c r="J230" s="49">
        <f>'дод 3'!K55+'дод 3'!K260</f>
        <v>1398264.66</v>
      </c>
      <c r="K230" s="49">
        <f>'дод 3'!L55+'дод 3'!L260</f>
        <v>0</v>
      </c>
      <c r="L230" s="49">
        <f>'дод 3'!M55+'дод 3'!M260</f>
        <v>0</v>
      </c>
      <c r="M230" s="49">
        <f>'дод 3'!N55+'дод 3'!N260</f>
        <v>0</v>
      </c>
      <c r="N230" s="49">
        <f>'дод 3'!O55+'дод 3'!O260</f>
        <v>1398264.66</v>
      </c>
      <c r="O230" s="49">
        <f>'дод 3'!P55+'дод 3'!P260</f>
        <v>2359245.87</v>
      </c>
    </row>
    <row r="231" spans="1:15" ht="27" customHeight="1" x14ac:dyDescent="0.25">
      <c r="A231" s="37" t="s">
        <v>148</v>
      </c>
      <c r="B231" s="42" t="s">
        <v>89</v>
      </c>
      <c r="C231" s="3" t="s">
        <v>519</v>
      </c>
      <c r="D231" s="49">
        <f>'дод 3'!E56</f>
        <v>2449105</v>
      </c>
      <c r="E231" s="49">
        <f>'дод 3'!F56</f>
        <v>2449105</v>
      </c>
      <c r="F231" s="49">
        <f>'дод 3'!G56</f>
        <v>1906900</v>
      </c>
      <c r="G231" s="49">
        <f>'дод 3'!H56</f>
        <v>73705</v>
      </c>
      <c r="H231" s="49">
        <f>'дод 3'!I56</f>
        <v>0</v>
      </c>
      <c r="I231" s="49">
        <f>'дод 3'!J56</f>
        <v>5700</v>
      </c>
      <c r="J231" s="49">
        <f>'дод 3'!K56</f>
        <v>0</v>
      </c>
      <c r="K231" s="49">
        <f>'дод 3'!L56</f>
        <v>5700</v>
      </c>
      <c r="L231" s="49">
        <f>'дод 3'!M56</f>
        <v>0</v>
      </c>
      <c r="M231" s="49">
        <f>'дод 3'!N56</f>
        <v>1400</v>
      </c>
      <c r="N231" s="49">
        <f>'дод 3'!O56</f>
        <v>0</v>
      </c>
      <c r="O231" s="49">
        <f>'дод 3'!P56</f>
        <v>2454805</v>
      </c>
    </row>
    <row r="232" spans="1:15" s="54" customFormat="1" ht="47.25" x14ac:dyDescent="0.25">
      <c r="A232" s="78"/>
      <c r="B232" s="88"/>
      <c r="C232" s="87" t="s">
        <v>382</v>
      </c>
      <c r="D232" s="80">
        <f>'дод 3'!E57</f>
        <v>588815</v>
      </c>
      <c r="E232" s="80">
        <f>'дод 3'!F57</f>
        <v>588815</v>
      </c>
      <c r="F232" s="80">
        <f>'дод 3'!G57</f>
        <v>482635</v>
      </c>
      <c r="G232" s="80">
        <f>'дод 3'!H57</f>
        <v>0</v>
      </c>
      <c r="H232" s="80">
        <f>'дод 3'!I57</f>
        <v>0</v>
      </c>
      <c r="I232" s="80">
        <f>'дод 3'!J57</f>
        <v>0</v>
      </c>
      <c r="J232" s="80">
        <f>'дод 3'!K57</f>
        <v>0</v>
      </c>
      <c r="K232" s="80">
        <f>'дод 3'!L57</f>
        <v>0</v>
      </c>
      <c r="L232" s="80">
        <f>'дод 3'!M57</f>
        <v>0</v>
      </c>
      <c r="M232" s="80">
        <f>'дод 3'!N57</f>
        <v>0</v>
      </c>
      <c r="N232" s="80">
        <f>'дод 3'!O57</f>
        <v>0</v>
      </c>
      <c r="O232" s="80">
        <f>'дод 3'!P57</f>
        <v>588815</v>
      </c>
    </row>
    <row r="233" spans="1:15" s="52" customFormat="1" ht="23.25" customHeight="1" x14ac:dyDescent="0.25">
      <c r="A233" s="38" t="s">
        <v>250</v>
      </c>
      <c r="B233" s="38"/>
      <c r="C233" s="12" t="s">
        <v>251</v>
      </c>
      <c r="D233" s="48">
        <f t="shared" ref="D233:O233" si="50">D234</f>
        <v>462056</v>
      </c>
      <c r="E233" s="48">
        <f t="shared" si="50"/>
        <v>462056</v>
      </c>
      <c r="F233" s="48">
        <f t="shared" si="50"/>
        <v>0</v>
      </c>
      <c r="G233" s="48">
        <f t="shared" si="50"/>
        <v>292742</v>
      </c>
      <c r="H233" s="48">
        <f t="shared" si="50"/>
        <v>0</v>
      </c>
      <c r="I233" s="48">
        <f t="shared" si="50"/>
        <v>0</v>
      </c>
      <c r="J233" s="48">
        <f t="shared" si="50"/>
        <v>0</v>
      </c>
      <c r="K233" s="48">
        <f t="shared" si="50"/>
        <v>0</v>
      </c>
      <c r="L233" s="48">
        <f t="shared" si="50"/>
        <v>0</v>
      </c>
      <c r="M233" s="48">
        <f t="shared" si="50"/>
        <v>0</v>
      </c>
      <c r="N233" s="48">
        <f t="shared" si="50"/>
        <v>0</v>
      </c>
      <c r="O233" s="48">
        <f t="shared" si="50"/>
        <v>462056</v>
      </c>
    </row>
    <row r="234" spans="1:15" ht="22.5" customHeight="1" x14ac:dyDescent="0.25">
      <c r="A234" s="37" t="s">
        <v>244</v>
      </c>
      <c r="B234" s="42" t="s">
        <v>245</v>
      </c>
      <c r="C234" s="3" t="s">
        <v>246</v>
      </c>
      <c r="D234" s="49">
        <f>'дод 3'!E58+'дод 3'!E261</f>
        <v>462056</v>
      </c>
      <c r="E234" s="49">
        <f>'дод 3'!F58+'дод 3'!F261</f>
        <v>462056</v>
      </c>
      <c r="F234" s="49">
        <f>'дод 3'!G58+'дод 3'!G261</f>
        <v>0</v>
      </c>
      <c r="G234" s="49">
        <f>'дод 3'!H58+'дод 3'!H261</f>
        <v>292742</v>
      </c>
      <c r="H234" s="49">
        <f>'дод 3'!I58+'дод 3'!I261</f>
        <v>0</v>
      </c>
      <c r="I234" s="49">
        <f>'дод 3'!J58+'дод 3'!J261</f>
        <v>0</v>
      </c>
      <c r="J234" s="49">
        <f>'дод 3'!K58+'дод 3'!K261</f>
        <v>0</v>
      </c>
      <c r="K234" s="49">
        <f>'дод 3'!L58+'дод 3'!L261</f>
        <v>0</v>
      </c>
      <c r="L234" s="49">
        <f>'дод 3'!M58+'дод 3'!M261</f>
        <v>0</v>
      </c>
      <c r="M234" s="49">
        <f>'дод 3'!N58+'дод 3'!N261</f>
        <v>0</v>
      </c>
      <c r="N234" s="49">
        <f>'дод 3'!O58+'дод 3'!O261</f>
        <v>0</v>
      </c>
      <c r="O234" s="49">
        <f>'дод 3'!P58+'дод 3'!P261</f>
        <v>462056</v>
      </c>
    </row>
    <row r="235" spans="1:15" s="52" customFormat="1" ht="22.5" customHeight="1" x14ac:dyDescent="0.25">
      <c r="A235" s="38" t="s">
        <v>6</v>
      </c>
      <c r="B235" s="39"/>
      <c r="C235" s="2" t="s">
        <v>8</v>
      </c>
      <c r="D235" s="48">
        <f t="shared" ref="D235:O235" si="51">D237+D236</f>
        <v>75000</v>
      </c>
      <c r="E235" s="48">
        <f t="shared" si="51"/>
        <v>75000</v>
      </c>
      <c r="F235" s="48">
        <f t="shared" si="51"/>
        <v>0</v>
      </c>
      <c r="G235" s="48">
        <f t="shared" si="51"/>
        <v>0</v>
      </c>
      <c r="H235" s="48">
        <f t="shared" si="51"/>
        <v>0</v>
      </c>
      <c r="I235" s="48">
        <f t="shared" si="51"/>
        <v>4326600</v>
      </c>
      <c r="J235" s="48">
        <f t="shared" si="51"/>
        <v>0</v>
      </c>
      <c r="K235" s="48">
        <f t="shared" si="51"/>
        <v>2976700</v>
      </c>
      <c r="L235" s="48">
        <f t="shared" si="51"/>
        <v>0</v>
      </c>
      <c r="M235" s="48">
        <f t="shared" si="51"/>
        <v>0</v>
      </c>
      <c r="N235" s="48">
        <f t="shared" si="51"/>
        <v>1349900</v>
      </c>
      <c r="O235" s="48">
        <f t="shared" si="51"/>
        <v>4401600</v>
      </c>
    </row>
    <row r="236" spans="1:15" s="52" customFormat="1" ht="33.75" customHeight="1" x14ac:dyDescent="0.25">
      <c r="A236" s="37">
        <v>8330</v>
      </c>
      <c r="B236" s="58" t="s">
        <v>92</v>
      </c>
      <c r="C236" s="3" t="s">
        <v>348</v>
      </c>
      <c r="D236" s="49">
        <f>'дод 3'!E314</f>
        <v>75000</v>
      </c>
      <c r="E236" s="49">
        <f>'дод 3'!F314</f>
        <v>75000</v>
      </c>
      <c r="F236" s="49">
        <f>'дод 3'!G314</f>
        <v>0</v>
      </c>
      <c r="G236" s="49">
        <f>'дод 3'!H314</f>
        <v>0</v>
      </c>
      <c r="H236" s="49">
        <f>'дод 3'!I314</f>
        <v>0</v>
      </c>
      <c r="I236" s="49">
        <f>'дод 3'!J314</f>
        <v>0</v>
      </c>
      <c r="J236" s="49">
        <f>'дод 3'!K314</f>
        <v>0</v>
      </c>
      <c r="K236" s="49">
        <f>'дод 3'!L314</f>
        <v>0</v>
      </c>
      <c r="L236" s="49">
        <f>'дод 3'!M314</f>
        <v>0</v>
      </c>
      <c r="M236" s="49">
        <f>'дод 3'!N314</f>
        <v>0</v>
      </c>
      <c r="N236" s="49">
        <f>'дод 3'!O314</f>
        <v>0</v>
      </c>
      <c r="O236" s="49">
        <f>'дод 3'!P314</f>
        <v>75000</v>
      </c>
    </row>
    <row r="237" spans="1:15" s="52" customFormat="1" ht="19.5" customHeight="1" x14ac:dyDescent="0.25">
      <c r="A237" s="37" t="s">
        <v>9</v>
      </c>
      <c r="B237" s="37" t="s">
        <v>92</v>
      </c>
      <c r="C237" s="3" t="s">
        <v>10</v>
      </c>
      <c r="D237" s="49">
        <f>'дод 3'!E59+'дод 3'!E122+'дод 3'!E262+'дод 3'!E315</f>
        <v>0</v>
      </c>
      <c r="E237" s="49">
        <f>'дод 3'!F59+'дод 3'!F122+'дод 3'!F262+'дод 3'!F315</f>
        <v>0</v>
      </c>
      <c r="F237" s="49">
        <f>'дод 3'!G59+'дод 3'!G122+'дод 3'!G262+'дод 3'!G315</f>
        <v>0</v>
      </c>
      <c r="G237" s="49">
        <f>'дод 3'!H59+'дод 3'!H122+'дод 3'!H262+'дод 3'!H315</f>
        <v>0</v>
      </c>
      <c r="H237" s="49">
        <f>'дод 3'!I59+'дод 3'!I122+'дод 3'!I262+'дод 3'!I315</f>
        <v>0</v>
      </c>
      <c r="I237" s="49">
        <f>'дод 3'!J59+'дод 3'!J122+'дод 3'!J262+'дод 3'!J315</f>
        <v>4326600</v>
      </c>
      <c r="J237" s="49">
        <f>'дод 3'!K59+'дод 3'!K122+'дод 3'!K262+'дод 3'!K315</f>
        <v>0</v>
      </c>
      <c r="K237" s="49">
        <f>'дод 3'!L59+'дод 3'!L122+'дод 3'!L262+'дод 3'!L315</f>
        <v>2976700</v>
      </c>
      <c r="L237" s="49">
        <f>'дод 3'!M59+'дод 3'!M122+'дод 3'!M262+'дод 3'!M315</f>
        <v>0</v>
      </c>
      <c r="M237" s="49">
        <f>'дод 3'!N59+'дод 3'!N122+'дод 3'!N262+'дод 3'!N315</f>
        <v>0</v>
      </c>
      <c r="N237" s="49">
        <f>'дод 3'!O59+'дод 3'!O122+'дод 3'!O262+'дод 3'!O315</f>
        <v>1349900</v>
      </c>
      <c r="O237" s="49">
        <f>'дод 3'!P59+'дод 3'!P122+'дод 3'!P262+'дод 3'!P315</f>
        <v>4326600</v>
      </c>
    </row>
    <row r="238" spans="1:15" s="52" customFormat="1" ht="20.25" customHeight="1" x14ac:dyDescent="0.25">
      <c r="A238" s="38" t="s">
        <v>133</v>
      </c>
      <c r="B238" s="39"/>
      <c r="C238" s="2" t="s">
        <v>76</v>
      </c>
      <c r="D238" s="48">
        <f t="shared" ref="D238:O238" si="52">D239</f>
        <v>78700</v>
      </c>
      <c r="E238" s="48">
        <f t="shared" si="52"/>
        <v>78700</v>
      </c>
      <c r="F238" s="48">
        <f t="shared" si="52"/>
        <v>0</v>
      </c>
      <c r="G238" s="48">
        <f t="shared" si="52"/>
        <v>0</v>
      </c>
      <c r="H238" s="48">
        <f t="shared" si="52"/>
        <v>0</v>
      </c>
      <c r="I238" s="48">
        <f t="shared" si="52"/>
        <v>0</v>
      </c>
      <c r="J238" s="48">
        <f t="shared" si="52"/>
        <v>0</v>
      </c>
      <c r="K238" s="48">
        <f t="shared" si="52"/>
        <v>0</v>
      </c>
      <c r="L238" s="48">
        <f t="shared" si="52"/>
        <v>0</v>
      </c>
      <c r="M238" s="48">
        <f t="shared" si="52"/>
        <v>0</v>
      </c>
      <c r="N238" s="48">
        <f t="shared" si="52"/>
        <v>0</v>
      </c>
      <c r="O238" s="48">
        <f t="shared" si="52"/>
        <v>78700</v>
      </c>
    </row>
    <row r="239" spans="1:15" s="52" customFormat="1" ht="21" customHeight="1" x14ac:dyDescent="0.25">
      <c r="A239" s="37" t="s">
        <v>255</v>
      </c>
      <c r="B239" s="42" t="s">
        <v>77</v>
      </c>
      <c r="C239" s="3" t="s">
        <v>256</v>
      </c>
      <c r="D239" s="49">
        <f>'дод 3'!E60</f>
        <v>78700</v>
      </c>
      <c r="E239" s="49">
        <f>'дод 3'!F60</f>
        <v>78700</v>
      </c>
      <c r="F239" s="49">
        <f>'дод 3'!G60</f>
        <v>0</v>
      </c>
      <c r="G239" s="49">
        <f>'дод 3'!H60</f>
        <v>0</v>
      </c>
      <c r="H239" s="49">
        <f>'дод 3'!I60</f>
        <v>0</v>
      </c>
      <c r="I239" s="49">
        <f>'дод 3'!J60</f>
        <v>0</v>
      </c>
      <c r="J239" s="49">
        <f>'дод 3'!K60</f>
        <v>0</v>
      </c>
      <c r="K239" s="49">
        <f>'дод 3'!L60</f>
        <v>0</v>
      </c>
      <c r="L239" s="49">
        <f>'дод 3'!M60</f>
        <v>0</v>
      </c>
      <c r="M239" s="49">
        <f>'дод 3'!N60</f>
        <v>0</v>
      </c>
      <c r="N239" s="49">
        <f>'дод 3'!O60</f>
        <v>0</v>
      </c>
      <c r="O239" s="49">
        <f>'дод 3'!P60</f>
        <v>78700</v>
      </c>
    </row>
    <row r="240" spans="1:15" s="52" customFormat="1" ht="21" customHeight="1" x14ac:dyDescent="0.25">
      <c r="A240" s="38" t="s">
        <v>95</v>
      </c>
      <c r="B240" s="38" t="s">
        <v>90</v>
      </c>
      <c r="C240" s="2" t="s">
        <v>11</v>
      </c>
      <c r="D240" s="48">
        <f>'дод 3'!E316</f>
        <v>1086239</v>
      </c>
      <c r="E240" s="48">
        <f>'дод 3'!F316</f>
        <v>1086239</v>
      </c>
      <c r="F240" s="48">
        <f>'дод 3'!G316</f>
        <v>0</v>
      </c>
      <c r="G240" s="48">
        <f>'дод 3'!H316</f>
        <v>0</v>
      </c>
      <c r="H240" s="48">
        <f>'дод 3'!I316</f>
        <v>0</v>
      </c>
      <c r="I240" s="48">
        <f>'дод 3'!J316</f>
        <v>0</v>
      </c>
      <c r="J240" s="48">
        <f>'дод 3'!K316</f>
        <v>0</v>
      </c>
      <c r="K240" s="48">
        <f>'дод 3'!L316</f>
        <v>0</v>
      </c>
      <c r="L240" s="48">
        <f>'дод 3'!M316</f>
        <v>0</v>
      </c>
      <c r="M240" s="48">
        <f>'дод 3'!N316</f>
        <v>0</v>
      </c>
      <c r="N240" s="48">
        <f>'дод 3'!O316</f>
        <v>0</v>
      </c>
      <c r="O240" s="48">
        <f>'дод 3'!P316</f>
        <v>1086239</v>
      </c>
    </row>
    <row r="241" spans="1:15" s="52" customFormat="1" ht="25.5" customHeight="1" x14ac:dyDescent="0.25">
      <c r="A241" s="38">
        <v>8710</v>
      </c>
      <c r="B241" s="38" t="s">
        <v>93</v>
      </c>
      <c r="C241" s="2" t="s">
        <v>518</v>
      </c>
      <c r="D241" s="48">
        <f>'дод 3'!E317</f>
        <v>18628659.439999998</v>
      </c>
      <c r="E241" s="48">
        <f>'дод 3'!F317</f>
        <v>0</v>
      </c>
      <c r="F241" s="48">
        <f>'дод 3'!G317</f>
        <v>0</v>
      </c>
      <c r="G241" s="48">
        <f>'дод 3'!H317</f>
        <v>0</v>
      </c>
      <c r="H241" s="48">
        <f>'дод 3'!I317</f>
        <v>0</v>
      </c>
      <c r="I241" s="48">
        <f>'дод 3'!J317</f>
        <v>0</v>
      </c>
      <c r="J241" s="48">
        <f>'дод 3'!K317</f>
        <v>0</v>
      </c>
      <c r="K241" s="48">
        <f>'дод 3'!L317</f>
        <v>0</v>
      </c>
      <c r="L241" s="48">
        <f>'дод 3'!M317</f>
        <v>0</v>
      </c>
      <c r="M241" s="48">
        <f>'дод 3'!N317</f>
        <v>0</v>
      </c>
      <c r="N241" s="48">
        <f>'дод 3'!O317</f>
        <v>0</v>
      </c>
      <c r="O241" s="48">
        <f>'дод 3'!P317</f>
        <v>18628659.439999998</v>
      </c>
    </row>
    <row r="242" spans="1:15" s="52" customFormat="1" ht="24" customHeight="1" x14ac:dyDescent="0.25">
      <c r="A242" s="38" t="s">
        <v>12</v>
      </c>
      <c r="B242" s="38"/>
      <c r="C242" s="2" t="s">
        <v>545</v>
      </c>
      <c r="D242" s="48">
        <f>D244+D246+D250+D254</f>
        <v>185102213</v>
      </c>
      <c r="E242" s="48">
        <f t="shared" ref="E242:O242" si="53">E244+E246+E250+E254</f>
        <v>185102213</v>
      </c>
      <c r="F242" s="48">
        <f t="shared" si="53"/>
        <v>0</v>
      </c>
      <c r="G242" s="48">
        <f t="shared" si="53"/>
        <v>0</v>
      </c>
      <c r="H242" s="48">
        <f t="shared" si="53"/>
        <v>0</v>
      </c>
      <c r="I242" s="48">
        <f t="shared" si="53"/>
        <v>24017619.600000001</v>
      </c>
      <c r="J242" s="48">
        <f t="shared" si="53"/>
        <v>24017619.600000001</v>
      </c>
      <c r="K242" s="48">
        <f t="shared" si="53"/>
        <v>0</v>
      </c>
      <c r="L242" s="48">
        <f t="shared" si="53"/>
        <v>0</v>
      </c>
      <c r="M242" s="48">
        <f t="shared" si="53"/>
        <v>0</v>
      </c>
      <c r="N242" s="48">
        <f t="shared" si="53"/>
        <v>24017619.600000001</v>
      </c>
      <c r="O242" s="48">
        <f t="shared" si="53"/>
        <v>209119832.59999999</v>
      </c>
    </row>
    <row r="243" spans="1:15" s="52" customFormat="1" ht="36.75" customHeight="1" x14ac:dyDescent="0.25">
      <c r="A243" s="38"/>
      <c r="B243" s="38"/>
      <c r="C243" s="77" t="s">
        <v>541</v>
      </c>
      <c r="D243" s="76">
        <f>D247</f>
        <v>693000</v>
      </c>
      <c r="E243" s="76">
        <f t="shared" ref="E243:O243" si="54">E247</f>
        <v>693000</v>
      </c>
      <c r="F243" s="76">
        <f t="shared" si="54"/>
        <v>0</v>
      </c>
      <c r="G243" s="76">
        <f t="shared" si="54"/>
        <v>0</v>
      </c>
      <c r="H243" s="76">
        <f t="shared" si="54"/>
        <v>0</v>
      </c>
      <c r="I243" s="76">
        <f t="shared" si="54"/>
        <v>3307000</v>
      </c>
      <c r="J243" s="76">
        <f t="shared" si="54"/>
        <v>3307000</v>
      </c>
      <c r="K243" s="76">
        <f t="shared" si="54"/>
        <v>0</v>
      </c>
      <c r="L243" s="76">
        <f t="shared" si="54"/>
        <v>0</v>
      </c>
      <c r="M243" s="76">
        <f t="shared" si="54"/>
        <v>0</v>
      </c>
      <c r="N243" s="76">
        <f t="shared" si="54"/>
        <v>3307000</v>
      </c>
      <c r="O243" s="76">
        <f t="shared" si="54"/>
        <v>4000000</v>
      </c>
    </row>
    <row r="244" spans="1:15" s="52" customFormat="1" ht="21.75" customHeight="1" x14ac:dyDescent="0.25">
      <c r="A244" s="38" t="s">
        <v>253</v>
      </c>
      <c r="B244" s="38"/>
      <c r="C244" s="2" t="s">
        <v>298</v>
      </c>
      <c r="D244" s="48">
        <f t="shared" ref="D244:O244" si="55">D245</f>
        <v>100870700</v>
      </c>
      <c r="E244" s="48">
        <f t="shared" si="55"/>
        <v>100870700</v>
      </c>
      <c r="F244" s="48">
        <f t="shared" si="55"/>
        <v>0</v>
      </c>
      <c r="G244" s="48">
        <f t="shared" si="55"/>
        <v>0</v>
      </c>
      <c r="H244" s="48">
        <f t="shared" si="55"/>
        <v>0</v>
      </c>
      <c r="I244" s="48">
        <f t="shared" si="55"/>
        <v>0</v>
      </c>
      <c r="J244" s="48">
        <f t="shared" si="55"/>
        <v>0</v>
      </c>
      <c r="K244" s="48">
        <f t="shared" si="55"/>
        <v>0</v>
      </c>
      <c r="L244" s="48">
        <f t="shared" si="55"/>
        <v>0</v>
      </c>
      <c r="M244" s="48">
        <f t="shared" si="55"/>
        <v>0</v>
      </c>
      <c r="N244" s="48">
        <f t="shared" si="55"/>
        <v>0</v>
      </c>
      <c r="O244" s="48">
        <f t="shared" si="55"/>
        <v>100870700</v>
      </c>
    </row>
    <row r="245" spans="1:15" s="52" customFormat="1" ht="21" customHeight="1" x14ac:dyDescent="0.25">
      <c r="A245" s="37" t="s">
        <v>91</v>
      </c>
      <c r="B245" s="42" t="s">
        <v>45</v>
      </c>
      <c r="C245" s="3" t="s">
        <v>110</v>
      </c>
      <c r="D245" s="49">
        <f>'дод 3'!E318</f>
        <v>100870700</v>
      </c>
      <c r="E245" s="49">
        <f>'дод 3'!F318</f>
        <v>100870700</v>
      </c>
      <c r="F245" s="49">
        <f>'дод 3'!G318</f>
        <v>0</v>
      </c>
      <c r="G245" s="49">
        <f>'дод 3'!H318</f>
        <v>0</v>
      </c>
      <c r="H245" s="49">
        <f>'дод 3'!I318</f>
        <v>0</v>
      </c>
      <c r="I245" s="49">
        <f>'дод 3'!J318</f>
        <v>0</v>
      </c>
      <c r="J245" s="49">
        <f>'дод 3'!K318</f>
        <v>0</v>
      </c>
      <c r="K245" s="49">
        <f>'дод 3'!L318</f>
        <v>0</v>
      </c>
      <c r="L245" s="49">
        <f>'дод 3'!M318</f>
        <v>0</v>
      </c>
      <c r="M245" s="49">
        <f>'дод 3'!N318</f>
        <v>0</v>
      </c>
      <c r="N245" s="49">
        <f>'дод 3'!O318</f>
        <v>0</v>
      </c>
      <c r="O245" s="49">
        <f>'дод 3'!P318</f>
        <v>100870700</v>
      </c>
    </row>
    <row r="246" spans="1:15" s="52" customFormat="1" ht="69" customHeight="1" x14ac:dyDescent="0.25">
      <c r="A246" s="38">
        <v>9300</v>
      </c>
      <c r="B246" s="106"/>
      <c r="C246" s="2" t="s">
        <v>538</v>
      </c>
      <c r="D246" s="48">
        <f>D248</f>
        <v>693000</v>
      </c>
      <c r="E246" s="48">
        <f t="shared" ref="E246:O246" si="56">E248</f>
        <v>693000</v>
      </c>
      <c r="F246" s="48">
        <f t="shared" si="56"/>
        <v>0</v>
      </c>
      <c r="G246" s="48">
        <f t="shared" si="56"/>
        <v>0</v>
      </c>
      <c r="H246" s="48">
        <f t="shared" si="56"/>
        <v>0</v>
      </c>
      <c r="I246" s="48">
        <f t="shared" si="56"/>
        <v>3307000</v>
      </c>
      <c r="J246" s="48">
        <f t="shared" si="56"/>
        <v>3307000</v>
      </c>
      <c r="K246" s="48">
        <f t="shared" si="56"/>
        <v>0</v>
      </c>
      <c r="L246" s="48">
        <f t="shared" si="56"/>
        <v>0</v>
      </c>
      <c r="M246" s="48">
        <f t="shared" si="56"/>
        <v>0</v>
      </c>
      <c r="N246" s="48">
        <f t="shared" si="56"/>
        <v>3307000</v>
      </c>
      <c r="O246" s="48">
        <f t="shared" si="56"/>
        <v>4000000</v>
      </c>
    </row>
    <row r="247" spans="1:15" s="52" customFormat="1" ht="36.75" customHeight="1" x14ac:dyDescent="0.25">
      <c r="A247" s="38"/>
      <c r="B247" s="103"/>
      <c r="C247" s="77" t="s">
        <v>541</v>
      </c>
      <c r="D247" s="76">
        <f>D249</f>
        <v>693000</v>
      </c>
      <c r="E247" s="76">
        <f t="shared" ref="E247:O247" si="57">E249</f>
        <v>693000</v>
      </c>
      <c r="F247" s="76">
        <f t="shared" si="57"/>
        <v>0</v>
      </c>
      <c r="G247" s="76">
        <f t="shared" si="57"/>
        <v>0</v>
      </c>
      <c r="H247" s="76">
        <f t="shared" si="57"/>
        <v>0</v>
      </c>
      <c r="I247" s="76">
        <f t="shared" si="57"/>
        <v>3307000</v>
      </c>
      <c r="J247" s="76">
        <f t="shared" si="57"/>
        <v>3307000</v>
      </c>
      <c r="K247" s="76">
        <f t="shared" si="57"/>
        <v>0</v>
      </c>
      <c r="L247" s="76">
        <f t="shared" si="57"/>
        <v>0</v>
      </c>
      <c r="M247" s="76">
        <f t="shared" si="57"/>
        <v>0</v>
      </c>
      <c r="N247" s="76">
        <f t="shared" si="57"/>
        <v>3307000</v>
      </c>
      <c r="O247" s="76">
        <f t="shared" si="57"/>
        <v>4000000</v>
      </c>
    </row>
    <row r="248" spans="1:15" s="52" customFormat="1" ht="53.25" customHeight="1" x14ac:dyDescent="0.25">
      <c r="A248" s="37">
        <v>9320</v>
      </c>
      <c r="B248" s="103" t="s">
        <v>45</v>
      </c>
      <c r="C248" s="6" t="s">
        <v>539</v>
      </c>
      <c r="D248" s="49">
        <f>'дод 3'!E123</f>
        <v>693000</v>
      </c>
      <c r="E248" s="49">
        <f>'дод 3'!F123</f>
        <v>693000</v>
      </c>
      <c r="F248" s="49">
        <f>'дод 3'!G123</f>
        <v>0</v>
      </c>
      <c r="G248" s="49">
        <f>'дод 3'!H123</f>
        <v>0</v>
      </c>
      <c r="H248" s="49">
        <f>'дод 3'!I123</f>
        <v>0</v>
      </c>
      <c r="I248" s="49">
        <f>'дод 3'!J123</f>
        <v>3307000</v>
      </c>
      <c r="J248" s="49">
        <f>'дод 3'!K123</f>
        <v>3307000</v>
      </c>
      <c r="K248" s="49">
        <f>'дод 3'!L123</f>
        <v>0</v>
      </c>
      <c r="L248" s="49">
        <f>'дод 3'!M123</f>
        <v>0</v>
      </c>
      <c r="M248" s="49">
        <f>'дод 3'!N123</f>
        <v>0</v>
      </c>
      <c r="N248" s="49">
        <f>'дод 3'!O123</f>
        <v>3307000</v>
      </c>
      <c r="O248" s="49">
        <f>'дод 3'!P123</f>
        <v>4000000</v>
      </c>
    </row>
    <row r="249" spans="1:15" s="53" customFormat="1" ht="36.75" customHeight="1" x14ac:dyDescent="0.25">
      <c r="A249" s="78"/>
      <c r="B249" s="105"/>
      <c r="C249" s="87" t="s">
        <v>541</v>
      </c>
      <c r="D249" s="80">
        <f>'дод 3'!E124</f>
        <v>693000</v>
      </c>
      <c r="E249" s="80">
        <f>'дод 3'!F124</f>
        <v>693000</v>
      </c>
      <c r="F249" s="80">
        <f>'дод 3'!G124</f>
        <v>0</v>
      </c>
      <c r="G249" s="80">
        <f>'дод 3'!H124</f>
        <v>0</v>
      </c>
      <c r="H249" s="80">
        <f>'дод 3'!I124</f>
        <v>0</v>
      </c>
      <c r="I249" s="80">
        <f>'дод 3'!J124</f>
        <v>3307000</v>
      </c>
      <c r="J249" s="80">
        <f>'дод 3'!K124</f>
        <v>3307000</v>
      </c>
      <c r="K249" s="80">
        <f>'дод 3'!L124</f>
        <v>0</v>
      </c>
      <c r="L249" s="80">
        <f>'дод 3'!M124</f>
        <v>0</v>
      </c>
      <c r="M249" s="80">
        <f>'дод 3'!N124</f>
        <v>0</v>
      </c>
      <c r="N249" s="80">
        <f>'дод 3'!O124</f>
        <v>3307000</v>
      </c>
      <c r="O249" s="80">
        <f>'дод 3'!P124</f>
        <v>4000000</v>
      </c>
    </row>
    <row r="250" spans="1:15" s="52" customFormat="1" ht="57.75" customHeight="1" x14ac:dyDescent="0.25">
      <c r="A250" s="38" t="s">
        <v>13</v>
      </c>
      <c r="B250" s="106"/>
      <c r="C250" s="2" t="s">
        <v>347</v>
      </c>
      <c r="D250" s="48">
        <f>D251+D252+D253</f>
        <v>81430784</v>
      </c>
      <c r="E250" s="48">
        <f t="shared" ref="E250:O250" si="58">E251+E252+E253</f>
        <v>81430784</v>
      </c>
      <c r="F250" s="48">
        <f t="shared" si="58"/>
        <v>0</v>
      </c>
      <c r="G250" s="48">
        <f t="shared" si="58"/>
        <v>0</v>
      </c>
      <c r="H250" s="48">
        <f t="shared" si="58"/>
        <v>0</v>
      </c>
      <c r="I250" s="48">
        <f t="shared" si="58"/>
        <v>17827619.600000001</v>
      </c>
      <c r="J250" s="48">
        <f t="shared" si="58"/>
        <v>17827619.600000001</v>
      </c>
      <c r="K250" s="48">
        <f t="shared" si="58"/>
        <v>0</v>
      </c>
      <c r="L250" s="48">
        <f t="shared" si="58"/>
        <v>0</v>
      </c>
      <c r="M250" s="48">
        <f t="shared" si="58"/>
        <v>0</v>
      </c>
      <c r="N250" s="48">
        <f t="shared" si="58"/>
        <v>17827619.600000001</v>
      </c>
      <c r="O250" s="48">
        <f t="shared" si="58"/>
        <v>99258403.599999994</v>
      </c>
    </row>
    <row r="251" spans="1:15" s="52" customFormat="1" ht="78.75" x14ac:dyDescent="0.25">
      <c r="A251" s="93">
        <v>9730</v>
      </c>
      <c r="B251" s="59" t="s">
        <v>45</v>
      </c>
      <c r="C251" s="60" t="s">
        <v>575</v>
      </c>
      <c r="D251" s="49">
        <f>'дод 3'!E263</f>
        <v>0</v>
      </c>
      <c r="E251" s="49">
        <f>'дод 3'!F263</f>
        <v>0</v>
      </c>
      <c r="F251" s="49">
        <f>'дод 3'!G263</f>
        <v>0</v>
      </c>
      <c r="G251" s="49">
        <f>'дод 3'!H263</f>
        <v>0</v>
      </c>
      <c r="H251" s="49">
        <f>'дод 3'!I263</f>
        <v>0</v>
      </c>
      <c r="I251" s="49">
        <f>'дод 3'!J263</f>
        <v>0</v>
      </c>
      <c r="J251" s="49">
        <f>'дод 3'!K263</f>
        <v>0</v>
      </c>
      <c r="K251" s="49">
        <f>'дод 3'!L263</f>
        <v>0</v>
      </c>
      <c r="L251" s="49">
        <f>'дод 3'!M263</f>
        <v>0</v>
      </c>
      <c r="M251" s="49">
        <f>'дод 3'!N263</f>
        <v>0</v>
      </c>
      <c r="N251" s="49">
        <f>'дод 3'!O263</f>
        <v>0</v>
      </c>
      <c r="O251" s="49">
        <f>'дод 3'!P263</f>
        <v>0</v>
      </c>
    </row>
    <row r="252" spans="1:15" ht="31.5" x14ac:dyDescent="0.25">
      <c r="A252" s="37">
        <v>9750</v>
      </c>
      <c r="B252" s="42" t="s">
        <v>45</v>
      </c>
      <c r="C252" s="60" t="s">
        <v>529</v>
      </c>
      <c r="D252" s="49">
        <f>'дод 3'!E287</f>
        <v>0</v>
      </c>
      <c r="E252" s="49">
        <f>'дод 3'!F287</f>
        <v>0</v>
      </c>
      <c r="F252" s="49">
        <f>'дод 3'!G287</f>
        <v>0</v>
      </c>
      <c r="G252" s="49">
        <f>'дод 3'!H287</f>
        <v>0</v>
      </c>
      <c r="H252" s="49">
        <f>'дод 3'!I287</f>
        <v>0</v>
      </c>
      <c r="I252" s="49">
        <f>'дод 3'!J287</f>
        <v>86000</v>
      </c>
      <c r="J252" s="49">
        <f>'дод 3'!K287</f>
        <v>86000</v>
      </c>
      <c r="K252" s="49">
        <f>'дод 3'!L287</f>
        <v>0</v>
      </c>
      <c r="L252" s="49">
        <f>'дод 3'!M287</f>
        <v>0</v>
      </c>
      <c r="M252" s="49">
        <f>'дод 3'!N287</f>
        <v>0</v>
      </c>
      <c r="N252" s="49">
        <f>'дод 3'!O287</f>
        <v>86000</v>
      </c>
      <c r="O252" s="49">
        <f>'дод 3'!P287</f>
        <v>86000</v>
      </c>
    </row>
    <row r="253" spans="1:15" s="52" customFormat="1" ht="22.5" customHeight="1" x14ac:dyDescent="0.25">
      <c r="A253" s="37" t="s">
        <v>14</v>
      </c>
      <c r="B253" s="42" t="s">
        <v>45</v>
      </c>
      <c r="C253" s="6" t="s">
        <v>356</v>
      </c>
      <c r="D253" s="49">
        <f>'дод 3'!E125+'дод 3'!E160+'дод 3'!E201+'дод 3'!E264+'дод 3'!E61</f>
        <v>81430784</v>
      </c>
      <c r="E253" s="49">
        <f>'дод 3'!F125+'дод 3'!F160+'дод 3'!F201+'дод 3'!F264+'дод 3'!F61</f>
        <v>81430784</v>
      </c>
      <c r="F253" s="49">
        <f>'дод 3'!G125+'дод 3'!G160+'дод 3'!G201+'дод 3'!G264+'дод 3'!G61</f>
        <v>0</v>
      </c>
      <c r="G253" s="49">
        <f>'дод 3'!H125+'дод 3'!H160+'дод 3'!H201+'дод 3'!H264+'дод 3'!H61</f>
        <v>0</v>
      </c>
      <c r="H253" s="49">
        <f>'дод 3'!I125+'дод 3'!I160+'дод 3'!I201+'дод 3'!I264+'дод 3'!I61</f>
        <v>0</v>
      </c>
      <c r="I253" s="49">
        <f>'дод 3'!J125+'дод 3'!J160+'дод 3'!J201+'дод 3'!J264+'дод 3'!J61</f>
        <v>17741619.600000001</v>
      </c>
      <c r="J253" s="49">
        <f>'дод 3'!K125+'дод 3'!K160+'дод 3'!K201+'дод 3'!K264+'дод 3'!K61</f>
        <v>17741619.600000001</v>
      </c>
      <c r="K253" s="49">
        <f>'дод 3'!L125+'дод 3'!L160+'дод 3'!L201+'дод 3'!L264+'дод 3'!L61</f>
        <v>0</v>
      </c>
      <c r="L253" s="49">
        <f>'дод 3'!M125+'дод 3'!M160+'дод 3'!M201+'дод 3'!M264+'дод 3'!M61</f>
        <v>0</v>
      </c>
      <c r="M253" s="49">
        <f>'дод 3'!N125+'дод 3'!N160+'дод 3'!N201+'дод 3'!N264+'дод 3'!N61</f>
        <v>0</v>
      </c>
      <c r="N253" s="49">
        <f>'дод 3'!O125+'дод 3'!O160+'дод 3'!O201+'дод 3'!O264+'дод 3'!O61</f>
        <v>17741619.600000001</v>
      </c>
      <c r="O253" s="49">
        <f>'дод 3'!P125+'дод 3'!P160+'дод 3'!P201+'дод 3'!P264+'дод 3'!P61</f>
        <v>99172403.599999994</v>
      </c>
    </row>
    <row r="254" spans="1:15" s="52" customFormat="1" ht="51" customHeight="1" x14ac:dyDescent="0.25">
      <c r="A254" s="38">
        <v>9800</v>
      </c>
      <c r="B254" s="39" t="s">
        <v>45</v>
      </c>
      <c r="C254" s="9" t="s">
        <v>367</v>
      </c>
      <c r="D254" s="48">
        <f>'дод 3'!E126+'дод 3'!E62</f>
        <v>2107729</v>
      </c>
      <c r="E254" s="48">
        <f>'дод 3'!F126+'дод 3'!F62</f>
        <v>2107729</v>
      </c>
      <c r="F254" s="48">
        <f>'дод 3'!G126+'дод 3'!G62</f>
        <v>0</v>
      </c>
      <c r="G254" s="48">
        <f>'дод 3'!H126+'дод 3'!H62</f>
        <v>0</v>
      </c>
      <c r="H254" s="48">
        <f>'дод 3'!I126+'дод 3'!I62</f>
        <v>0</v>
      </c>
      <c r="I254" s="48">
        <f>'дод 3'!J126+'дод 3'!J62</f>
        <v>2883000</v>
      </c>
      <c r="J254" s="48">
        <f>'дод 3'!K126+'дод 3'!K62</f>
        <v>2883000</v>
      </c>
      <c r="K254" s="48">
        <f>'дод 3'!L126+'дод 3'!L62</f>
        <v>0</v>
      </c>
      <c r="L254" s="48">
        <f>'дод 3'!M126+'дод 3'!M62</f>
        <v>0</v>
      </c>
      <c r="M254" s="48">
        <f>'дод 3'!N126+'дод 3'!N62</f>
        <v>0</v>
      </c>
      <c r="N254" s="48">
        <f>'дод 3'!O126+'дод 3'!O62</f>
        <v>2883000</v>
      </c>
      <c r="O254" s="48">
        <f>'дод 3'!P126+'дод 3'!P62</f>
        <v>4990729</v>
      </c>
    </row>
    <row r="255" spans="1:15" s="52" customFormat="1" ht="18.75" customHeight="1" x14ac:dyDescent="0.25">
      <c r="A255" s="7"/>
      <c r="B255" s="7"/>
      <c r="C255" s="2" t="s">
        <v>408</v>
      </c>
      <c r="D255" s="48">
        <f t="shared" ref="D255:O255" si="59">D17+D24+D79+D100+D141+D146+D155+D167+D226+D242</f>
        <v>2340241122.8400002</v>
      </c>
      <c r="E255" s="48">
        <f t="shared" si="59"/>
        <v>2226849598.9200001</v>
      </c>
      <c r="F255" s="48">
        <f t="shared" si="59"/>
        <v>1078738960</v>
      </c>
      <c r="G255" s="48">
        <f t="shared" si="59"/>
        <v>133676941</v>
      </c>
      <c r="H255" s="48">
        <f t="shared" si="59"/>
        <v>94762864.480000004</v>
      </c>
      <c r="I255" s="48">
        <f t="shared" si="59"/>
        <v>791556557.02999997</v>
      </c>
      <c r="J255" s="48">
        <f t="shared" si="59"/>
        <v>722968712.50999999</v>
      </c>
      <c r="K255" s="48">
        <f t="shared" si="59"/>
        <v>49572501.869999997</v>
      </c>
      <c r="L255" s="48">
        <f t="shared" si="59"/>
        <v>6033355</v>
      </c>
      <c r="M255" s="48">
        <f t="shared" si="59"/>
        <v>266522</v>
      </c>
      <c r="N255" s="48">
        <f t="shared" si="59"/>
        <v>741984055.15999997</v>
      </c>
      <c r="O255" s="48">
        <f t="shared" si="59"/>
        <v>3131797679.8699999</v>
      </c>
    </row>
    <row r="256" spans="1:15" s="53" customFormat="1" ht="18" customHeight="1" x14ac:dyDescent="0.25">
      <c r="A256" s="86"/>
      <c r="B256" s="86"/>
      <c r="C256" s="75" t="s">
        <v>401</v>
      </c>
      <c r="D256" s="76">
        <f t="shared" ref="D256:O256" si="60">D25+D32+D196+D243+D175+D33</f>
        <v>485697135.60000002</v>
      </c>
      <c r="E256" s="76">
        <f t="shared" si="60"/>
        <v>485697135.60000002</v>
      </c>
      <c r="F256" s="76">
        <f t="shared" si="60"/>
        <v>395816000</v>
      </c>
      <c r="G256" s="76">
        <f t="shared" si="60"/>
        <v>0</v>
      </c>
      <c r="H256" s="76">
        <f t="shared" si="60"/>
        <v>0</v>
      </c>
      <c r="I256" s="76">
        <f t="shared" si="60"/>
        <v>30538873.18</v>
      </c>
      <c r="J256" s="76">
        <f t="shared" si="60"/>
        <v>27045923.18</v>
      </c>
      <c r="K256" s="76">
        <f t="shared" si="60"/>
        <v>0</v>
      </c>
      <c r="L256" s="76">
        <f t="shared" si="60"/>
        <v>0</v>
      </c>
      <c r="M256" s="76">
        <f t="shared" si="60"/>
        <v>0</v>
      </c>
      <c r="N256" s="76">
        <f t="shared" si="60"/>
        <v>30538873.18</v>
      </c>
      <c r="O256" s="76">
        <f t="shared" si="60"/>
        <v>516236008.77999997</v>
      </c>
    </row>
    <row r="257" spans="1:513" s="53" customFormat="1" ht="31.5" x14ac:dyDescent="0.25">
      <c r="A257" s="86"/>
      <c r="B257" s="86"/>
      <c r="C257" s="75" t="s">
        <v>402</v>
      </c>
      <c r="D257" s="76">
        <f>D26+D27+D29+D103+D104+D105+D232+D31+D35+D82+D83+D147+D34+D170+D164</f>
        <v>32375819.030000001</v>
      </c>
      <c r="E257" s="76">
        <f t="shared" ref="E257:O257" si="61">E26+E27+E29+E103+E104+E105+E232+E31+E35+E82+E83+E147+E34+E170+E164</f>
        <v>32375819.030000001</v>
      </c>
      <c r="F257" s="76">
        <f t="shared" si="61"/>
        <v>4263524</v>
      </c>
      <c r="G257" s="76">
        <f t="shared" si="61"/>
        <v>0</v>
      </c>
      <c r="H257" s="76">
        <f t="shared" si="61"/>
        <v>0</v>
      </c>
      <c r="I257" s="76">
        <f t="shared" si="61"/>
        <v>20538071.050000001</v>
      </c>
      <c r="J257" s="76">
        <f t="shared" si="61"/>
        <v>20538071.050000001</v>
      </c>
      <c r="K257" s="76">
        <f t="shared" si="61"/>
        <v>0</v>
      </c>
      <c r="L257" s="76">
        <f t="shared" si="61"/>
        <v>0</v>
      </c>
      <c r="M257" s="76">
        <f t="shared" si="61"/>
        <v>0</v>
      </c>
      <c r="N257" s="76">
        <f t="shared" si="61"/>
        <v>20538071.050000001</v>
      </c>
      <c r="O257" s="76">
        <f t="shared" si="61"/>
        <v>52913890.079999998</v>
      </c>
    </row>
    <row r="258" spans="1:513" s="53" customFormat="1" ht="23.25" customHeight="1" x14ac:dyDescent="0.25">
      <c r="A258" s="71"/>
      <c r="B258" s="71"/>
      <c r="C258" s="83" t="s">
        <v>419</v>
      </c>
      <c r="D258" s="76">
        <f>D171</f>
        <v>0</v>
      </c>
      <c r="E258" s="76">
        <f t="shared" ref="E258:O258" si="62">E171</f>
        <v>0</v>
      </c>
      <c r="F258" s="76">
        <f t="shared" si="62"/>
        <v>0</v>
      </c>
      <c r="G258" s="76">
        <f t="shared" si="62"/>
        <v>0</v>
      </c>
      <c r="H258" s="76">
        <f t="shared" si="62"/>
        <v>0</v>
      </c>
      <c r="I258" s="76">
        <f t="shared" si="62"/>
        <v>127771665.12</v>
      </c>
      <c r="J258" s="76">
        <f t="shared" si="62"/>
        <v>127771665.12</v>
      </c>
      <c r="K258" s="76">
        <f t="shared" si="62"/>
        <v>0</v>
      </c>
      <c r="L258" s="76">
        <f t="shared" si="62"/>
        <v>0</v>
      </c>
      <c r="M258" s="76">
        <f t="shared" si="62"/>
        <v>0</v>
      </c>
      <c r="N258" s="76">
        <f t="shared" si="62"/>
        <v>127771665.12</v>
      </c>
      <c r="O258" s="76">
        <f t="shared" si="62"/>
        <v>127771665.12</v>
      </c>
    </row>
    <row r="259" spans="1:513" s="52" customFormat="1" ht="19.5" customHeight="1" x14ac:dyDescent="0.25">
      <c r="A259" s="63"/>
      <c r="B259" s="63"/>
      <c r="C259" s="64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</row>
    <row r="260" spans="1:513" s="52" customFormat="1" x14ac:dyDescent="0.25">
      <c r="A260" s="63"/>
      <c r="B260" s="63"/>
      <c r="C260" s="64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</row>
    <row r="261" spans="1:513" s="52" customFormat="1" ht="30" customHeight="1" x14ac:dyDescent="0.55000000000000004">
      <c r="A261" s="63"/>
      <c r="B261" s="63"/>
      <c r="C261" s="64"/>
      <c r="D261" s="65"/>
      <c r="E261" s="65"/>
      <c r="F261" s="65"/>
      <c r="G261" s="65"/>
      <c r="H261" s="65"/>
      <c r="I261" s="65"/>
      <c r="J261" s="135"/>
      <c r="K261" s="65"/>
      <c r="L261" s="65"/>
      <c r="M261" s="65"/>
      <c r="N261" s="65"/>
      <c r="O261" s="65"/>
    </row>
    <row r="262" spans="1:513" s="146" customFormat="1" ht="47.25" customHeight="1" x14ac:dyDescent="0.55000000000000004">
      <c r="A262" s="143" t="s">
        <v>622</v>
      </c>
      <c r="B262" s="144"/>
      <c r="C262" s="145"/>
      <c r="D262" s="135"/>
      <c r="E262" s="135"/>
      <c r="F262" s="135"/>
      <c r="G262" s="135"/>
      <c r="H262" s="135"/>
      <c r="I262" s="135"/>
      <c r="J262" s="47"/>
      <c r="K262" s="135"/>
      <c r="L262" s="135" t="s">
        <v>626</v>
      </c>
      <c r="M262" s="136"/>
      <c r="N262" s="136"/>
      <c r="O262" s="136"/>
      <c r="P262" s="147"/>
      <c r="Q262" s="147"/>
      <c r="R262" s="147"/>
      <c r="S262" s="147"/>
      <c r="T262" s="147"/>
      <c r="U262" s="147"/>
      <c r="V262" s="147"/>
      <c r="W262" s="147"/>
      <c r="X262" s="147"/>
      <c r="Y262" s="147"/>
      <c r="Z262" s="147"/>
      <c r="AA262" s="147"/>
      <c r="AB262" s="147"/>
      <c r="AC262" s="147"/>
      <c r="AD262" s="147"/>
      <c r="AE262" s="147"/>
      <c r="AF262" s="147"/>
      <c r="AG262" s="147"/>
      <c r="AH262" s="147"/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147"/>
      <c r="AW262" s="147"/>
      <c r="AX262" s="147"/>
      <c r="AY262" s="147"/>
      <c r="AZ262" s="147"/>
      <c r="BA262" s="147"/>
      <c r="BB262" s="147"/>
      <c r="BC262" s="147"/>
      <c r="BD262" s="147"/>
      <c r="BE262" s="147"/>
      <c r="BF262" s="147"/>
      <c r="BG262" s="147"/>
      <c r="BH262" s="147"/>
      <c r="BI262" s="147"/>
      <c r="BJ262" s="147"/>
      <c r="BK262" s="147"/>
      <c r="BL262" s="147"/>
      <c r="BM262" s="147"/>
      <c r="BN262" s="147"/>
      <c r="BO262" s="147"/>
      <c r="BP262" s="147"/>
      <c r="BQ262" s="147"/>
      <c r="BR262" s="147"/>
      <c r="BS262" s="147"/>
      <c r="BT262" s="147"/>
      <c r="BU262" s="147"/>
      <c r="BV262" s="147"/>
      <c r="BW262" s="147"/>
      <c r="BX262" s="147"/>
      <c r="BY262" s="147"/>
      <c r="BZ262" s="147"/>
      <c r="CA262" s="147"/>
      <c r="CB262" s="147"/>
      <c r="CC262" s="147"/>
      <c r="CD262" s="147"/>
      <c r="CE262" s="147"/>
      <c r="CF262" s="147"/>
      <c r="CG262" s="147"/>
      <c r="CH262" s="147"/>
      <c r="CI262" s="147"/>
      <c r="CJ262" s="147"/>
      <c r="CK262" s="147"/>
      <c r="CL262" s="147"/>
      <c r="CM262" s="147"/>
      <c r="CN262" s="147"/>
      <c r="CO262" s="147"/>
      <c r="CP262" s="147"/>
      <c r="CQ262" s="147"/>
      <c r="CR262" s="147"/>
      <c r="CS262" s="147"/>
      <c r="CT262" s="147"/>
      <c r="CU262" s="147"/>
      <c r="CV262" s="147"/>
      <c r="CW262" s="147"/>
      <c r="CX262" s="147"/>
      <c r="CY262" s="147"/>
      <c r="CZ262" s="147"/>
      <c r="DA262" s="147"/>
      <c r="DB262" s="147"/>
      <c r="DC262" s="147"/>
      <c r="DD262" s="147"/>
      <c r="DE262" s="147"/>
      <c r="DF262" s="147"/>
      <c r="DG262" s="147"/>
      <c r="DH262" s="147"/>
      <c r="DI262" s="147"/>
      <c r="DJ262" s="147"/>
      <c r="DK262" s="147"/>
      <c r="DL262" s="147"/>
      <c r="DM262" s="147"/>
      <c r="DN262" s="147"/>
      <c r="DO262" s="147"/>
      <c r="DP262" s="147"/>
      <c r="DQ262" s="147"/>
      <c r="DR262" s="147"/>
      <c r="DS262" s="147"/>
      <c r="DT262" s="147"/>
      <c r="DU262" s="147"/>
      <c r="DV262" s="147"/>
      <c r="DW262" s="147"/>
      <c r="DX262" s="147"/>
      <c r="DY262" s="147"/>
      <c r="DZ262" s="147"/>
      <c r="EA262" s="147"/>
      <c r="EB262" s="147"/>
      <c r="EC262" s="147"/>
      <c r="ED262" s="147"/>
      <c r="EE262" s="147"/>
      <c r="EF262" s="147"/>
      <c r="EG262" s="147"/>
      <c r="EH262" s="147"/>
      <c r="EI262" s="147"/>
      <c r="EJ262" s="147"/>
      <c r="EK262" s="147"/>
      <c r="EL262" s="147"/>
      <c r="EM262" s="147"/>
      <c r="EN262" s="147"/>
      <c r="EO262" s="147"/>
      <c r="EP262" s="147"/>
      <c r="EQ262" s="147"/>
      <c r="ER262" s="147"/>
      <c r="ES262" s="147"/>
      <c r="ET262" s="147"/>
      <c r="EU262" s="147"/>
      <c r="EV262" s="147"/>
      <c r="EW262" s="147"/>
      <c r="EX262" s="147"/>
      <c r="EY262" s="147"/>
      <c r="EZ262" s="147"/>
      <c r="FA262" s="147"/>
      <c r="FB262" s="147"/>
      <c r="FC262" s="147"/>
      <c r="FD262" s="147"/>
      <c r="FE262" s="147"/>
      <c r="FF262" s="147"/>
      <c r="FG262" s="147"/>
      <c r="FH262" s="147"/>
      <c r="FI262" s="147"/>
      <c r="FJ262" s="147"/>
      <c r="FK262" s="147"/>
      <c r="FL262" s="147"/>
      <c r="FM262" s="147"/>
      <c r="FN262" s="147"/>
      <c r="FO262" s="147"/>
      <c r="FP262" s="147"/>
      <c r="FQ262" s="147"/>
      <c r="FR262" s="147"/>
      <c r="FS262" s="147"/>
      <c r="FT262" s="147"/>
      <c r="FU262" s="147"/>
      <c r="FV262" s="147"/>
      <c r="FW262" s="147"/>
      <c r="FX262" s="147"/>
      <c r="FY262" s="147"/>
      <c r="FZ262" s="147"/>
      <c r="GA262" s="147"/>
      <c r="GB262" s="147"/>
      <c r="GC262" s="147"/>
      <c r="GD262" s="147"/>
      <c r="GE262" s="147"/>
      <c r="GF262" s="147"/>
      <c r="GG262" s="147"/>
      <c r="GH262" s="147"/>
      <c r="GI262" s="147"/>
      <c r="GJ262" s="147"/>
      <c r="GK262" s="147"/>
      <c r="GL262" s="147"/>
      <c r="GM262" s="147"/>
      <c r="GN262" s="147"/>
      <c r="GO262" s="147"/>
      <c r="GP262" s="147"/>
      <c r="GQ262" s="147"/>
      <c r="GR262" s="147"/>
      <c r="GS262" s="147"/>
      <c r="GT262" s="147"/>
      <c r="GU262" s="147"/>
      <c r="GV262" s="147"/>
      <c r="GW262" s="147"/>
      <c r="GX262" s="147"/>
      <c r="GY262" s="147"/>
      <c r="GZ262" s="147"/>
      <c r="HA262" s="147"/>
      <c r="HB262" s="147"/>
      <c r="HC262" s="147"/>
      <c r="HD262" s="147"/>
      <c r="HE262" s="147"/>
      <c r="HF262" s="147"/>
      <c r="HG262" s="147"/>
      <c r="HH262" s="147"/>
      <c r="HI262" s="147"/>
      <c r="HJ262" s="147"/>
      <c r="HK262" s="147"/>
      <c r="HL262" s="147"/>
      <c r="HM262" s="147"/>
      <c r="HN262" s="147"/>
      <c r="HO262" s="147"/>
      <c r="HP262" s="147"/>
      <c r="HQ262" s="147"/>
      <c r="HR262" s="147"/>
      <c r="HS262" s="147"/>
      <c r="HT262" s="147"/>
      <c r="HU262" s="147"/>
      <c r="HV262" s="147"/>
      <c r="HW262" s="147"/>
      <c r="HX262" s="147"/>
      <c r="HY262" s="147"/>
      <c r="HZ262" s="147"/>
      <c r="IA262" s="147"/>
      <c r="IB262" s="147"/>
      <c r="IC262" s="147"/>
      <c r="ID262" s="147"/>
      <c r="IE262" s="147"/>
      <c r="IF262" s="147"/>
      <c r="IG262" s="147"/>
      <c r="IH262" s="147"/>
      <c r="II262" s="147"/>
      <c r="IJ262" s="147"/>
      <c r="IK262" s="147"/>
      <c r="IL262" s="147"/>
      <c r="IM262" s="147"/>
      <c r="IN262" s="147"/>
      <c r="IO262" s="147"/>
      <c r="IP262" s="147"/>
      <c r="IQ262" s="147"/>
      <c r="IR262" s="147"/>
      <c r="IS262" s="147"/>
      <c r="IT262" s="147"/>
      <c r="IU262" s="147"/>
      <c r="IV262" s="147"/>
      <c r="IW262" s="147"/>
      <c r="IX262" s="147"/>
      <c r="IY262" s="147"/>
      <c r="IZ262" s="147"/>
      <c r="JA262" s="147"/>
      <c r="JB262" s="147"/>
      <c r="JC262" s="147"/>
      <c r="JD262" s="147"/>
      <c r="JE262" s="147"/>
      <c r="JF262" s="147"/>
      <c r="JG262" s="147"/>
      <c r="JH262" s="147"/>
      <c r="JI262" s="147"/>
      <c r="JJ262" s="147"/>
      <c r="JK262" s="147"/>
      <c r="JL262" s="147"/>
      <c r="JM262" s="147"/>
      <c r="JN262" s="147"/>
      <c r="JO262" s="147"/>
      <c r="JP262" s="147"/>
      <c r="JQ262" s="147"/>
      <c r="JR262" s="147"/>
      <c r="JS262" s="147"/>
      <c r="JT262" s="147"/>
      <c r="JU262" s="147"/>
      <c r="JV262" s="147"/>
      <c r="JW262" s="147"/>
      <c r="JX262" s="147"/>
      <c r="JY262" s="147"/>
      <c r="JZ262" s="147"/>
      <c r="KA262" s="147"/>
      <c r="KB262" s="147"/>
      <c r="KC262" s="147"/>
      <c r="KD262" s="147"/>
      <c r="KE262" s="147"/>
      <c r="KF262" s="147"/>
      <c r="KG262" s="147"/>
      <c r="KH262" s="147"/>
      <c r="KI262" s="147"/>
      <c r="KJ262" s="147"/>
      <c r="KK262" s="147"/>
      <c r="KL262" s="147"/>
      <c r="KM262" s="147"/>
      <c r="KN262" s="147"/>
      <c r="KO262" s="147"/>
      <c r="KP262" s="147"/>
      <c r="KQ262" s="147"/>
      <c r="KR262" s="147"/>
      <c r="KS262" s="147"/>
      <c r="KT262" s="147"/>
      <c r="KU262" s="147"/>
      <c r="KV262" s="147"/>
      <c r="KW262" s="147"/>
      <c r="KX262" s="147"/>
      <c r="KY262" s="147"/>
      <c r="KZ262" s="147"/>
      <c r="LA262" s="147"/>
      <c r="LB262" s="147"/>
      <c r="LC262" s="147"/>
      <c r="LD262" s="147"/>
      <c r="LE262" s="147"/>
      <c r="LF262" s="147"/>
      <c r="LG262" s="147"/>
      <c r="LH262" s="147"/>
      <c r="LI262" s="147"/>
      <c r="LJ262" s="147"/>
      <c r="LK262" s="147"/>
      <c r="LL262" s="147"/>
      <c r="LM262" s="147"/>
      <c r="LN262" s="147"/>
      <c r="LO262" s="147"/>
      <c r="LP262" s="147"/>
      <c r="LQ262" s="147"/>
      <c r="LR262" s="147"/>
      <c r="LS262" s="147"/>
      <c r="LT262" s="147"/>
      <c r="LU262" s="147"/>
      <c r="LV262" s="147"/>
      <c r="LW262" s="147"/>
      <c r="LX262" s="147"/>
      <c r="LY262" s="147"/>
      <c r="LZ262" s="147"/>
      <c r="MA262" s="147"/>
      <c r="MB262" s="147"/>
      <c r="MC262" s="147"/>
      <c r="MD262" s="147"/>
      <c r="ME262" s="147"/>
      <c r="MF262" s="147"/>
      <c r="MG262" s="147"/>
      <c r="MH262" s="147"/>
      <c r="MI262" s="147"/>
      <c r="MJ262" s="147"/>
      <c r="MK262" s="147"/>
      <c r="ML262" s="147"/>
      <c r="MM262" s="147"/>
      <c r="MN262" s="147"/>
      <c r="MO262" s="147"/>
      <c r="MP262" s="147"/>
      <c r="MQ262" s="147"/>
      <c r="MR262" s="147"/>
      <c r="MS262" s="147"/>
      <c r="MT262" s="147"/>
      <c r="MU262" s="147"/>
      <c r="MV262" s="147"/>
      <c r="MW262" s="147"/>
      <c r="MX262" s="147"/>
      <c r="MY262" s="147"/>
      <c r="MZ262" s="147"/>
      <c r="NA262" s="147"/>
      <c r="NB262" s="147"/>
      <c r="NC262" s="147"/>
      <c r="ND262" s="147"/>
      <c r="NE262" s="147"/>
      <c r="NF262" s="147"/>
      <c r="NG262" s="147"/>
      <c r="NH262" s="147"/>
      <c r="NI262" s="147"/>
      <c r="NJ262" s="147"/>
      <c r="NK262" s="147"/>
      <c r="NL262" s="147"/>
      <c r="NM262" s="147"/>
      <c r="NN262" s="147"/>
      <c r="NO262" s="147"/>
      <c r="NP262" s="147"/>
      <c r="NQ262" s="147"/>
      <c r="NR262" s="147"/>
      <c r="NS262" s="147"/>
      <c r="NT262" s="147"/>
      <c r="NU262" s="147"/>
      <c r="NV262" s="147"/>
      <c r="NW262" s="147"/>
      <c r="NX262" s="147"/>
      <c r="NY262" s="147"/>
      <c r="NZ262" s="147"/>
      <c r="OA262" s="147"/>
      <c r="OB262" s="147"/>
      <c r="OC262" s="147"/>
      <c r="OD262" s="147"/>
      <c r="OE262" s="147"/>
      <c r="OF262" s="147"/>
      <c r="OG262" s="147"/>
      <c r="OH262" s="147"/>
      <c r="OI262" s="147"/>
      <c r="OJ262" s="147"/>
      <c r="OK262" s="147"/>
      <c r="OL262" s="147"/>
      <c r="OM262" s="147"/>
      <c r="ON262" s="147"/>
      <c r="OO262" s="147"/>
      <c r="OP262" s="147"/>
      <c r="OQ262" s="147"/>
      <c r="OR262" s="147"/>
      <c r="OS262" s="147"/>
      <c r="OT262" s="147"/>
      <c r="OU262" s="147"/>
      <c r="OV262" s="147"/>
      <c r="OW262" s="147"/>
      <c r="OX262" s="147"/>
      <c r="OY262" s="147"/>
      <c r="OZ262" s="147"/>
      <c r="PA262" s="147"/>
      <c r="PB262" s="147"/>
      <c r="PC262" s="147"/>
      <c r="PD262" s="147"/>
      <c r="PE262" s="147"/>
      <c r="PF262" s="147"/>
      <c r="PG262" s="147"/>
      <c r="PH262" s="147"/>
      <c r="PI262" s="147"/>
      <c r="PJ262" s="147"/>
      <c r="PK262" s="147"/>
      <c r="PL262" s="147"/>
      <c r="PM262" s="147"/>
      <c r="PN262" s="147"/>
      <c r="PO262" s="147"/>
      <c r="PP262" s="147"/>
      <c r="PQ262" s="147"/>
      <c r="PR262" s="147"/>
      <c r="PS262" s="147"/>
      <c r="PT262" s="147"/>
      <c r="PU262" s="147"/>
      <c r="PV262" s="147"/>
      <c r="PW262" s="147"/>
      <c r="PX262" s="147"/>
      <c r="PY262" s="147"/>
      <c r="PZ262" s="147"/>
      <c r="QA262" s="147"/>
      <c r="QB262" s="147"/>
      <c r="QC262" s="147"/>
      <c r="QD262" s="147"/>
      <c r="QE262" s="147"/>
      <c r="QF262" s="147"/>
      <c r="QG262" s="147"/>
      <c r="QH262" s="147"/>
      <c r="QI262" s="147"/>
      <c r="QJ262" s="147"/>
      <c r="QK262" s="147"/>
      <c r="QL262" s="147"/>
      <c r="QM262" s="147"/>
      <c r="QN262" s="147"/>
      <c r="QO262" s="147"/>
      <c r="QP262" s="147"/>
      <c r="QQ262" s="147"/>
      <c r="QR262" s="147"/>
      <c r="QS262" s="147"/>
      <c r="QT262" s="147"/>
      <c r="QU262" s="147"/>
      <c r="QV262" s="147"/>
      <c r="QW262" s="147"/>
      <c r="QX262" s="147"/>
      <c r="QY262" s="147"/>
      <c r="QZ262" s="147"/>
      <c r="RA262" s="147"/>
      <c r="RB262" s="147"/>
      <c r="RC262" s="147"/>
      <c r="RD262" s="147"/>
      <c r="RE262" s="147"/>
      <c r="RF262" s="147"/>
      <c r="RG262" s="147"/>
      <c r="RH262" s="147"/>
      <c r="RI262" s="147"/>
      <c r="RJ262" s="147"/>
      <c r="RK262" s="147"/>
      <c r="RL262" s="147"/>
      <c r="RM262" s="147"/>
      <c r="RN262" s="147"/>
      <c r="RO262" s="147"/>
      <c r="RP262" s="147"/>
      <c r="RQ262" s="147"/>
      <c r="RR262" s="147"/>
      <c r="RS262" s="147"/>
      <c r="RT262" s="147"/>
      <c r="RU262" s="147"/>
      <c r="RV262" s="147"/>
      <c r="RW262" s="147"/>
      <c r="RX262" s="147"/>
      <c r="RY262" s="147"/>
      <c r="RZ262" s="147"/>
      <c r="SA262" s="147"/>
      <c r="SB262" s="147"/>
      <c r="SC262" s="147"/>
      <c r="SD262" s="147"/>
      <c r="SE262" s="147"/>
      <c r="SF262" s="147"/>
      <c r="SG262" s="147"/>
      <c r="SH262" s="147"/>
      <c r="SI262" s="147"/>
      <c r="SJ262" s="147"/>
      <c r="SK262" s="147"/>
      <c r="SL262" s="147"/>
      <c r="SM262" s="147"/>
      <c r="SN262" s="147"/>
      <c r="SO262" s="147"/>
      <c r="SP262" s="147"/>
      <c r="SQ262" s="147"/>
      <c r="SR262" s="147"/>
      <c r="SS262" s="147"/>
    </row>
    <row r="263" spans="1:513" s="28" customFormat="1" ht="22.5" customHeight="1" x14ac:dyDescent="0.45">
      <c r="A263" s="56"/>
      <c r="B263" s="61"/>
      <c r="C263" s="61"/>
      <c r="D263" s="35"/>
      <c r="E263" s="47"/>
      <c r="F263" s="47"/>
      <c r="G263" s="47"/>
      <c r="H263" s="47"/>
      <c r="I263" s="47"/>
      <c r="J263" s="138"/>
      <c r="K263" s="47"/>
      <c r="L263" s="47"/>
      <c r="M263" s="47"/>
      <c r="N263" s="47"/>
      <c r="O263" s="47"/>
    </row>
    <row r="264" spans="1:513" s="139" customFormat="1" ht="31.5" x14ac:dyDescent="0.45">
      <c r="A264" s="137" t="s">
        <v>620</v>
      </c>
      <c r="B264" s="137"/>
      <c r="C264" s="137"/>
      <c r="D264" s="137"/>
      <c r="E264" s="138"/>
      <c r="F264" s="138"/>
      <c r="G264" s="138"/>
      <c r="H264" s="138"/>
      <c r="I264" s="138"/>
      <c r="J264" s="125"/>
      <c r="K264" s="138"/>
      <c r="L264" s="138"/>
      <c r="M264" s="138"/>
      <c r="N264" s="138"/>
      <c r="O264" s="138"/>
    </row>
    <row r="265" spans="1:513" s="126" customFormat="1" ht="25.5" customHeight="1" x14ac:dyDescent="0.4">
      <c r="A265" s="163" t="s">
        <v>553</v>
      </c>
      <c r="B265" s="163"/>
      <c r="C265" s="128"/>
      <c r="D265" s="129"/>
      <c r="E265" s="125"/>
      <c r="F265" s="125"/>
      <c r="G265" s="125"/>
      <c r="H265" s="125"/>
      <c r="I265" s="125"/>
      <c r="J265" s="133"/>
      <c r="K265" s="125"/>
      <c r="L265" s="125"/>
      <c r="M265" s="125"/>
      <c r="N265" s="125"/>
      <c r="O265" s="125"/>
    </row>
    <row r="266" spans="1:513" s="133" customFormat="1" ht="18.75" customHeight="1" x14ac:dyDescent="0.4">
      <c r="A266" s="130"/>
      <c r="B266" s="131"/>
      <c r="C266" s="132"/>
      <c r="J266" s="4"/>
    </row>
    <row r="274" spans="4:15" x14ac:dyDescent="0.25">
      <c r="D274" s="157">
        <f>'дод 3'!E319-'дод 8'!D255</f>
        <v>0</v>
      </c>
      <c r="E274" s="157">
        <f>'дод 3'!F319-'дод 8'!E255</f>
        <v>0</v>
      </c>
      <c r="F274" s="157">
        <f>'дод 3'!G319-'дод 8'!F255</f>
        <v>0</v>
      </c>
      <c r="G274" s="157">
        <f>'дод 3'!H319-'дод 8'!G255</f>
        <v>0</v>
      </c>
      <c r="H274" s="157">
        <f>'дод 3'!I319-'дод 8'!H255</f>
        <v>0</v>
      </c>
      <c r="I274" s="157">
        <f>'дод 3'!J319-'дод 8'!I255</f>
        <v>0</v>
      </c>
      <c r="J274" s="157">
        <f>'дод 3'!K319-'дод 8'!J255</f>
        <v>0</v>
      </c>
      <c r="K274" s="157">
        <f>'дод 3'!L319-'дод 8'!K255</f>
        <v>0</v>
      </c>
      <c r="L274" s="157">
        <f>'дод 3'!M319-'дод 8'!L255</f>
        <v>0</v>
      </c>
      <c r="M274" s="157">
        <f>'дод 3'!N319-'дод 8'!M255</f>
        <v>0</v>
      </c>
      <c r="N274" s="157">
        <f>'дод 3'!O319-'дод 8'!N255</f>
        <v>0</v>
      </c>
      <c r="O274" s="157">
        <f>'дод 3'!P319-'дод 8'!O255</f>
        <v>0</v>
      </c>
    </row>
    <row r="275" spans="4:15" x14ac:dyDescent="0.25">
      <c r="D275" s="157">
        <f>'дод 3'!E320-'дод 8'!D256</f>
        <v>0</v>
      </c>
      <c r="E275" s="157">
        <f>'дод 3'!F320-'дод 8'!E256</f>
        <v>0</v>
      </c>
      <c r="F275" s="157">
        <f>'дод 3'!G320-'дод 8'!F256</f>
        <v>0</v>
      </c>
      <c r="G275" s="157">
        <f>'дод 3'!H320-'дод 8'!G256</f>
        <v>0</v>
      </c>
      <c r="H275" s="157">
        <f>'дод 3'!I320-'дод 8'!H256</f>
        <v>0</v>
      </c>
      <c r="I275" s="157">
        <f>'дод 3'!J320-'дод 8'!I256</f>
        <v>0</v>
      </c>
      <c r="J275" s="157">
        <f>'дод 3'!K320-'дод 8'!J256</f>
        <v>0</v>
      </c>
      <c r="K275" s="157">
        <f>'дод 3'!L320-'дод 8'!K256</f>
        <v>0</v>
      </c>
      <c r="L275" s="157">
        <f>'дод 3'!M320-'дод 8'!L256</f>
        <v>0</v>
      </c>
      <c r="M275" s="157">
        <f>'дод 3'!N320-'дод 8'!M256</f>
        <v>0</v>
      </c>
      <c r="N275" s="157">
        <f>'дод 3'!O320-'дод 8'!N256</f>
        <v>0</v>
      </c>
      <c r="O275" s="157">
        <f>'дод 3'!P320-'дод 8'!O256</f>
        <v>0</v>
      </c>
    </row>
    <row r="276" spans="4:15" x14ac:dyDescent="0.25">
      <c r="D276" s="157">
        <f>'дод 3'!E321-'дод 8'!D257</f>
        <v>0</v>
      </c>
      <c r="E276" s="157">
        <f>'дод 3'!F321-'дод 8'!E257</f>
        <v>0</v>
      </c>
      <c r="F276" s="157">
        <f>'дод 3'!G321-'дод 8'!F257</f>
        <v>0</v>
      </c>
      <c r="G276" s="157">
        <f>'дод 3'!H321-'дод 8'!G257</f>
        <v>0</v>
      </c>
      <c r="H276" s="157">
        <f>'дод 3'!I321-'дод 8'!H257</f>
        <v>0</v>
      </c>
      <c r="I276" s="157">
        <f>'дод 3'!J321-'дод 8'!I257</f>
        <v>0</v>
      </c>
      <c r="J276" s="157">
        <f>'дод 3'!K321-'дод 8'!J257</f>
        <v>0</v>
      </c>
      <c r="K276" s="157">
        <f>'дод 3'!L321-'дод 8'!K257</f>
        <v>0</v>
      </c>
      <c r="L276" s="157">
        <f>'дод 3'!M321-'дод 8'!L257</f>
        <v>0</v>
      </c>
      <c r="M276" s="157">
        <f>'дод 3'!N321-'дод 8'!M257</f>
        <v>0</v>
      </c>
      <c r="N276" s="157">
        <f>'дод 3'!O321-'дод 8'!N257</f>
        <v>0</v>
      </c>
      <c r="O276" s="157">
        <f>'дод 3'!P321-'дод 8'!O257</f>
        <v>0</v>
      </c>
    </row>
    <row r="277" spans="4:15" x14ac:dyDescent="0.25">
      <c r="D277" s="157">
        <f>'дод 3'!E322-'дод 8'!D258</f>
        <v>0</v>
      </c>
      <c r="E277" s="157">
        <f>'дод 3'!F322-'дод 8'!E258</f>
        <v>0</v>
      </c>
      <c r="F277" s="157">
        <f>'дод 3'!G322-'дод 8'!F258</f>
        <v>0</v>
      </c>
      <c r="G277" s="157">
        <f>'дод 3'!H322-'дод 8'!G258</f>
        <v>0</v>
      </c>
      <c r="H277" s="157">
        <f>'дод 3'!I322-'дод 8'!H258</f>
        <v>0</v>
      </c>
      <c r="I277" s="157">
        <f>'дод 3'!J322-'дод 8'!I258</f>
        <v>0</v>
      </c>
      <c r="J277" s="157">
        <f>'дод 3'!K322-'дод 8'!J258</f>
        <v>0</v>
      </c>
      <c r="K277" s="157">
        <f>'дод 3'!L322-'дод 8'!K258</f>
        <v>0</v>
      </c>
      <c r="L277" s="157">
        <f>'дод 3'!M322-'дод 8'!L258</f>
        <v>0</v>
      </c>
      <c r="M277" s="157">
        <f>'дод 3'!N322-'дод 8'!M258</f>
        <v>0</v>
      </c>
      <c r="N277" s="157">
        <f>'дод 3'!O322-'дод 8'!N258</f>
        <v>0</v>
      </c>
      <c r="O277" s="157">
        <f>'дод 3'!P322-'дод 8'!O258</f>
        <v>0</v>
      </c>
    </row>
    <row r="278" spans="4:15" x14ac:dyDescent="0.25">
      <c r="D278" s="157">
        <f>'дод 3'!E323-'дод 8'!D259</f>
        <v>0</v>
      </c>
      <c r="E278" s="157">
        <f>'дод 3'!F323-'дод 8'!E259</f>
        <v>0</v>
      </c>
      <c r="F278" s="157">
        <f>'дод 3'!G323-'дод 8'!F259</f>
        <v>0</v>
      </c>
      <c r="G278" s="157">
        <f>'дод 3'!H323-'дод 8'!G259</f>
        <v>0</v>
      </c>
      <c r="H278" s="157">
        <f>'дод 3'!I323-'дод 8'!H259</f>
        <v>0</v>
      </c>
      <c r="I278" s="157">
        <f>'дод 3'!J323-'дод 8'!I259</f>
        <v>0</v>
      </c>
      <c r="J278" s="157">
        <f>'дод 3'!K323-'дод 8'!J259</f>
        <v>0</v>
      </c>
      <c r="K278" s="157">
        <f>'дод 3'!L323-'дод 8'!K259</f>
        <v>0</v>
      </c>
      <c r="L278" s="157">
        <f>'дод 3'!M323-'дод 8'!L259</f>
        <v>0</v>
      </c>
      <c r="M278" s="157">
        <f>'дод 3'!N323-'дод 8'!M259</f>
        <v>0</v>
      </c>
      <c r="N278" s="157">
        <f>'дод 3'!O323-'дод 8'!N259</f>
        <v>0</v>
      </c>
      <c r="O278" s="157">
        <f>'дод 3'!P323-'дод 8'!O259</f>
        <v>0</v>
      </c>
    </row>
    <row r="279" spans="4:15" x14ac:dyDescent="0.25">
      <c r="D279" s="157">
        <f>'дод 3'!E324-'дод 8'!D260</f>
        <v>0</v>
      </c>
      <c r="E279" s="157">
        <f>'дод 3'!F324-'дод 8'!E260</f>
        <v>0</v>
      </c>
      <c r="F279" s="157">
        <f>'дод 3'!G324-'дод 8'!F260</f>
        <v>0</v>
      </c>
      <c r="G279" s="157">
        <f>'дод 3'!H324-'дод 8'!G260</f>
        <v>0</v>
      </c>
      <c r="H279" s="157">
        <f>'дод 3'!I324-'дод 8'!H260</f>
        <v>0</v>
      </c>
      <c r="I279" s="157">
        <f>'дод 3'!J324-'дод 8'!I260</f>
        <v>0</v>
      </c>
      <c r="J279" s="157">
        <f>'дод 3'!K324-'дод 8'!J260</f>
        <v>0</v>
      </c>
      <c r="K279" s="157">
        <f>'дод 3'!L324-'дод 8'!K260</f>
        <v>0</v>
      </c>
      <c r="L279" s="157">
        <f>'дод 3'!M324-'дод 8'!L260</f>
        <v>0</v>
      </c>
      <c r="M279" s="157">
        <f>'дод 3'!N324-'дод 8'!M260</f>
        <v>0</v>
      </c>
      <c r="N279" s="157">
        <f>'дод 3'!O324-'дод 8'!N260</f>
        <v>0</v>
      </c>
      <c r="O279" s="157">
        <f>'дод 3'!P324-'дод 8'!O260</f>
        <v>0</v>
      </c>
    </row>
  </sheetData>
  <mergeCells count="25">
    <mergeCell ref="J1:O1"/>
    <mergeCell ref="A10:O10"/>
    <mergeCell ref="B14:B16"/>
    <mergeCell ref="C14:C16"/>
    <mergeCell ref="A14:A16"/>
    <mergeCell ref="D15:D16"/>
    <mergeCell ref="E15:E16"/>
    <mergeCell ref="F15:G15"/>
    <mergeCell ref="K15:K16"/>
    <mergeCell ref="H15:H16"/>
    <mergeCell ref="I15:I16"/>
    <mergeCell ref="L15:M15"/>
    <mergeCell ref="N15:N16"/>
    <mergeCell ref="D14:H14"/>
    <mergeCell ref="J3:O3"/>
    <mergeCell ref="J15:J16"/>
    <mergeCell ref="A265:B265"/>
    <mergeCell ref="O14:O16"/>
    <mergeCell ref="J4:O4"/>
    <mergeCell ref="J5:O5"/>
    <mergeCell ref="J6:O6"/>
    <mergeCell ref="J8:O8"/>
    <mergeCell ref="I14:N14"/>
    <mergeCell ref="A11:O11"/>
    <mergeCell ref="A12:O12"/>
  </mergeCells>
  <phoneticPr fontId="3" type="noConversion"/>
  <printOptions horizontalCentered="1"/>
  <pageMargins left="0" right="0" top="0.86614173228346458" bottom="0.47244094488188981" header="0" footer="0.31496062992125984"/>
  <pageSetup paperSize="9" scale="44" fitToHeight="100" orientation="landscape" verticalDpi="300" r:id="rId1"/>
  <headerFooter scaleWithDoc="0" alignWithMargins="0">
    <oddHeader xml:space="preserve">&amp;R
</oddHeader>
    <oddFooter>&amp;R&amp;9Сторінка &amp;P</oddFooter>
  </headerFooter>
  <rowBreaks count="2" manualBreakCount="2">
    <brk id="193" max="14" man="1"/>
    <brk id="22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8</vt:lpstr>
      <vt:lpstr>'дод 3'!Заголовки_для_печати</vt:lpstr>
      <vt:lpstr>'дод 8'!Заголовки_для_печати</vt:lpstr>
      <vt:lpstr>'дод 3'!Область_печати</vt:lpstr>
      <vt:lpstr>'дод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Кравченко Марина Анатоліївна</cp:lastModifiedBy>
  <cp:lastPrinted>2021-10-27T13:09:48Z</cp:lastPrinted>
  <dcterms:created xsi:type="dcterms:W3CDTF">2014-01-17T10:52:16Z</dcterms:created>
  <dcterms:modified xsi:type="dcterms:W3CDTF">2021-10-27T13:09:53Z</dcterms:modified>
</cp:coreProperties>
</file>