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6" sheetId="1" r:id="rId1"/>
  </sheets>
  <definedNames>
    <definedName name="_xlfn.AGGREGATE" hidden="1">#NAME?</definedName>
    <definedName name="_xlnm.Print_Titles" localSheetId="0">'дод 6'!$15:$16</definedName>
    <definedName name="_xlnm.Print_Area" localSheetId="0">'дод 6'!$A$1:$J$311</definedName>
  </definedNames>
  <calcPr fullCalcOnLoad="1"/>
</workbook>
</file>

<file path=xl/sharedStrings.xml><?xml version="1.0" encoding="utf-8"?>
<sst xmlns="http://schemas.openxmlformats.org/spreadsheetml/2006/main" count="1269" uniqueCount="583">
  <si>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</si>
  <si>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</si>
  <si>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</si>
  <si>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</si>
  <si>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</si>
  <si>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</si>
  <si>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</si>
  <si>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</si>
  <si>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</si>
  <si>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</si>
  <si>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</si>
  <si>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</si>
  <si>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</si>
  <si>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</si>
  <si>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</si>
  <si>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</si>
  <si>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</si>
  <si>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</si>
  <si>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</si>
  <si>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</si>
  <si>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</si>
  <si>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</si>
  <si>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</si>
  <si>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</si>
  <si>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</si>
  <si>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</si>
  <si>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</si>
  <si>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</si>
  <si>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</si>
  <si>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</si>
  <si>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</si>
  <si>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</si>
  <si>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</si>
  <si>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</si>
  <si>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</si>
  <si>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</si>
  <si>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</si>
  <si>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</si>
  <si>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</si>
  <si>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</si>
  <si>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</si>
  <si>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</si>
  <si>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</si>
  <si>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</si>
  <si>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</si>
  <si>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</si>
  <si>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</si>
  <si>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</si>
  <si>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</si>
  <si>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</si>
  <si>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</si>
  <si>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</si>
  <si>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</si>
  <si>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</si>
  <si>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</si>
  <si>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</si>
  <si>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</si>
  <si>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</si>
  <si>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</si>
  <si>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</si>
  <si>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</si>
  <si>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</si>
  <si>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</si>
  <si>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</si>
  <si>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</si>
  <si>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</si>
  <si>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</si>
  <si>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</si>
  <si>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</si>
  <si>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</si>
  <si>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</si>
  <si>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</si>
  <si>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</si>
  <si>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</si>
  <si>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</si>
  <si>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</si>
  <si>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</si>
  <si>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</si>
  <si>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</si>
  <si>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</si>
  <si>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</si>
  <si>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</si>
  <si>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</si>
  <si>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</si>
  <si>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</si>
  <si>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</si>
  <si>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</si>
  <si>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</si>
  <si>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</si>
  <si>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</si>
  <si>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</si>
  <si>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</si>
  <si>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</si>
  <si>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</si>
  <si>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</si>
  <si>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</si>
  <si>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</si>
  <si>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</si>
  <si>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</si>
  <si>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</si>
  <si>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</si>
  <si>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</si>
  <si>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</si>
  <si>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</si>
  <si>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</si>
  <si>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</si>
  <si>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</si>
  <si>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</si>
  <si>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</si>
  <si>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</si>
  <si>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</si>
  <si>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</si>
  <si>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</si>
  <si>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</si>
  <si>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</si>
  <si>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</si>
  <si>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</si>
  <si>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</si>
  <si>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</si>
  <si>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</si>
  <si>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</si>
  <si>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</si>
  <si>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</si>
  <si>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</si>
  <si>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</si>
  <si>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</si>
  <si>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</si>
  <si>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</si>
  <si>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</si>
  <si>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</si>
  <si>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</si>
  <si>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</si>
  <si>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</si>
  <si>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</si>
  <si>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</si>
  <si>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</si>
  <si>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</si>
  <si>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</si>
  <si>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</si>
  <si>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</si>
  <si>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</si>
  <si>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</si>
  <si>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</si>
  <si>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</si>
  <si>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</si>
  <si>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</si>
  <si>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</si>
  <si>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</si>
  <si>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</si>
  <si>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</si>
  <si>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</si>
  <si>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</si>
  <si>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</si>
  <si>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</si>
  <si>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</si>
  <si>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</si>
  <si>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</si>
  <si>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</si>
  <si>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</si>
  <si>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</si>
  <si>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</si>
  <si>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</si>
  <si>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</si>
  <si>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</si>
  <si>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</si>
  <si>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</si>
  <si>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</si>
  <si>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</si>
  <si>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</si>
  <si>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</si>
  <si>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</si>
  <si>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</si>
  <si>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</si>
  <si>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</si>
  <si>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</si>
  <si>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</si>
  <si>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</si>
  <si>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</si>
  <si>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</si>
  <si>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</si>
  <si>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</si>
  <si>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</si>
  <si>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</si>
  <si>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</si>
  <si>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</si>
  <si>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</si>
  <si>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</si>
  <si>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</si>
  <si>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</si>
  <si>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</si>
  <si>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</si>
  <si>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</si>
  <si>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</si>
  <si>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</si>
  <si>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</si>
  <si>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</si>
  <si>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</si>
  <si>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</si>
  <si>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</si>
  <si>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</si>
  <si>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</si>
  <si>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</si>
  <si>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</si>
  <si>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</si>
  <si>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</si>
  <si>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</si>
  <si>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</si>
  <si>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</si>
  <si>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</si>
  <si>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</si>
  <si>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</si>
  <si>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</si>
  <si>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</si>
  <si>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</si>
  <si>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</si>
  <si>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</si>
  <si>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</si>
  <si>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</si>
  <si>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</si>
  <si>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</si>
  <si>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</si>
  <si>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</si>
  <si>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</si>
  <si>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</si>
  <si>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</si>
  <si>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</si>
  <si>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</si>
  <si>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</si>
  <si>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</si>
  <si>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</si>
  <si>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</si>
  <si>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</si>
  <si>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</si>
  <si>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</si>
  <si>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</si>
  <si>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</si>
  <si>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</si>
  <si>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</si>
  <si>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</si>
  <si>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</si>
  <si>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</si>
  <si>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</si>
  <si>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</si>
  <si>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</si>
  <si>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</si>
  <si>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</si>
  <si>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</si>
  <si>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</si>
  <si>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</si>
  <si>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</si>
  <si>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</si>
  <si>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</si>
  <si>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</si>
  <si>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</si>
  <si>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</si>
  <si>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</si>
  <si>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</si>
  <si>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</si>
  <si>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</si>
  <si>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</si>
  <si>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</si>
  <si>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</si>
  <si>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</si>
  <si>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</si>
  <si>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</si>
  <si>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</si>
  <si>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</si>
  <si>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</si>
  <si>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</si>
  <si>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</si>
  <si>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</si>
  <si>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</si>
  <si>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</si>
  <si>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</si>
  <si>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</si>
  <si>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</si>
  <si>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</si>
  <si>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</si>
  <si>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</si>
  <si>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</si>
  <si>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</si>
  <si>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</si>
  <si>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</si>
  <si>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</si>
  <si>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</si>
  <si>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</si>
  <si>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</si>
  <si>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</si>
  <si>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</si>
  <si>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</si>
  <si>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</si>
  <si>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</si>
  <si>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</si>
  <si>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</si>
  <si>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</si>
  <si>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</si>
  <si>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</si>
  <si>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</si>
  <si>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</si>
  <si>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</si>
  <si>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</si>
  <si>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</si>
  <si>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</si>
  <si>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</si>
  <si>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</si>
  <si>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</si>
  <si>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</si>
  <si>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</si>
  <si>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</si>
  <si>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</si>
  <si>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</si>
  <si>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</si>
  <si>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</si>
  <si>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</si>
  <si>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</si>
  <si>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</si>
  <si>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</si>
  <si>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</si>
  <si>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</si>
  <si>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</si>
  <si>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</si>
  <si>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</si>
  <si>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</si>
  <si>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</si>
  <si>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</si>
  <si>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</si>
  <si>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0611150</t>
  </si>
  <si>
    <t>1150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</si>
  <si>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</si>
  <si>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</si>
  <si>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</si>
  <si>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</si>
  <si>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</si>
  <si>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</si>
  <si>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</si>
  <si>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</si>
  <si>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</si>
  <si>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</si>
  <si>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від 19.12.2018 року № 4328-МР</t>
  </si>
  <si>
    <t>Будівництво інших об'єктів комунальної власності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</si>
  <si>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</si>
  <si>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</si>
  <si>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</si>
  <si>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</si>
  <si>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</si>
  <si>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</si>
  <si>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</si>
  <si>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</si>
  <si>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</si>
  <si>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</si>
  <si>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</si>
  <si>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</si>
  <si>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</si>
  <si>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28.11.2018 року № 4154-МР  (зі змінами)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</si>
  <si>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</si>
  <si>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</si>
  <si>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</si>
  <si>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</si>
  <si>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</si>
  <si>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</si>
  <si>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</si>
  <si>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</si>
  <si>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</si>
  <si>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</si>
  <si>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</si>
  <si>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</si>
  <si>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</si>
  <si>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</si>
  <si>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</si>
  <si>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</si>
  <si>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</si>
  <si>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</si>
  <si>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</si>
  <si>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</si>
  <si>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</si>
  <si>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</si>
  <si>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</si>
  <si>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</si>
  <si>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</si>
  <si>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</si>
  <si>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</si>
  <si>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</si>
  <si>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</si>
  <si>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</si>
  <si>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</si>
  <si>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</si>
  <si>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</si>
  <si>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</si>
  <si>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</si>
  <si>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від 19.12.2018 року № 4332-МР (зі змінами)</t>
  </si>
  <si>
    <t>09 Управління  «Служба у справах дітей» Сумської міської ради</t>
  </si>
  <si>
    <t>від 27.11.2019 року № 5996-МР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</si>
  <si>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</si>
  <si>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</si>
  <si>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</si>
  <si>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</si>
  <si>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</si>
  <si>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</si>
  <si>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</si>
  <si>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</si>
  <si>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</si>
  <si>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</si>
  <si>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</si>
  <si>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</si>
  <si>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</si>
  <si>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</si>
  <si>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</si>
  <si>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</si>
  <si>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</si>
  <si>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</si>
  <si>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</si>
  <si>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</si>
  <si>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</si>
  <si>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</si>
  <si>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</si>
  <si>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</si>
  <si>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</si>
  <si>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</si>
  <si>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</si>
  <si>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</si>
  <si>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</si>
  <si>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</si>
  <si>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</si>
  <si>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</si>
  <si>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</si>
  <si>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</si>
  <si>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</si>
  <si>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</si>
  <si>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</si>
  <si>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</si>
  <si>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</si>
  <si>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від 19.12.2018 року № 4328-МР (зі змінами)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</si>
  <si>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</si>
  <si>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</si>
  <si>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</si>
  <si>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</si>
  <si>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</si>
  <si>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</si>
  <si>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</si>
  <si>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</si>
  <si>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</si>
  <si>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Програма Сумської міської територіальної громади «Милосердя» на 2019-2021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</si>
  <si>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</si>
  <si>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</si>
  <si>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</si>
  <si>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</si>
  <si>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</si>
  <si>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 xml:space="preserve">від 21.10.2020 року № 7548-МР </t>
  </si>
  <si>
    <t xml:space="preserve">від 21.10.2020 року № 7549-МР </t>
  </si>
  <si>
    <t>Програма молодіжного житлового кредитування Сумської міської територіальної громади на 2021 - 2023 роки та Порядку надання пільгового довгострокового кредиту на будівництво (реконструкцію) житла за рахунок бюджету Сумської міської територіальної громади</t>
  </si>
  <si>
    <t xml:space="preserve">Комплексна Програма розвитку міського пасажирського транспорту Сумської міської територіальної громади на 2019-2021 роки 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</si>
  <si>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</si>
  <si>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</si>
  <si>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територіальної громади»  </t>
  </si>
  <si>
    <t xml:space="preserve">Комплексна програма Сумської міської територіальної громади «Освіта на 2019-2021 роки» </t>
  </si>
  <si>
    <t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2020-2022 роки»</t>
  </si>
  <si>
    <t>Програма сприяння розвитку громадянського суспільства Сумської міської територіальної громади на 2019-2021 роки</t>
  </si>
  <si>
    <t xml:space="preserve">Програма «Відкритий інформаційний простір Сумської міської територіальної громади» на 2019-2021 роки </t>
  </si>
  <si>
    <t>Програма розвитку фізичної культури і спорту Сумської міської територіальної громади на 2019-2021 роки</t>
  </si>
  <si>
    <t>Цільова Програма підтримки малого і середнього підприємництва Сумської міської територіальної громади на 2020-2022 роки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</si>
  <si>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2019-2021 роки</t>
  </si>
  <si>
    <t>Цільова комплексна Програма розвитку культури  Сумської міської територіальної громади на 2019 - 2021 роки</t>
  </si>
  <si>
    <t>Програма зайнятості населення Сумської міської територіальної громади на 2019-2020 роки</t>
  </si>
  <si>
    <t>від 13.11.2019 року № 5845-МР (зі змінами)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</si>
  <si>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</si>
  <si>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</si>
  <si>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</si>
  <si>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>від 18.12.2019 року № 6107-МР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</si>
  <si>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2021-2023 роки</t>
  </si>
  <si>
    <t xml:space="preserve">07 Управління охорони здоров’я Сумської міської ради  </t>
  </si>
  <si>
    <t>________________________</t>
  </si>
  <si>
    <t xml:space="preserve">Програма Сумської міської територіальної громади «Соціальні служби готові прийти на допомогу на 2019 - 2021 роки»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</si>
  <si>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</si>
  <si>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</si>
  <si>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 xml:space="preserve">Комплексна 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2019-2021 роки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</si>
  <si>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</si>
  <si>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</si>
  <si>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 xml:space="preserve">Утримання та забезпечення діяльності центрів соціальних служб 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</si>
  <si>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</si>
  <si>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</si>
  <si>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</si>
  <si>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</si>
  <si>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</si>
  <si>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</si>
  <si>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</si>
  <si>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</si>
  <si>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</si>
  <si>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</si>
  <si>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</si>
  <si>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</si>
  <si>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</si>
  <si>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</si>
  <si>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</si>
  <si>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</si>
  <si>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</si>
  <si>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</si>
  <si>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</si>
  <si>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 xml:space="preserve">від 21.10.2020 року № 7548-МР (зі змінами)  </t>
  </si>
  <si>
    <t>від 24.12.2020 № 84 -МР (зі змінами)</t>
  </si>
  <si>
    <t>від 24.12.2020 року № 63-МР</t>
  </si>
  <si>
    <t>Забезпечення діяльності інклюзивно-ресурсних центрів за рахунок освітньої субвенції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</si>
  <si>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2021 році</t>
  </si>
  <si>
    <t>від 18.12.2019 року № 6108-МР (зі змінами)</t>
  </si>
  <si>
    <t>1519750</t>
  </si>
  <si>
    <t>Субвенція з місцевого бюджету на співфінансування інвестиційних проектів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</si>
  <si>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</si>
  <si>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</si>
  <si>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</si>
  <si>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</si>
  <si>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від 24.02.2021 року № 461-МР </t>
  </si>
  <si>
    <t xml:space="preserve">(зі змінами)» 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</si>
  <si>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</si>
  <si>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</si>
  <si>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</si>
  <si>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від 24.12.2020 року № 63-МР                                  (зі змінами)</t>
  </si>
  <si>
    <t>від 24.12.2020 року № 84 -МР                                                                                             (зі змінами)</t>
  </si>
  <si>
    <t>від 24.12.2020 року № 84 -МР                                                                                                                                        (зі змінами)</t>
  </si>
  <si>
    <t>від 24.12.2019 року № 63-МР                                             (зі змінами)</t>
  </si>
  <si>
    <t>від 24.12.2020 року № 84 -МР                                                         (зі змінами)</t>
  </si>
  <si>
    <t>від 24.12.2020 року № 84 -МР                                                                 (зі змінами)</t>
  </si>
  <si>
    <t>від 24.12.2020 року № 84 -МР                                                                    (зі змінами)</t>
  </si>
  <si>
    <t>від 24.12.2020 року № 84 -МР                                                     (зі змінами)</t>
  </si>
  <si>
    <t>від 24.12.2020 року № 84 -МР                                                                   (зі змінами)</t>
  </si>
  <si>
    <t xml:space="preserve">від 24.12.2019 року № 63-МР                                                   (зі змінами) </t>
  </si>
  <si>
    <t>від 24.12.2020 року № 84 -МР                                                                                        (зі змінами)</t>
  </si>
  <si>
    <t xml:space="preserve">від 24.02.2021 року № 461 -МР </t>
  </si>
  <si>
    <t>від 24.12.2020 року № 84 -МР                              (зі змінами)</t>
  </si>
  <si>
    <t>від 28.11.2018 року № 4153-МР                                   (зі змінами)</t>
  </si>
  <si>
    <t>від 28.11.2018 року № 4153-МР           (зі змінами)</t>
  </si>
  <si>
    <t>від 28.11.2018 року № 4153-МР (зі змінами)</t>
  </si>
  <si>
    <t>від 28.11.2018 року № 4153-МР                      (зі змінами)</t>
  </si>
  <si>
    <t>від 24.12.2020 року № 63-МР                                                            (зі змінами)</t>
  </si>
  <si>
    <t>від 24.12.2020 року № 84 -МР                   (зі змінами)</t>
  </si>
  <si>
    <t>від 28.11.2018 року № 4153-МР                          (зі змінами)</t>
  </si>
  <si>
    <t>0611062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</si>
  <si>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 територіальної громади, у проведенні заходів з оборони та мобілізації на 2021 рік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</si>
  <si>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</si>
  <si>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</si>
  <si>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</si>
  <si>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</si>
  <si>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</si>
  <si>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</si>
  <si>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</si>
  <si>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</si>
  <si>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0218862</t>
  </si>
  <si>
    <t>Надання бюджетних позичок суб'єктам господарювання</t>
  </si>
  <si>
    <t>до       рішення       Сумської       міської          ради</t>
  </si>
  <si>
    <t>«Про          внесення         змін          до        рішення</t>
  </si>
  <si>
    <t>від 24.12.2020 року № 67-МР (зі змінами)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</si>
  <si>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</si>
  <si>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</si>
  <si>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</si>
  <si>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</si>
  <si>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</si>
  <si>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</si>
  <si>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</si>
  <si>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</si>
  <si>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Сумської  міської  ради  від  24 грудня 2020  року </t>
  </si>
  <si>
    <t xml:space="preserve">№  62 - МР  «Про    бюджет    Сумської     міської </t>
  </si>
  <si>
    <t xml:space="preserve">територіальної       громади       на      2021        рік» 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</si>
  <si>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</si>
  <si>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</si>
  <si>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</si>
  <si>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</si>
  <si>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</si>
  <si>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</si>
  <si>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</si>
  <si>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</si>
  <si>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Виконання заходів в рамках реалізації програми "Спроможна школа для кращих результатів"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</si>
  <si>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</si>
  <si>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</si>
  <si>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</si>
  <si>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1217368</t>
  </si>
  <si>
    <t>1217463</t>
  </si>
  <si>
    <t>1219730</t>
  </si>
  <si>
    <t>Виконання інвестиційних проектів за рахунок субвенцій з інших бюджетів</t>
  </si>
  <si>
    <t>Утримання та розвиток автомобільних доріг та дорожньої інфраструктури за рахунок трансфертів з інших місцевих бюджетів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</si>
  <si>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</si>
  <si>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від   29    вересня   2021     року     №  1921  -  МР</t>
  </si>
  <si>
    <t>Виконавець: Співакова Л.І.</t>
  </si>
  <si>
    <t>Олег Рєзнік</t>
  </si>
  <si>
    <t>Секретар Сумської міської ріди</t>
  </si>
  <si>
    <t xml:space="preserve">                                  Додаток 6                   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</si>
</sst>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7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60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b/>
      <sz val="6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3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3" fillId="0" borderId="7" applyNumberFormat="0" applyFill="0" applyAlignment="0" applyProtection="0"/>
    <xf numFmtId="0" fontId="11" fillId="0" borderId="8" applyNumberFormat="0" applyFill="0" applyAlignment="0" applyProtection="0"/>
    <xf numFmtId="0" fontId="64" fillId="47" borderId="9" applyNumberFormat="0" applyAlignment="0" applyProtection="0"/>
    <xf numFmtId="0" fontId="9" fillId="48" borderId="10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5" fillId="3" borderId="0" applyNumberFormat="0" applyBorder="0" applyAlignment="0" applyProtection="0"/>
    <xf numFmtId="0" fontId="68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9" fillId="50" borderId="14" applyNumberFormat="0" applyAlignment="0" applyProtection="0"/>
    <xf numFmtId="0" fontId="17" fillId="0" borderId="15" applyNumberFormat="0" applyFill="0" applyAlignment="0" applyProtection="0"/>
    <xf numFmtId="0" fontId="70" fillId="54" borderId="0" applyNumberFormat="0" applyBorder="0" applyAlignment="0" applyProtection="0"/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34" fillId="0" borderId="16" xfId="95" applyNumberFormat="1" applyFont="1" applyFill="1" applyBorder="1" applyAlignment="1">
      <alignment horizontal="center" vertical="center"/>
      <protection/>
    </xf>
    <xf numFmtId="1" fontId="25" fillId="0" borderId="16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73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4" fontId="74" fillId="0" borderId="16" xfId="95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4" fontId="38" fillId="0" borderId="16" xfId="95" applyNumberFormat="1" applyFont="1" applyFill="1" applyBorder="1" applyAlignment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75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9" xfId="0" applyFont="1" applyFill="1" applyBorder="1" applyAlignment="1">
      <alignment horizontal="left" vertical="center"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75" fillId="0" borderId="16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/>
    </xf>
    <xf numFmtId="1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202" fontId="28" fillId="0" borderId="16" xfId="95" applyNumberFormat="1" applyFont="1" applyFill="1" applyBorder="1" applyAlignment="1">
      <alignment horizontal="left" vertical="top"/>
      <protection/>
    </xf>
    <xf numFmtId="3" fontId="25" fillId="0" borderId="16" xfId="0" applyNumberFormat="1" applyFont="1" applyFill="1" applyBorder="1" applyAlignment="1">
      <alignment horizontal="left" vertical="top" wrapText="1"/>
    </xf>
    <xf numFmtId="4" fontId="25" fillId="0" borderId="16" xfId="0" applyNumberFormat="1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33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 vertical="top"/>
    </xf>
    <xf numFmtId="3" fontId="25" fillId="0" borderId="16" xfId="0" applyNumberFormat="1" applyFont="1" applyFill="1" applyBorder="1" applyAlignment="1" applyProtection="1">
      <alignment horizontal="left" vertical="top" wrapText="1"/>
      <protection/>
    </xf>
    <xf numFmtId="0" fontId="33" fillId="0" borderId="16" xfId="0" applyFont="1" applyFill="1" applyBorder="1" applyAlignment="1">
      <alignment horizontal="left" vertical="top" wrapText="1"/>
    </xf>
    <xf numFmtId="4" fontId="28" fillId="0" borderId="16" xfId="0" applyNumberFormat="1" applyFont="1" applyFill="1" applyBorder="1" applyAlignment="1">
      <alignment horizontal="left" vertical="top" wrapText="1"/>
    </xf>
    <xf numFmtId="3" fontId="29" fillId="0" borderId="0" xfId="0" applyNumberFormat="1" applyFont="1" applyFill="1" applyAlignment="1">
      <alignment horizontal="left"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3" fontId="29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/>
      <protection/>
    </xf>
    <xf numFmtId="0" fontId="25" fillId="0" borderId="16" xfId="0" applyNumberFormat="1" applyFont="1" applyFill="1" applyBorder="1" applyAlignment="1">
      <alignment horizontal="left" vertical="top" wrapText="1"/>
    </xf>
    <xf numFmtId="0" fontId="42" fillId="0" borderId="16" xfId="0" applyFont="1" applyFill="1" applyBorder="1" applyAlignment="1">
      <alignment vertical="center" wrapText="1"/>
    </xf>
    <xf numFmtId="0" fontId="25" fillId="0" borderId="0" xfId="0" applyFont="1" applyFill="1" applyAlignment="1">
      <alignment vertical="top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 horizontal="center" vertical="center"/>
      <protection/>
    </xf>
    <xf numFmtId="0" fontId="41" fillId="0" borderId="0" xfId="0" applyNumberFormat="1" applyFont="1" applyFill="1" applyAlignment="1" applyProtection="1">
      <alignment horizontal="left" vertical="center"/>
      <protection/>
    </xf>
    <xf numFmtId="4" fontId="41" fillId="0" borderId="0" xfId="0" applyNumberFormat="1" applyFont="1" applyFill="1" applyAlignment="1" applyProtection="1">
      <alignment vertical="center"/>
      <protection/>
    </xf>
    <xf numFmtId="4" fontId="44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vertical="top" wrapText="1"/>
    </xf>
    <xf numFmtId="0" fontId="35" fillId="0" borderId="0" xfId="0" applyFont="1" applyFill="1" applyAlignment="1">
      <alignment vertical="top"/>
    </xf>
    <xf numFmtId="0" fontId="35" fillId="0" borderId="0" xfId="0" applyFont="1" applyFill="1" applyAlignment="1">
      <alignment vertical="top" wrapText="1"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Border="1" applyAlignment="1">
      <alignment horizontal="center" vertical="top"/>
    </xf>
    <xf numFmtId="202" fontId="28" fillId="0" borderId="16" xfId="95" applyNumberFormat="1" applyFont="1" applyFill="1" applyBorder="1" applyAlignment="1">
      <alignment vertical="top"/>
      <protection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8" fillId="0" borderId="0" xfId="0" applyNumberFormat="1" applyFont="1" applyFill="1" applyAlignment="1" applyProtection="1">
      <alignment vertical="top"/>
      <protection/>
    </xf>
    <xf numFmtId="0" fontId="25" fillId="0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202" fontId="44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Alignment="1" applyProtection="1">
      <alignment vertical="top"/>
      <protection/>
    </xf>
    <xf numFmtId="0" fontId="25" fillId="0" borderId="16" xfId="0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4" fontId="44" fillId="0" borderId="0" xfId="0" applyNumberFormat="1" applyFont="1" applyFill="1" applyBorder="1" applyAlignment="1">
      <alignment vertical="justify"/>
    </xf>
    <xf numFmtId="49" fontId="25" fillId="0" borderId="16" xfId="0" applyNumberFormat="1" applyFont="1" applyFill="1" applyBorder="1" applyAlignment="1">
      <alignment horizontal="left" vertical="top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top" wrapText="1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Alignment="1" applyProtection="1">
      <alignment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49" fontId="25" fillId="0" borderId="20" xfId="0" applyNumberFormat="1" applyFont="1" applyFill="1" applyBorder="1" applyAlignment="1">
      <alignment horizontal="left" vertical="top" wrapText="1"/>
    </xf>
    <xf numFmtId="0" fontId="29" fillId="0" borderId="0" xfId="0" applyFont="1" applyFill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showZeros="0" tabSelected="1" view="pageBreakPreview" zoomScale="25" zoomScaleNormal="24" zoomScaleSheetLayoutView="25" workbookViewId="0" topLeftCell="A291">
      <selection activeCell="J292" sqref="J292"/>
    </sheetView>
  </sheetViews>
  <sheetFormatPr defaultColWidth="9.16015625" defaultRowHeight="12.75"/>
  <cols>
    <col min="1" max="1" width="54.5" style="48" customWidth="1"/>
    <col min="2" max="2" width="47.5" style="48" customWidth="1"/>
    <col min="3" max="3" width="53.33203125" style="48" customWidth="1"/>
    <col min="4" max="4" width="137.16015625" style="54" customWidth="1"/>
    <col min="5" max="5" width="164.33203125" style="5" customWidth="1"/>
    <col min="6" max="6" width="67.16015625" style="105" customWidth="1"/>
    <col min="7" max="7" width="69" style="5" customWidth="1"/>
    <col min="8" max="8" width="69" style="13" customWidth="1"/>
    <col min="9" max="9" width="66.66015625" style="13" customWidth="1"/>
    <col min="10" max="10" width="64" style="13" customWidth="1"/>
    <col min="11" max="11" width="22.83203125" style="1" customWidth="1"/>
    <col min="12" max="13" width="13.33203125" style="1" customWidth="1"/>
    <col min="14" max="16384" width="9.16015625" style="1" customWidth="1"/>
  </cols>
  <sheetData>
    <row r="1" spans="6:10" ht="69" customHeight="1">
      <c r="F1" s="103"/>
      <c r="G1" s="157" t="s">
        <v>582</v>
      </c>
      <c r="H1" s="157"/>
      <c r="I1" s="157"/>
      <c r="J1" s="157"/>
    </row>
    <row r="2" spans="6:11" ht="66.75" customHeight="1">
      <c r="F2" s="104"/>
      <c r="G2" s="62" t="s">
        <v>546</v>
      </c>
      <c r="H2" s="62"/>
      <c r="I2" s="62"/>
      <c r="J2" s="62"/>
      <c r="K2" s="62"/>
    </row>
    <row r="3" spans="6:11" ht="66.75" customHeight="1">
      <c r="F3" s="104"/>
      <c r="G3" s="81" t="s">
        <v>547</v>
      </c>
      <c r="H3" s="81"/>
      <c r="I3" s="81"/>
      <c r="J3" s="81"/>
      <c r="K3" s="81"/>
    </row>
    <row r="4" spans="6:11" ht="66.75" customHeight="1">
      <c r="F4" s="104"/>
      <c r="G4" s="81" t="s">
        <v>557</v>
      </c>
      <c r="H4" s="81"/>
      <c r="I4" s="81"/>
      <c r="J4" s="81"/>
      <c r="K4" s="81"/>
    </row>
    <row r="5" spans="6:11" ht="66.75" customHeight="1">
      <c r="F5" s="104"/>
      <c r="G5" s="81" t="s">
        <v>558</v>
      </c>
      <c r="H5" s="81"/>
      <c r="I5" s="81"/>
      <c r="J5" s="81"/>
      <c r="K5" s="81"/>
    </row>
    <row r="6" spans="6:11" ht="66.75" customHeight="1">
      <c r="F6" s="104"/>
      <c r="G6" s="81" t="s">
        <v>559</v>
      </c>
      <c r="H6" s="81"/>
      <c r="I6" s="81"/>
      <c r="J6" s="81"/>
      <c r="K6" s="81"/>
    </row>
    <row r="7" spans="6:11" ht="66.75" customHeight="1">
      <c r="F7" s="104"/>
      <c r="G7" s="79" t="s">
        <v>510</v>
      </c>
      <c r="H7" s="79"/>
      <c r="I7" s="79"/>
      <c r="J7" s="79"/>
      <c r="K7" s="79"/>
    </row>
    <row r="8" spans="6:11" ht="66.75" customHeight="1">
      <c r="F8" s="104"/>
      <c r="G8" s="81" t="s">
        <v>578</v>
      </c>
      <c r="H8" s="81"/>
      <c r="I8" s="81"/>
      <c r="J8" s="81"/>
      <c r="K8" s="81"/>
    </row>
    <row r="9" spans="8:10" ht="46.5" customHeight="1">
      <c r="H9" s="28"/>
      <c r="I9" s="28"/>
      <c r="J9" s="28"/>
    </row>
    <row r="10" spans="8:10" ht="46.5" customHeight="1">
      <c r="H10" s="28"/>
      <c r="I10" s="28"/>
      <c r="J10" s="28"/>
    </row>
    <row r="11" spans="1:10" ht="162.75" customHeight="1">
      <c r="A11" s="158" t="s">
        <v>501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67.5" customHeight="1">
      <c r="A12" s="125" t="s">
        <v>560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55.5" customHeight="1">
      <c r="A13" s="126" t="s">
        <v>561</v>
      </c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61.5" customHeight="1">
      <c r="A14" s="49"/>
      <c r="B14" s="49"/>
      <c r="C14" s="49"/>
      <c r="D14" s="55"/>
      <c r="E14" s="4"/>
      <c r="F14" s="106"/>
      <c r="G14" s="4"/>
      <c r="H14" s="41"/>
      <c r="I14" s="41"/>
      <c r="J14" s="30" t="s">
        <v>382</v>
      </c>
    </row>
    <row r="15" spans="1:10" ht="151.5" customHeight="1">
      <c r="A15" s="151" t="s">
        <v>314</v>
      </c>
      <c r="B15" s="151" t="s">
        <v>315</v>
      </c>
      <c r="C15" s="151" t="s">
        <v>316</v>
      </c>
      <c r="D15" s="151" t="s">
        <v>321</v>
      </c>
      <c r="E15" s="151" t="s">
        <v>61</v>
      </c>
      <c r="F15" s="160" t="s">
        <v>317</v>
      </c>
      <c r="G15" s="160" t="s">
        <v>318</v>
      </c>
      <c r="H15" s="159" t="s">
        <v>0</v>
      </c>
      <c r="I15" s="159" t="s">
        <v>1</v>
      </c>
      <c r="J15" s="159"/>
    </row>
    <row r="16" spans="1:10" ht="265.5" customHeight="1">
      <c r="A16" s="152"/>
      <c r="B16" s="152"/>
      <c r="C16" s="152"/>
      <c r="D16" s="152"/>
      <c r="E16" s="152"/>
      <c r="F16" s="160"/>
      <c r="G16" s="160"/>
      <c r="H16" s="159"/>
      <c r="I16" s="14" t="s">
        <v>318</v>
      </c>
      <c r="J16" s="14" t="s">
        <v>319</v>
      </c>
    </row>
    <row r="17" spans="1:10" s="16" customFormat="1" ht="102" customHeight="1">
      <c r="A17" s="12"/>
      <c r="B17" s="12"/>
      <c r="C17" s="12"/>
      <c r="D17" s="68" t="s">
        <v>113</v>
      </c>
      <c r="E17" s="69"/>
      <c r="F17" s="107"/>
      <c r="G17" s="22">
        <f>SUM(G18:G64)</f>
        <v>174267413</v>
      </c>
      <c r="H17" s="22">
        <f>SUM(H18:H64)</f>
        <v>136882454.34</v>
      </c>
      <c r="I17" s="22">
        <f>SUM(I18:I64)</f>
        <v>37384958.66</v>
      </c>
      <c r="J17" s="22">
        <f>SUM(J18:J64)</f>
        <v>36921964.66</v>
      </c>
    </row>
    <row r="18" spans="1:10" ht="145.5" customHeight="1">
      <c r="A18" s="6" t="s">
        <v>114</v>
      </c>
      <c r="B18" s="25" t="s">
        <v>70</v>
      </c>
      <c r="C18" s="25" t="s">
        <v>2</v>
      </c>
      <c r="D18" s="65" t="s">
        <v>476</v>
      </c>
      <c r="E18" s="65" t="s">
        <v>457</v>
      </c>
      <c r="F18" s="102" t="s">
        <v>346</v>
      </c>
      <c r="G18" s="23">
        <f>H18+I18</f>
        <v>3600000</v>
      </c>
      <c r="H18" s="23">
        <v>3600000</v>
      </c>
      <c r="I18" s="23"/>
      <c r="J18" s="23"/>
    </row>
    <row r="19" spans="1:10" ht="156" customHeight="1" hidden="1">
      <c r="A19" s="6" t="s">
        <v>437</v>
      </c>
      <c r="B19" s="6" t="s">
        <v>387</v>
      </c>
      <c r="C19" s="6" t="s">
        <v>439</v>
      </c>
      <c r="D19" s="70" t="s">
        <v>438</v>
      </c>
      <c r="E19" s="65" t="s">
        <v>443</v>
      </c>
      <c r="F19" s="102" t="s">
        <v>442</v>
      </c>
      <c r="G19" s="23">
        <f aca="true" t="shared" si="0" ref="G19:G65">H19+I19</f>
        <v>0</v>
      </c>
      <c r="H19" s="23"/>
      <c r="I19" s="23"/>
      <c r="J19" s="23"/>
    </row>
    <row r="20" spans="1:11" ht="190.5" customHeight="1">
      <c r="A20" s="143" t="s">
        <v>182</v>
      </c>
      <c r="B20" s="134" t="s">
        <v>26</v>
      </c>
      <c r="C20" s="145" t="s">
        <v>13</v>
      </c>
      <c r="D20" s="130" t="s">
        <v>181</v>
      </c>
      <c r="E20" s="65" t="s">
        <v>455</v>
      </c>
      <c r="F20" s="102" t="s">
        <v>399</v>
      </c>
      <c r="G20" s="23">
        <f t="shared" si="0"/>
        <v>296000</v>
      </c>
      <c r="H20" s="23">
        <v>296000</v>
      </c>
      <c r="I20" s="23"/>
      <c r="J20" s="23"/>
      <c r="K20" s="38"/>
    </row>
    <row r="21" spans="1:10" ht="141.75" customHeight="1">
      <c r="A21" s="143"/>
      <c r="B21" s="134"/>
      <c r="C21" s="145"/>
      <c r="D21" s="130"/>
      <c r="E21" s="65" t="s">
        <v>456</v>
      </c>
      <c r="F21" s="102" t="s">
        <v>368</v>
      </c>
      <c r="G21" s="23">
        <f t="shared" si="0"/>
        <v>100000</v>
      </c>
      <c r="H21" s="23">
        <v>100000</v>
      </c>
      <c r="I21" s="23"/>
      <c r="J21" s="23"/>
    </row>
    <row r="22" spans="1:10" s="3" customFormat="1" ht="151.5" customHeight="1">
      <c r="A22" s="8" t="s">
        <v>226</v>
      </c>
      <c r="B22" s="25" t="s">
        <v>40</v>
      </c>
      <c r="C22" s="27">
        <v>1070</v>
      </c>
      <c r="D22" s="65" t="s">
        <v>35</v>
      </c>
      <c r="E22" s="65" t="s">
        <v>454</v>
      </c>
      <c r="F22" s="65" t="s">
        <v>355</v>
      </c>
      <c r="G22" s="23">
        <f t="shared" si="0"/>
        <v>314360</v>
      </c>
      <c r="H22" s="23">
        <f>270000+44360</f>
        <v>314360</v>
      </c>
      <c r="I22" s="23"/>
      <c r="J22" s="23"/>
    </row>
    <row r="23" spans="1:10" s="3" customFormat="1" ht="143.25" customHeight="1">
      <c r="A23" s="143" t="s">
        <v>115</v>
      </c>
      <c r="B23" s="134" t="s">
        <v>72</v>
      </c>
      <c r="C23" s="134">
        <v>1070</v>
      </c>
      <c r="D23" s="130" t="s">
        <v>320</v>
      </c>
      <c r="E23" s="65" t="s">
        <v>416</v>
      </c>
      <c r="F23" s="102" t="s">
        <v>356</v>
      </c>
      <c r="G23" s="23">
        <f t="shared" si="0"/>
        <v>57500</v>
      </c>
      <c r="H23" s="23">
        <v>57500</v>
      </c>
      <c r="I23" s="23"/>
      <c r="J23" s="23"/>
    </row>
    <row r="24" spans="1:10" s="3" customFormat="1" ht="151.5" customHeight="1">
      <c r="A24" s="143"/>
      <c r="B24" s="134"/>
      <c r="C24" s="134"/>
      <c r="D24" s="130"/>
      <c r="E24" s="65" t="s">
        <v>454</v>
      </c>
      <c r="F24" s="65" t="s">
        <v>355</v>
      </c>
      <c r="G24" s="23">
        <f t="shared" si="0"/>
        <v>408386</v>
      </c>
      <c r="H24" s="23">
        <f>369000+39386</f>
        <v>408386</v>
      </c>
      <c r="I24" s="23"/>
      <c r="J24" s="23"/>
    </row>
    <row r="25" spans="1:10" s="3" customFormat="1" ht="156" customHeight="1">
      <c r="A25" s="6" t="s">
        <v>116</v>
      </c>
      <c r="B25" s="25" t="s">
        <v>73</v>
      </c>
      <c r="C25" s="25" t="s">
        <v>7</v>
      </c>
      <c r="D25" s="65" t="s">
        <v>477</v>
      </c>
      <c r="E25" s="65" t="s">
        <v>471</v>
      </c>
      <c r="F25" s="102" t="s">
        <v>431</v>
      </c>
      <c r="G25" s="23">
        <f t="shared" si="0"/>
        <v>129000</v>
      </c>
      <c r="H25" s="23">
        <v>129000</v>
      </c>
      <c r="I25" s="23"/>
      <c r="J25" s="23"/>
    </row>
    <row r="26" spans="1:10" s="3" customFormat="1" ht="179.25" customHeight="1">
      <c r="A26" s="6" t="s">
        <v>117</v>
      </c>
      <c r="B26" s="25" t="s">
        <v>74</v>
      </c>
      <c r="C26" s="25" t="s">
        <v>7</v>
      </c>
      <c r="D26" s="65" t="s">
        <v>75</v>
      </c>
      <c r="E26" s="65" t="s">
        <v>393</v>
      </c>
      <c r="F26" s="102" t="s">
        <v>356</v>
      </c>
      <c r="G26" s="23">
        <f t="shared" si="0"/>
        <v>783850</v>
      </c>
      <c r="H26" s="23">
        <f>684300+99550</f>
        <v>783850</v>
      </c>
      <c r="I26" s="23"/>
      <c r="J26" s="23"/>
    </row>
    <row r="27" spans="1:10" s="10" customFormat="1" ht="283.5" customHeight="1">
      <c r="A27" s="6" t="s">
        <v>118</v>
      </c>
      <c r="B27" s="25" t="s">
        <v>38</v>
      </c>
      <c r="C27" s="25" t="s">
        <v>7</v>
      </c>
      <c r="D27" s="65" t="s">
        <v>42</v>
      </c>
      <c r="E27" s="65" t="s">
        <v>394</v>
      </c>
      <c r="F27" s="102" t="s">
        <v>356</v>
      </c>
      <c r="G27" s="23">
        <f t="shared" si="0"/>
        <v>280000</v>
      </c>
      <c r="H27" s="23">
        <v>280000</v>
      </c>
      <c r="I27" s="23"/>
      <c r="J27" s="23"/>
    </row>
    <row r="28" spans="1:10" s="3" customFormat="1" ht="140.25" customHeight="1">
      <c r="A28" s="6" t="s">
        <v>230</v>
      </c>
      <c r="B28" s="25" t="s">
        <v>232</v>
      </c>
      <c r="C28" s="25" t="s">
        <v>6</v>
      </c>
      <c r="D28" s="66" t="s">
        <v>233</v>
      </c>
      <c r="E28" s="65" t="s">
        <v>471</v>
      </c>
      <c r="F28" s="102" t="s">
        <v>338</v>
      </c>
      <c r="G28" s="23">
        <f t="shared" si="0"/>
        <v>1539992</v>
      </c>
      <c r="H28" s="23">
        <f>1518300+21692</f>
        <v>1539992</v>
      </c>
      <c r="I28" s="23"/>
      <c r="J28" s="15"/>
    </row>
    <row r="29" spans="1:10" s="3" customFormat="1" ht="141" customHeight="1">
      <c r="A29" s="142" t="s">
        <v>231</v>
      </c>
      <c r="B29" s="134" t="s">
        <v>234</v>
      </c>
      <c r="C29" s="134" t="s">
        <v>6</v>
      </c>
      <c r="D29" s="121" t="s">
        <v>235</v>
      </c>
      <c r="E29" s="65" t="s">
        <v>441</v>
      </c>
      <c r="F29" s="102" t="s">
        <v>348</v>
      </c>
      <c r="G29" s="23">
        <f t="shared" si="0"/>
        <v>202500</v>
      </c>
      <c r="H29" s="23">
        <v>202500</v>
      </c>
      <c r="I29" s="23"/>
      <c r="J29" s="15"/>
    </row>
    <row r="30" spans="1:10" s="3" customFormat="1" ht="150.75" customHeight="1">
      <c r="A30" s="142"/>
      <c r="B30" s="134"/>
      <c r="C30" s="134"/>
      <c r="D30" s="121"/>
      <c r="E30" s="65" t="s">
        <v>452</v>
      </c>
      <c r="F30" s="65" t="s">
        <v>407</v>
      </c>
      <c r="G30" s="23">
        <f t="shared" si="0"/>
        <v>54900</v>
      </c>
      <c r="H30" s="23">
        <v>54900</v>
      </c>
      <c r="I30" s="23"/>
      <c r="J30" s="15"/>
    </row>
    <row r="31" spans="1:10" s="3" customFormat="1" ht="143.25" customHeight="1">
      <c r="A31" s="6" t="s">
        <v>269</v>
      </c>
      <c r="B31" s="25" t="s">
        <v>270</v>
      </c>
      <c r="C31" s="25" t="s">
        <v>271</v>
      </c>
      <c r="D31" s="66" t="s">
        <v>272</v>
      </c>
      <c r="E31" s="65" t="s">
        <v>393</v>
      </c>
      <c r="F31" s="102" t="s">
        <v>356</v>
      </c>
      <c r="G31" s="23">
        <f t="shared" si="0"/>
        <v>607900</v>
      </c>
      <c r="H31" s="23">
        <f>400000+64900+98000+45000</f>
        <v>607900</v>
      </c>
      <c r="I31" s="23"/>
      <c r="J31" s="15"/>
    </row>
    <row r="32" spans="1:10" s="3" customFormat="1" ht="159.75" customHeight="1">
      <c r="A32" s="6" t="s">
        <v>261</v>
      </c>
      <c r="B32" s="25" t="s">
        <v>259</v>
      </c>
      <c r="C32" s="25" t="s">
        <v>9</v>
      </c>
      <c r="D32" s="65" t="s">
        <v>260</v>
      </c>
      <c r="E32" s="65" t="s">
        <v>457</v>
      </c>
      <c r="F32" s="102" t="s">
        <v>346</v>
      </c>
      <c r="G32" s="23">
        <f t="shared" si="0"/>
        <v>734500</v>
      </c>
      <c r="H32" s="23">
        <f>500000+3000+68100+22800+97000+43600</f>
        <v>734500</v>
      </c>
      <c r="I32" s="23"/>
      <c r="J32" s="23"/>
    </row>
    <row r="33" spans="1:10" s="3" customFormat="1" ht="141.75" customHeight="1">
      <c r="A33" s="6" t="s">
        <v>238</v>
      </c>
      <c r="B33" s="25" t="s">
        <v>236</v>
      </c>
      <c r="C33" s="25" t="s">
        <v>9</v>
      </c>
      <c r="D33" s="66" t="s">
        <v>237</v>
      </c>
      <c r="E33" s="65" t="s">
        <v>457</v>
      </c>
      <c r="F33" s="102" t="s">
        <v>346</v>
      </c>
      <c r="G33" s="23">
        <f t="shared" si="0"/>
        <v>424181</v>
      </c>
      <c r="H33" s="23">
        <f>355081-27900+97000</f>
        <v>424181</v>
      </c>
      <c r="I33" s="23"/>
      <c r="J33" s="23"/>
    </row>
    <row r="34" spans="1:10" s="3" customFormat="1" ht="162.75" customHeight="1">
      <c r="A34" s="6" t="s">
        <v>119</v>
      </c>
      <c r="B34" s="25" t="s">
        <v>57</v>
      </c>
      <c r="C34" s="25" t="s">
        <v>10</v>
      </c>
      <c r="D34" s="65" t="s">
        <v>43</v>
      </c>
      <c r="E34" s="65" t="s">
        <v>458</v>
      </c>
      <c r="F34" s="102" t="s">
        <v>358</v>
      </c>
      <c r="G34" s="23">
        <f t="shared" si="0"/>
        <v>710000</v>
      </c>
      <c r="H34" s="23">
        <f>600000+30000+20000+60000</f>
        <v>710000</v>
      </c>
      <c r="I34" s="23"/>
      <c r="J34" s="23"/>
    </row>
    <row r="35" spans="1:10" s="3" customFormat="1" ht="156.75" customHeight="1">
      <c r="A35" s="6" t="s">
        <v>120</v>
      </c>
      <c r="B35" s="25" t="s">
        <v>58</v>
      </c>
      <c r="C35" s="25" t="s">
        <v>10</v>
      </c>
      <c r="D35" s="65" t="s">
        <v>11</v>
      </c>
      <c r="E35" s="65" t="s">
        <v>458</v>
      </c>
      <c r="F35" s="102" t="s">
        <v>358</v>
      </c>
      <c r="G35" s="23">
        <f t="shared" si="0"/>
        <v>1031480</v>
      </c>
      <c r="H35" s="23">
        <f>600000+32000-20000+184000+37000+10000+50000+60000+6480+72000</f>
        <v>1031480</v>
      </c>
      <c r="I35" s="23"/>
      <c r="J35" s="23"/>
    </row>
    <row r="36" spans="1:10" s="3" customFormat="1" ht="145.5" customHeight="1">
      <c r="A36" s="6" t="s">
        <v>121</v>
      </c>
      <c r="B36" s="25" t="s">
        <v>64</v>
      </c>
      <c r="C36" s="25" t="s">
        <v>10</v>
      </c>
      <c r="D36" s="65" t="s">
        <v>44</v>
      </c>
      <c r="E36" s="65" t="s">
        <v>458</v>
      </c>
      <c r="F36" s="102" t="s">
        <v>358</v>
      </c>
      <c r="G36" s="23">
        <f t="shared" si="0"/>
        <v>18240383</v>
      </c>
      <c r="H36" s="23">
        <f>16311200+198300+253000+110000+130000+20000+10000+127420+50000+1000000+206073-466310+90000</f>
        <v>18039683</v>
      </c>
      <c r="I36" s="23">
        <f>110700+90000</f>
        <v>200700</v>
      </c>
      <c r="J36" s="23">
        <f>110700+90000</f>
        <v>200700</v>
      </c>
    </row>
    <row r="37" spans="1:10" s="3" customFormat="1" ht="144.75" customHeight="1">
      <c r="A37" s="6" t="s">
        <v>122</v>
      </c>
      <c r="B37" s="25" t="s">
        <v>65</v>
      </c>
      <c r="C37" s="25" t="s">
        <v>10</v>
      </c>
      <c r="D37" s="65" t="s">
        <v>45</v>
      </c>
      <c r="E37" s="65" t="s">
        <v>458</v>
      </c>
      <c r="F37" s="102" t="s">
        <v>358</v>
      </c>
      <c r="G37" s="23">
        <f t="shared" si="0"/>
        <v>15324742</v>
      </c>
      <c r="H37" s="23">
        <f>13627800+140000+115000+183000+95000+90000+101200+10000+10000+34600+4732+466310+75000</f>
        <v>14952642</v>
      </c>
      <c r="I37" s="23">
        <f>215000+66000+30700+60400</f>
        <v>372100</v>
      </c>
      <c r="J37" s="23">
        <f>215000+66000+30700+60400</f>
        <v>372100</v>
      </c>
    </row>
    <row r="38" spans="1:10" s="3" customFormat="1" ht="234.75" customHeight="1">
      <c r="A38" s="6" t="s">
        <v>123</v>
      </c>
      <c r="B38" s="25" t="s">
        <v>68</v>
      </c>
      <c r="C38" s="25" t="s">
        <v>10</v>
      </c>
      <c r="D38" s="65" t="s">
        <v>66</v>
      </c>
      <c r="E38" s="65" t="s">
        <v>458</v>
      </c>
      <c r="F38" s="102" t="s">
        <v>358</v>
      </c>
      <c r="G38" s="23">
        <f t="shared" si="0"/>
        <v>6726178</v>
      </c>
      <c r="H38" s="23">
        <f>4794100+70000+25000+30000+25300+28784+10000</f>
        <v>4983184</v>
      </c>
      <c r="I38" s="23">
        <f>1742994+30000-30000</f>
        <v>1742994</v>
      </c>
      <c r="J38" s="23">
        <f>1530000+30000-30000</f>
        <v>1530000</v>
      </c>
    </row>
    <row r="39" spans="1:10" s="3" customFormat="1" ht="195.75" customHeight="1">
      <c r="A39" s="6" t="s">
        <v>124</v>
      </c>
      <c r="B39" s="25" t="s">
        <v>63</v>
      </c>
      <c r="C39" s="25" t="s">
        <v>10</v>
      </c>
      <c r="D39" s="65" t="s">
        <v>67</v>
      </c>
      <c r="E39" s="65" t="s">
        <v>458</v>
      </c>
      <c r="F39" s="102" t="s">
        <v>358</v>
      </c>
      <c r="G39" s="23">
        <f t="shared" si="0"/>
        <v>14968695</v>
      </c>
      <c r="H39" s="23">
        <f>10821600+408700+136000+76000+1300000+653800+1500000+10000+62595</f>
        <v>14968695</v>
      </c>
      <c r="I39" s="23"/>
      <c r="J39" s="23"/>
    </row>
    <row r="40" spans="1:10" s="3" customFormat="1" ht="146.25" customHeight="1">
      <c r="A40" s="6" t="s">
        <v>425</v>
      </c>
      <c r="B40" s="25">
        <v>7325</v>
      </c>
      <c r="C40" s="6" t="s">
        <v>62</v>
      </c>
      <c r="D40" s="116" t="s">
        <v>536</v>
      </c>
      <c r="E40" s="65" t="s">
        <v>458</v>
      </c>
      <c r="F40" s="102" t="s">
        <v>358</v>
      </c>
      <c r="G40" s="23">
        <f t="shared" si="0"/>
        <v>9790000</v>
      </c>
      <c r="H40" s="23"/>
      <c r="I40" s="23">
        <v>9790000</v>
      </c>
      <c r="J40" s="23">
        <v>9790000</v>
      </c>
    </row>
    <row r="41" spans="1:10" s="3" customFormat="1" ht="158.25" customHeight="1">
      <c r="A41" s="6" t="s">
        <v>125</v>
      </c>
      <c r="B41" s="25" t="s">
        <v>85</v>
      </c>
      <c r="C41" s="25" t="s">
        <v>29</v>
      </c>
      <c r="D41" s="65" t="s">
        <v>28</v>
      </c>
      <c r="E41" s="65" t="s">
        <v>450</v>
      </c>
      <c r="F41" s="102" t="s">
        <v>417</v>
      </c>
      <c r="G41" s="23">
        <f t="shared" si="0"/>
        <v>6542500</v>
      </c>
      <c r="H41" s="23">
        <f>7417200-874700</f>
        <v>6542500</v>
      </c>
      <c r="I41" s="23"/>
      <c r="J41" s="23"/>
    </row>
    <row r="42" spans="1:10" s="3" customFormat="1" ht="140.25" customHeight="1">
      <c r="A42" s="6" t="s">
        <v>410</v>
      </c>
      <c r="B42" s="25">
        <v>7413</v>
      </c>
      <c r="C42" s="25" t="s">
        <v>29</v>
      </c>
      <c r="D42" s="65" t="s">
        <v>411</v>
      </c>
      <c r="E42" s="65" t="s">
        <v>450</v>
      </c>
      <c r="F42" s="102" t="s">
        <v>417</v>
      </c>
      <c r="G42" s="23">
        <f t="shared" si="0"/>
        <v>12800000</v>
      </c>
      <c r="H42" s="23">
        <f>10000000+1000000+1800000</f>
        <v>12800000</v>
      </c>
      <c r="I42" s="23"/>
      <c r="J42" s="23"/>
    </row>
    <row r="43" spans="1:10" s="3" customFormat="1" ht="140.25" customHeight="1">
      <c r="A43" s="6" t="s">
        <v>550</v>
      </c>
      <c r="B43" s="25">
        <v>7422</v>
      </c>
      <c r="C43" s="6" t="s">
        <v>551</v>
      </c>
      <c r="D43" s="118" t="s">
        <v>552</v>
      </c>
      <c r="E43" s="65" t="s">
        <v>450</v>
      </c>
      <c r="F43" s="102" t="s">
        <v>417</v>
      </c>
      <c r="G43" s="23">
        <f t="shared" si="0"/>
        <v>4314400</v>
      </c>
      <c r="H43" s="23">
        <v>4314400</v>
      </c>
      <c r="I43" s="23"/>
      <c r="J43" s="23"/>
    </row>
    <row r="44" spans="1:10" s="3" customFormat="1" ht="144.75" customHeight="1">
      <c r="A44" s="6" t="s">
        <v>126</v>
      </c>
      <c r="B44" s="25" t="s">
        <v>86</v>
      </c>
      <c r="C44" s="6" t="s">
        <v>551</v>
      </c>
      <c r="D44" s="65" t="s">
        <v>87</v>
      </c>
      <c r="E44" s="65" t="s">
        <v>450</v>
      </c>
      <c r="F44" s="102" t="s">
        <v>417</v>
      </c>
      <c r="G44" s="23">
        <f t="shared" si="0"/>
        <v>37442296</v>
      </c>
      <c r="H44" s="23">
        <v>37442296</v>
      </c>
      <c r="I44" s="23"/>
      <c r="J44" s="23"/>
    </row>
    <row r="45" spans="1:10" s="10" customFormat="1" ht="148.5" customHeight="1">
      <c r="A45" s="6" t="s">
        <v>250</v>
      </c>
      <c r="B45" s="25" t="s">
        <v>251</v>
      </c>
      <c r="C45" s="25" t="s">
        <v>253</v>
      </c>
      <c r="D45" s="65" t="s">
        <v>252</v>
      </c>
      <c r="E45" s="65" t="s">
        <v>450</v>
      </c>
      <c r="F45" s="102" t="s">
        <v>417</v>
      </c>
      <c r="G45" s="23">
        <f t="shared" si="0"/>
        <v>140000</v>
      </c>
      <c r="H45" s="23">
        <v>140000</v>
      </c>
      <c r="I45" s="23"/>
      <c r="J45" s="23"/>
    </row>
    <row r="46" spans="1:10" s="3" customFormat="1" ht="192.75" customHeight="1">
      <c r="A46" s="6" t="s">
        <v>192</v>
      </c>
      <c r="B46" s="25" t="s">
        <v>193</v>
      </c>
      <c r="C46" s="25" t="s">
        <v>194</v>
      </c>
      <c r="D46" s="65" t="s">
        <v>195</v>
      </c>
      <c r="E46" s="65" t="s">
        <v>453</v>
      </c>
      <c r="F46" s="102" t="s">
        <v>463</v>
      </c>
      <c r="G46" s="23">
        <f t="shared" si="0"/>
        <v>10400000</v>
      </c>
      <c r="H46" s="23">
        <f>10400000-3150000</f>
        <v>7250000</v>
      </c>
      <c r="I46" s="23">
        <f>3150000</f>
        <v>3150000</v>
      </c>
      <c r="J46" s="23">
        <f>3150000</f>
        <v>3150000</v>
      </c>
    </row>
    <row r="47" spans="1:10" s="10" customFormat="1" ht="153" customHeight="1">
      <c r="A47" s="6" t="s">
        <v>127</v>
      </c>
      <c r="B47" s="25" t="s">
        <v>88</v>
      </c>
      <c r="C47" s="25" t="s">
        <v>5</v>
      </c>
      <c r="D47" s="65" t="s">
        <v>46</v>
      </c>
      <c r="E47" s="65" t="s">
        <v>459</v>
      </c>
      <c r="F47" s="65" t="s">
        <v>467</v>
      </c>
      <c r="G47" s="23">
        <f t="shared" si="0"/>
        <v>60000</v>
      </c>
      <c r="H47" s="23">
        <v>60000</v>
      </c>
      <c r="I47" s="23"/>
      <c r="J47" s="23"/>
    </row>
    <row r="48" spans="1:10" s="10" customFormat="1" ht="124.5" customHeight="1" hidden="1">
      <c r="A48" s="6" t="s">
        <v>196</v>
      </c>
      <c r="B48" s="25" t="s">
        <v>82</v>
      </c>
      <c r="C48" s="25" t="s">
        <v>25</v>
      </c>
      <c r="D48" s="65" t="s">
        <v>53</v>
      </c>
      <c r="E48" s="65" t="s">
        <v>440</v>
      </c>
      <c r="F48" s="65" t="s">
        <v>466</v>
      </c>
      <c r="G48" s="23">
        <f t="shared" si="0"/>
        <v>0</v>
      </c>
      <c r="H48" s="23"/>
      <c r="I48" s="23"/>
      <c r="J48" s="23"/>
    </row>
    <row r="49" spans="1:10" s="10" customFormat="1" ht="161.25" customHeight="1">
      <c r="A49" s="6" t="s">
        <v>128</v>
      </c>
      <c r="B49" s="25" t="s">
        <v>89</v>
      </c>
      <c r="C49" s="25" t="s">
        <v>4</v>
      </c>
      <c r="D49" s="65" t="s">
        <v>47</v>
      </c>
      <c r="E49" s="65" t="s">
        <v>450</v>
      </c>
      <c r="F49" s="102" t="s">
        <v>417</v>
      </c>
      <c r="G49" s="23">
        <f t="shared" si="0"/>
        <v>18997900</v>
      </c>
      <c r="H49" s="23"/>
      <c r="I49" s="23">
        <v>18997900</v>
      </c>
      <c r="J49" s="23">
        <v>18997900</v>
      </c>
    </row>
    <row r="50" spans="1:10" s="10" customFormat="1" ht="187.5" customHeight="1">
      <c r="A50" s="147" t="s">
        <v>185</v>
      </c>
      <c r="B50" s="144" t="s">
        <v>186</v>
      </c>
      <c r="C50" s="144" t="s">
        <v>4</v>
      </c>
      <c r="D50" s="121" t="s">
        <v>187</v>
      </c>
      <c r="E50" s="71" t="s">
        <v>465</v>
      </c>
      <c r="F50" s="65" t="s">
        <v>514</v>
      </c>
      <c r="G50" s="23">
        <f t="shared" si="0"/>
        <v>274337</v>
      </c>
      <c r="H50" s="23">
        <v>274337</v>
      </c>
      <c r="I50" s="23"/>
      <c r="J50" s="23"/>
    </row>
    <row r="51" spans="1:10" s="10" customFormat="1" ht="154.5" customHeight="1">
      <c r="A51" s="147"/>
      <c r="B51" s="144"/>
      <c r="C51" s="144"/>
      <c r="D51" s="121"/>
      <c r="E51" s="65" t="s">
        <v>440</v>
      </c>
      <c r="F51" s="65" t="s">
        <v>502</v>
      </c>
      <c r="G51" s="23">
        <f t="shared" si="0"/>
        <v>82000</v>
      </c>
      <c r="H51" s="23">
        <v>82000</v>
      </c>
      <c r="I51" s="23"/>
      <c r="J51" s="23"/>
    </row>
    <row r="52" spans="1:10" s="3" customFormat="1" ht="135.75" customHeight="1">
      <c r="A52" s="6" t="s">
        <v>197</v>
      </c>
      <c r="B52" s="25" t="s">
        <v>198</v>
      </c>
      <c r="C52" s="25" t="s">
        <v>4</v>
      </c>
      <c r="D52" s="65" t="s">
        <v>199</v>
      </c>
      <c r="E52" s="65" t="s">
        <v>457</v>
      </c>
      <c r="F52" s="102" t="s">
        <v>353</v>
      </c>
      <c r="G52" s="23">
        <f t="shared" si="0"/>
        <v>668626</v>
      </c>
      <c r="H52" s="23">
        <f>1129332-69100-97000-246116-48490</f>
        <v>668626</v>
      </c>
      <c r="I52" s="23"/>
      <c r="J52" s="23"/>
    </row>
    <row r="53" spans="1:10" ht="195" customHeight="1">
      <c r="A53" s="6" t="s">
        <v>129</v>
      </c>
      <c r="B53" s="25" t="s">
        <v>90</v>
      </c>
      <c r="C53" s="25" t="s">
        <v>91</v>
      </c>
      <c r="D53" s="65" t="s">
        <v>92</v>
      </c>
      <c r="E53" s="65" t="s">
        <v>460</v>
      </c>
      <c r="F53" s="102" t="s">
        <v>389</v>
      </c>
      <c r="G53" s="23">
        <f t="shared" si="0"/>
        <v>1681752</v>
      </c>
      <c r="H53" s="23">
        <f>251700+31787.34</f>
        <v>283487.34</v>
      </c>
      <c r="I53" s="23">
        <f>1430052-31787.34</f>
        <v>1398264.66</v>
      </c>
      <c r="J53" s="23">
        <f>1430052-31787.34</f>
        <v>1398264.66</v>
      </c>
    </row>
    <row r="54" spans="1:10" ht="134.25" customHeight="1">
      <c r="A54" s="6" t="s">
        <v>188</v>
      </c>
      <c r="B54" s="25" t="s">
        <v>189</v>
      </c>
      <c r="C54" s="25" t="s">
        <v>190</v>
      </c>
      <c r="D54" s="66" t="s">
        <v>191</v>
      </c>
      <c r="E54" s="65" t="s">
        <v>400</v>
      </c>
      <c r="F54" s="102" t="s">
        <v>359</v>
      </c>
      <c r="G54" s="23">
        <f t="shared" si="0"/>
        <v>427256</v>
      </c>
      <c r="H54" s="23">
        <f>351800+550+64342+10564</f>
        <v>427256</v>
      </c>
      <c r="I54" s="23"/>
      <c r="J54" s="23"/>
    </row>
    <row r="55" spans="1:10" ht="138" customHeight="1">
      <c r="A55" s="6" t="s">
        <v>130</v>
      </c>
      <c r="B55" s="25" t="s">
        <v>78</v>
      </c>
      <c r="C55" s="25" t="s">
        <v>12</v>
      </c>
      <c r="D55" s="65" t="s">
        <v>79</v>
      </c>
      <c r="E55" s="71" t="s">
        <v>451</v>
      </c>
      <c r="F55" s="65" t="s">
        <v>347</v>
      </c>
      <c r="G55" s="23">
        <f t="shared" si="0"/>
        <v>250000</v>
      </c>
      <c r="H55" s="23"/>
      <c r="I55" s="23">
        <v>250000</v>
      </c>
      <c r="J55" s="23"/>
    </row>
    <row r="56" spans="1:10" ht="144.75" customHeight="1">
      <c r="A56" s="6" t="s">
        <v>227</v>
      </c>
      <c r="B56" s="25" t="s">
        <v>228</v>
      </c>
      <c r="C56" s="25" t="s">
        <v>27</v>
      </c>
      <c r="D56" s="65" t="s">
        <v>229</v>
      </c>
      <c r="E56" s="65" t="s">
        <v>457</v>
      </c>
      <c r="F56" s="102" t="s">
        <v>346</v>
      </c>
      <c r="G56" s="23">
        <f t="shared" si="0"/>
        <v>30000</v>
      </c>
      <c r="H56" s="23">
        <v>30000</v>
      </c>
      <c r="I56" s="23"/>
      <c r="J56" s="23"/>
    </row>
    <row r="57" spans="1:10" ht="196.5" customHeight="1">
      <c r="A57" s="6" t="s">
        <v>543</v>
      </c>
      <c r="B57" s="25">
        <v>8861</v>
      </c>
      <c r="C57" s="6" t="s">
        <v>4</v>
      </c>
      <c r="D57" s="65" t="s">
        <v>545</v>
      </c>
      <c r="E57" s="98" t="s">
        <v>465</v>
      </c>
      <c r="F57" s="102" t="s">
        <v>514</v>
      </c>
      <c r="G57" s="23">
        <f t="shared" si="0"/>
        <v>300000</v>
      </c>
      <c r="H57" s="23">
        <v>300000</v>
      </c>
      <c r="I57" s="23"/>
      <c r="J57" s="23"/>
    </row>
    <row r="58" spans="1:10" ht="92.25" customHeight="1" hidden="1">
      <c r="A58" s="6" t="s">
        <v>544</v>
      </c>
      <c r="B58" s="25">
        <v>8862</v>
      </c>
      <c r="C58" s="94"/>
      <c r="D58" s="95"/>
      <c r="E58" s="96"/>
      <c r="F58" s="97"/>
      <c r="G58" s="23">
        <f t="shared" si="0"/>
        <v>0</v>
      </c>
      <c r="H58" s="23"/>
      <c r="I58" s="23"/>
      <c r="J58" s="23"/>
    </row>
    <row r="59" spans="1:10" ht="132.75" hidden="1">
      <c r="A59" s="142" t="s">
        <v>300</v>
      </c>
      <c r="B59" s="134" t="s">
        <v>76</v>
      </c>
      <c r="C59" s="134" t="s">
        <v>26</v>
      </c>
      <c r="D59" s="130" t="s">
        <v>77</v>
      </c>
      <c r="E59" s="65" t="s">
        <v>400</v>
      </c>
      <c r="F59" s="102" t="s">
        <v>359</v>
      </c>
      <c r="G59" s="23">
        <f t="shared" si="0"/>
        <v>0</v>
      </c>
      <c r="H59" s="23"/>
      <c r="I59" s="23"/>
      <c r="J59" s="23"/>
    </row>
    <row r="60" spans="1:10" ht="398.25" hidden="1">
      <c r="A60" s="142"/>
      <c r="B60" s="134"/>
      <c r="C60" s="134"/>
      <c r="D60" s="130"/>
      <c r="E60" s="65" t="s">
        <v>369</v>
      </c>
      <c r="F60" s="102" t="s">
        <v>401</v>
      </c>
      <c r="G60" s="23">
        <f t="shared" si="0"/>
        <v>0</v>
      </c>
      <c r="H60" s="23"/>
      <c r="I60" s="23"/>
      <c r="J60" s="23"/>
    </row>
    <row r="61" spans="1:10" ht="177" hidden="1">
      <c r="A61" s="142"/>
      <c r="B61" s="134"/>
      <c r="C61" s="134"/>
      <c r="D61" s="130"/>
      <c r="E61" s="65" t="s">
        <v>370</v>
      </c>
      <c r="F61" s="102" t="s">
        <v>391</v>
      </c>
      <c r="G61" s="23">
        <f t="shared" si="0"/>
        <v>0</v>
      </c>
      <c r="H61" s="23"/>
      <c r="I61" s="23"/>
      <c r="J61" s="23"/>
    </row>
    <row r="62" spans="1:10" ht="182.25" customHeight="1">
      <c r="A62" s="122" t="s">
        <v>273</v>
      </c>
      <c r="B62" s="135" t="s">
        <v>274</v>
      </c>
      <c r="C62" s="135" t="s">
        <v>26</v>
      </c>
      <c r="D62" s="148" t="s">
        <v>275</v>
      </c>
      <c r="E62" s="71" t="s">
        <v>465</v>
      </c>
      <c r="F62" s="65" t="s">
        <v>531</v>
      </c>
      <c r="G62" s="23">
        <f t="shared" si="0"/>
        <v>1246600</v>
      </c>
      <c r="H62" s="23">
        <f>197600-134000+500000</f>
        <v>563600</v>
      </c>
      <c r="I62" s="23">
        <f>134000+500000+49000</f>
        <v>683000</v>
      </c>
      <c r="J62" s="23">
        <f>134000+500000+49000</f>
        <v>683000</v>
      </c>
    </row>
    <row r="63" spans="1:10" ht="138" customHeight="1">
      <c r="A63" s="123"/>
      <c r="B63" s="146"/>
      <c r="C63" s="146"/>
      <c r="D63" s="156"/>
      <c r="E63" s="65" t="s">
        <v>400</v>
      </c>
      <c r="F63" s="102" t="s">
        <v>359</v>
      </c>
      <c r="G63" s="23">
        <f t="shared" si="0"/>
        <v>1675199</v>
      </c>
      <c r="H63" s="23">
        <f>5199+150000+720000</f>
        <v>875199</v>
      </c>
      <c r="I63" s="23">
        <f>800000</f>
        <v>800000</v>
      </c>
      <c r="J63" s="23">
        <f>800000</f>
        <v>800000</v>
      </c>
    </row>
    <row r="64" spans="1:10" ht="367.5" customHeight="1">
      <c r="A64" s="123"/>
      <c r="B64" s="146"/>
      <c r="C64" s="146"/>
      <c r="D64" s="156"/>
      <c r="E64" s="65" t="s">
        <v>535</v>
      </c>
      <c r="F64" s="65" t="s">
        <v>548</v>
      </c>
      <c r="G64" s="23">
        <f t="shared" si="0"/>
        <v>610000</v>
      </c>
      <c r="H64" s="23">
        <f>55000+500000+55000</f>
        <v>610000</v>
      </c>
      <c r="I64" s="23"/>
      <c r="J64" s="23"/>
    </row>
    <row r="65" spans="1:10" ht="177" customHeight="1" hidden="1">
      <c r="A65" s="124"/>
      <c r="B65" s="136"/>
      <c r="C65" s="136"/>
      <c r="D65" s="149"/>
      <c r="E65" s="65" t="s">
        <v>370</v>
      </c>
      <c r="F65" s="102" t="s">
        <v>391</v>
      </c>
      <c r="G65" s="23">
        <f t="shared" si="0"/>
        <v>0</v>
      </c>
      <c r="H65" s="23"/>
      <c r="I65" s="23"/>
      <c r="J65" s="23"/>
    </row>
    <row r="66" spans="1:10" s="2" customFormat="1" ht="103.5" customHeight="1">
      <c r="A66" s="12"/>
      <c r="B66" s="26"/>
      <c r="C66" s="26"/>
      <c r="D66" s="68" t="s">
        <v>131</v>
      </c>
      <c r="E66" s="68"/>
      <c r="F66" s="108"/>
      <c r="G66" s="22">
        <f>SUM(G67:G112)</f>
        <v>1258547525.41</v>
      </c>
      <c r="H66" s="22">
        <f>SUM(H67:H112)</f>
        <v>1149794054.23</v>
      </c>
      <c r="I66" s="22">
        <f>SUM(I67:I112)</f>
        <v>108753471.18</v>
      </c>
      <c r="J66" s="22">
        <f>SUM(J67:J112)</f>
        <v>67115021.18</v>
      </c>
    </row>
    <row r="67" spans="1:10" s="2" customFormat="1" ht="150.75" customHeight="1">
      <c r="A67" s="6" t="s">
        <v>132</v>
      </c>
      <c r="B67" s="25" t="s">
        <v>70</v>
      </c>
      <c r="C67" s="25" t="s">
        <v>2</v>
      </c>
      <c r="D67" s="65" t="s">
        <v>476</v>
      </c>
      <c r="E67" s="65" t="s">
        <v>457</v>
      </c>
      <c r="F67" s="102" t="s">
        <v>346</v>
      </c>
      <c r="G67" s="23">
        <f aca="true" t="shared" si="1" ref="G67:G112">H67+I67</f>
        <v>30000</v>
      </c>
      <c r="H67" s="23">
        <v>30000</v>
      </c>
      <c r="I67" s="23"/>
      <c r="J67" s="23"/>
    </row>
    <row r="68" spans="1:10" ht="138" customHeight="1">
      <c r="A68" s="142" t="s">
        <v>133</v>
      </c>
      <c r="B68" s="134" t="s">
        <v>36</v>
      </c>
      <c r="C68" s="134" t="s">
        <v>14</v>
      </c>
      <c r="D68" s="130" t="s">
        <v>83</v>
      </c>
      <c r="E68" s="65" t="s">
        <v>454</v>
      </c>
      <c r="F68" s="65" t="s">
        <v>355</v>
      </c>
      <c r="G68" s="23">
        <f t="shared" si="1"/>
        <v>309456106</v>
      </c>
      <c r="H68" s="23">
        <f>297514346-H69-H70</f>
        <v>296624926</v>
      </c>
      <c r="I68" s="23">
        <v>12831180</v>
      </c>
      <c r="J68" s="23">
        <v>1071480</v>
      </c>
    </row>
    <row r="69" spans="1:10" s="21" customFormat="1" ht="135.75" customHeight="1">
      <c r="A69" s="142"/>
      <c r="B69" s="134"/>
      <c r="C69" s="134"/>
      <c r="D69" s="130"/>
      <c r="E69" s="65" t="s">
        <v>441</v>
      </c>
      <c r="F69" s="65" t="s">
        <v>348</v>
      </c>
      <c r="G69" s="23">
        <f t="shared" si="1"/>
        <v>17950</v>
      </c>
      <c r="H69" s="23">
        <v>17950</v>
      </c>
      <c r="I69" s="24"/>
      <c r="J69" s="24"/>
    </row>
    <row r="70" spans="1:10" s="21" customFormat="1" ht="138.75" customHeight="1">
      <c r="A70" s="142"/>
      <c r="B70" s="134"/>
      <c r="C70" s="134"/>
      <c r="D70" s="130"/>
      <c r="E70" s="65" t="s">
        <v>452</v>
      </c>
      <c r="F70" s="65" t="s">
        <v>407</v>
      </c>
      <c r="G70" s="23">
        <f t="shared" si="1"/>
        <v>871470</v>
      </c>
      <c r="H70" s="23">
        <v>871470</v>
      </c>
      <c r="I70" s="24"/>
      <c r="J70" s="24"/>
    </row>
    <row r="71" spans="1:10" s="21" customFormat="1" ht="138" customHeight="1">
      <c r="A71" s="122" t="s">
        <v>480</v>
      </c>
      <c r="B71" s="135">
        <v>1021</v>
      </c>
      <c r="C71" s="135" t="s">
        <v>15</v>
      </c>
      <c r="D71" s="127" t="s">
        <v>481</v>
      </c>
      <c r="E71" s="65" t="s">
        <v>454</v>
      </c>
      <c r="F71" s="65" t="s">
        <v>355</v>
      </c>
      <c r="G71" s="23">
        <f t="shared" si="1"/>
        <v>233625783.2</v>
      </c>
      <c r="H71" s="23">
        <f>209620109.2-H72-H73</f>
        <v>207201879.2</v>
      </c>
      <c r="I71" s="23">
        <v>26423904</v>
      </c>
      <c r="J71" s="23">
        <v>1293104</v>
      </c>
    </row>
    <row r="72" spans="1:10" s="21" customFormat="1" ht="140.25" customHeight="1">
      <c r="A72" s="123"/>
      <c r="B72" s="146"/>
      <c r="C72" s="146"/>
      <c r="D72" s="128"/>
      <c r="E72" s="65" t="s">
        <v>441</v>
      </c>
      <c r="F72" s="65" t="s">
        <v>348</v>
      </c>
      <c r="G72" s="23">
        <f t="shared" si="1"/>
        <v>62445</v>
      </c>
      <c r="H72" s="23">
        <v>62445</v>
      </c>
      <c r="I72" s="24"/>
      <c r="J72" s="24"/>
    </row>
    <row r="73" spans="1:10" s="21" customFormat="1" ht="156" customHeight="1">
      <c r="A73" s="124"/>
      <c r="B73" s="136"/>
      <c r="C73" s="136"/>
      <c r="D73" s="129"/>
      <c r="E73" s="65" t="s">
        <v>452</v>
      </c>
      <c r="F73" s="102" t="s">
        <v>407</v>
      </c>
      <c r="G73" s="23">
        <f t="shared" si="1"/>
        <v>2355785</v>
      </c>
      <c r="H73" s="23">
        <v>2355785</v>
      </c>
      <c r="I73" s="24"/>
      <c r="J73" s="24"/>
    </row>
    <row r="74" spans="1:10" s="21" customFormat="1" ht="231" customHeight="1">
      <c r="A74" s="45" t="s">
        <v>482</v>
      </c>
      <c r="B74" s="46">
        <v>1022</v>
      </c>
      <c r="C74" s="45" t="s">
        <v>33</v>
      </c>
      <c r="D74" s="67" t="s">
        <v>403</v>
      </c>
      <c r="E74" s="65" t="s">
        <v>454</v>
      </c>
      <c r="F74" s="65" t="s">
        <v>355</v>
      </c>
      <c r="G74" s="23">
        <f t="shared" si="1"/>
        <v>14533307</v>
      </c>
      <c r="H74" s="23">
        <v>14436307</v>
      </c>
      <c r="I74" s="23">
        <v>97000</v>
      </c>
      <c r="J74" s="23">
        <v>97000</v>
      </c>
    </row>
    <row r="75" spans="1:10" s="21" customFormat="1" ht="231" customHeight="1">
      <c r="A75" s="45" t="s">
        <v>562</v>
      </c>
      <c r="B75" s="46">
        <v>1025</v>
      </c>
      <c r="C75" s="45" t="s">
        <v>33</v>
      </c>
      <c r="D75" s="67" t="s">
        <v>564</v>
      </c>
      <c r="E75" s="65" t="s">
        <v>454</v>
      </c>
      <c r="F75" s="65" t="s">
        <v>355</v>
      </c>
      <c r="G75" s="23">
        <f t="shared" si="1"/>
        <v>3993974.43</v>
      </c>
      <c r="H75" s="23">
        <v>3993974.43</v>
      </c>
      <c r="I75" s="23"/>
      <c r="J75" s="23"/>
    </row>
    <row r="76" spans="1:10" ht="150.75" customHeight="1">
      <c r="A76" s="8" t="s">
        <v>483</v>
      </c>
      <c r="B76" s="27">
        <v>1031</v>
      </c>
      <c r="C76" s="6" t="s">
        <v>15</v>
      </c>
      <c r="D76" s="65" t="s">
        <v>481</v>
      </c>
      <c r="E76" s="65" t="s">
        <v>454</v>
      </c>
      <c r="F76" s="65" t="s">
        <v>355</v>
      </c>
      <c r="G76" s="23">
        <f t="shared" si="1"/>
        <v>468581848.54</v>
      </c>
      <c r="H76" s="23">
        <v>468581848.54</v>
      </c>
      <c r="I76" s="23"/>
      <c r="J76" s="23"/>
    </row>
    <row r="77" spans="1:10" ht="232.5" customHeight="1">
      <c r="A77" s="8" t="s">
        <v>484</v>
      </c>
      <c r="B77" s="27">
        <v>1032</v>
      </c>
      <c r="C77" s="6" t="s">
        <v>33</v>
      </c>
      <c r="D77" s="65" t="s">
        <v>403</v>
      </c>
      <c r="E77" s="65" t="s">
        <v>454</v>
      </c>
      <c r="F77" s="65" t="s">
        <v>355</v>
      </c>
      <c r="G77" s="23">
        <f t="shared" si="1"/>
        <v>15564500</v>
      </c>
      <c r="H77" s="23">
        <v>15564500</v>
      </c>
      <c r="I77" s="23"/>
      <c r="J77" s="23"/>
    </row>
    <row r="78" spans="1:10" ht="232.5" customHeight="1">
      <c r="A78" s="8" t="s">
        <v>563</v>
      </c>
      <c r="B78" s="27">
        <v>1035</v>
      </c>
      <c r="C78" s="6" t="s">
        <v>33</v>
      </c>
      <c r="D78" s="65" t="s">
        <v>564</v>
      </c>
      <c r="E78" s="65" t="s">
        <v>454</v>
      </c>
      <c r="F78" s="65" t="s">
        <v>355</v>
      </c>
      <c r="G78" s="23">
        <f t="shared" si="1"/>
        <v>381031.46</v>
      </c>
      <c r="H78" s="23">
        <v>381031.46</v>
      </c>
      <c r="I78" s="23"/>
      <c r="J78" s="23"/>
    </row>
    <row r="79" spans="1:10" ht="140.25" customHeight="1">
      <c r="A79" s="8" t="s">
        <v>505</v>
      </c>
      <c r="B79" s="27">
        <v>1061</v>
      </c>
      <c r="C79" s="61" t="s">
        <v>15</v>
      </c>
      <c r="D79" s="70" t="s">
        <v>506</v>
      </c>
      <c r="E79" s="65" t="s">
        <v>454</v>
      </c>
      <c r="F79" s="65" t="s">
        <v>355</v>
      </c>
      <c r="G79" s="23">
        <f t="shared" si="1"/>
        <v>7057742.779999999</v>
      </c>
      <c r="H79" s="23">
        <v>947017.6</v>
      </c>
      <c r="I79" s="23">
        <v>6110725.18</v>
      </c>
      <c r="J79" s="23">
        <v>6110725.18</v>
      </c>
    </row>
    <row r="80" spans="1:10" ht="230.25" customHeight="1">
      <c r="A80" s="8" t="s">
        <v>534</v>
      </c>
      <c r="B80" s="27">
        <v>1062</v>
      </c>
      <c r="C80" s="80" t="s">
        <v>33</v>
      </c>
      <c r="D80" s="76" t="s">
        <v>403</v>
      </c>
      <c r="E80" s="65" t="s">
        <v>454</v>
      </c>
      <c r="F80" s="65" t="s">
        <v>355</v>
      </c>
      <c r="G80" s="23">
        <f t="shared" si="1"/>
        <v>40000</v>
      </c>
      <c r="H80" s="23">
        <v>40000</v>
      </c>
      <c r="I80" s="23"/>
      <c r="J80" s="23"/>
    </row>
    <row r="81" spans="1:10" ht="143.25" customHeight="1">
      <c r="A81" s="8" t="s">
        <v>494</v>
      </c>
      <c r="B81" s="27">
        <v>1070</v>
      </c>
      <c r="C81" s="6" t="s">
        <v>32</v>
      </c>
      <c r="D81" s="65" t="s">
        <v>495</v>
      </c>
      <c r="E81" s="65" t="s">
        <v>454</v>
      </c>
      <c r="F81" s="65" t="s">
        <v>355</v>
      </c>
      <c r="G81" s="23">
        <f t="shared" si="1"/>
        <v>35157445</v>
      </c>
      <c r="H81" s="23">
        <v>35044945</v>
      </c>
      <c r="I81" s="23">
        <v>112500</v>
      </c>
      <c r="J81" s="23">
        <v>112500</v>
      </c>
    </row>
    <row r="82" spans="1:10" ht="132.75" customHeight="1" hidden="1">
      <c r="A82" s="8" t="s">
        <v>326</v>
      </c>
      <c r="B82" s="27" t="s">
        <v>327</v>
      </c>
      <c r="C82" s="6" t="s">
        <v>16</v>
      </c>
      <c r="D82" s="65" t="s">
        <v>404</v>
      </c>
      <c r="E82" s="65" t="s">
        <v>454</v>
      </c>
      <c r="F82" s="65" t="s">
        <v>355</v>
      </c>
      <c r="G82" s="23">
        <f t="shared" si="1"/>
        <v>0</v>
      </c>
      <c r="H82" s="23"/>
      <c r="I82" s="23"/>
      <c r="J82" s="23"/>
    </row>
    <row r="83" spans="1:10" s="3" customFormat="1" ht="141" customHeight="1">
      <c r="A83" s="8" t="s">
        <v>485</v>
      </c>
      <c r="B83" s="27">
        <v>1141</v>
      </c>
      <c r="C83" s="6" t="s">
        <v>16</v>
      </c>
      <c r="D83" s="65" t="s">
        <v>255</v>
      </c>
      <c r="E83" s="65" t="s">
        <v>454</v>
      </c>
      <c r="F83" s="65" t="s">
        <v>355</v>
      </c>
      <c r="G83" s="23">
        <f t="shared" si="1"/>
        <v>11387250</v>
      </c>
      <c r="H83" s="23">
        <v>11387250</v>
      </c>
      <c r="I83" s="23"/>
      <c r="J83" s="23"/>
    </row>
    <row r="84" spans="1:10" s="3" customFormat="1" ht="141" customHeight="1">
      <c r="A84" s="8" t="s">
        <v>486</v>
      </c>
      <c r="B84" s="27">
        <v>1142</v>
      </c>
      <c r="C84" s="25" t="s">
        <v>16</v>
      </c>
      <c r="D84" s="65" t="s">
        <v>256</v>
      </c>
      <c r="E84" s="65" t="s">
        <v>454</v>
      </c>
      <c r="F84" s="65" t="s">
        <v>355</v>
      </c>
      <c r="G84" s="23">
        <f t="shared" si="1"/>
        <v>113000</v>
      </c>
      <c r="H84" s="23">
        <v>113000</v>
      </c>
      <c r="I84" s="23"/>
      <c r="J84" s="23"/>
    </row>
    <row r="85" spans="1:10" s="3" customFormat="1" ht="141" customHeight="1">
      <c r="A85" s="8" t="s">
        <v>487</v>
      </c>
      <c r="B85" s="27">
        <v>1151</v>
      </c>
      <c r="C85" s="25" t="s">
        <v>16</v>
      </c>
      <c r="D85" s="65" t="s">
        <v>488</v>
      </c>
      <c r="E85" s="65" t="s">
        <v>454</v>
      </c>
      <c r="F85" s="65" t="s">
        <v>355</v>
      </c>
      <c r="G85" s="23">
        <f t="shared" si="1"/>
        <v>445933</v>
      </c>
      <c r="H85" s="23">
        <v>445933</v>
      </c>
      <c r="I85" s="23"/>
      <c r="J85" s="23"/>
    </row>
    <row r="86" spans="1:10" s="3" customFormat="1" ht="147.75" customHeight="1">
      <c r="A86" s="8" t="s">
        <v>489</v>
      </c>
      <c r="B86" s="27">
        <v>1152</v>
      </c>
      <c r="C86" s="6" t="s">
        <v>16</v>
      </c>
      <c r="D86" s="65" t="s">
        <v>500</v>
      </c>
      <c r="E86" s="65" t="s">
        <v>454</v>
      </c>
      <c r="F86" s="65" t="s">
        <v>355</v>
      </c>
      <c r="G86" s="23">
        <f t="shared" si="1"/>
        <v>1499036</v>
      </c>
      <c r="H86" s="23">
        <v>1499036</v>
      </c>
      <c r="I86" s="23"/>
      <c r="J86" s="23"/>
    </row>
    <row r="87" spans="1:10" s="3" customFormat="1" ht="147.75" customHeight="1">
      <c r="A87" s="8" t="s">
        <v>490</v>
      </c>
      <c r="B87" s="27">
        <v>1160</v>
      </c>
      <c r="C87" s="6" t="s">
        <v>16</v>
      </c>
      <c r="D87" s="65" t="s">
        <v>491</v>
      </c>
      <c r="E87" s="65" t="s">
        <v>454</v>
      </c>
      <c r="F87" s="65" t="s">
        <v>355</v>
      </c>
      <c r="G87" s="23">
        <f t="shared" si="1"/>
        <v>2571377</v>
      </c>
      <c r="H87" s="23">
        <v>2521377</v>
      </c>
      <c r="I87" s="23">
        <v>50000</v>
      </c>
      <c r="J87" s="23">
        <v>50000</v>
      </c>
    </row>
    <row r="88" spans="1:10" s="3" customFormat="1" ht="147.75" customHeight="1">
      <c r="A88" s="8" t="s">
        <v>565</v>
      </c>
      <c r="B88" s="27">
        <v>1171</v>
      </c>
      <c r="C88" s="6" t="s">
        <v>16</v>
      </c>
      <c r="D88" s="65" t="s">
        <v>566</v>
      </c>
      <c r="E88" s="65" t="s">
        <v>454</v>
      </c>
      <c r="F88" s="65" t="s">
        <v>355</v>
      </c>
      <c r="G88" s="23">
        <f t="shared" si="1"/>
        <v>1610670</v>
      </c>
      <c r="H88" s="23"/>
      <c r="I88" s="23">
        <v>1610670</v>
      </c>
      <c r="J88" s="23">
        <v>1610670</v>
      </c>
    </row>
    <row r="89" spans="1:10" s="3" customFormat="1" ht="147.75" customHeight="1">
      <c r="A89" s="8" t="s">
        <v>567</v>
      </c>
      <c r="B89" s="27">
        <v>1172</v>
      </c>
      <c r="C89" s="6" t="s">
        <v>16</v>
      </c>
      <c r="D89" s="65" t="s">
        <v>568</v>
      </c>
      <c r="E89" s="65" t="s">
        <v>454</v>
      </c>
      <c r="F89" s="65" t="s">
        <v>355</v>
      </c>
      <c r="G89" s="23">
        <f t="shared" si="1"/>
        <v>3147500</v>
      </c>
      <c r="H89" s="23">
        <v>287772</v>
      </c>
      <c r="I89" s="23">
        <v>2859728</v>
      </c>
      <c r="J89" s="23">
        <v>2859728</v>
      </c>
    </row>
    <row r="90" spans="1:10" s="3" customFormat="1" ht="318.75" customHeight="1">
      <c r="A90" s="8" t="s">
        <v>555</v>
      </c>
      <c r="B90" s="27">
        <v>1181</v>
      </c>
      <c r="C90" s="6" t="s">
        <v>16</v>
      </c>
      <c r="D90" s="119" t="s">
        <v>556</v>
      </c>
      <c r="E90" s="65" t="s">
        <v>454</v>
      </c>
      <c r="F90" s="65" t="s">
        <v>355</v>
      </c>
      <c r="G90" s="23">
        <f t="shared" si="1"/>
        <v>2368252</v>
      </c>
      <c r="H90" s="23">
        <v>2037825</v>
      </c>
      <c r="I90" s="23">
        <v>330427</v>
      </c>
      <c r="J90" s="23">
        <v>330427</v>
      </c>
    </row>
    <row r="91" spans="1:10" s="3" customFormat="1" ht="189" customHeight="1">
      <c r="A91" s="8" t="s">
        <v>553</v>
      </c>
      <c r="B91" s="27">
        <v>1182</v>
      </c>
      <c r="C91" s="6" t="s">
        <v>16</v>
      </c>
      <c r="D91" s="119" t="s">
        <v>554</v>
      </c>
      <c r="E91" s="65" t="s">
        <v>454</v>
      </c>
      <c r="F91" s="65" t="s">
        <v>355</v>
      </c>
      <c r="G91" s="23">
        <f t="shared" si="1"/>
        <v>6907063</v>
      </c>
      <c r="H91" s="23">
        <v>6109696</v>
      </c>
      <c r="I91" s="23">
        <v>797367</v>
      </c>
      <c r="J91" s="23">
        <v>797367</v>
      </c>
    </row>
    <row r="92" spans="1:10" s="3" customFormat="1" ht="230.25" customHeight="1">
      <c r="A92" s="8" t="s">
        <v>492</v>
      </c>
      <c r="B92" s="27">
        <v>1200</v>
      </c>
      <c r="C92" s="6" t="s">
        <v>16</v>
      </c>
      <c r="D92" s="65" t="s">
        <v>493</v>
      </c>
      <c r="E92" s="65" t="s">
        <v>454</v>
      </c>
      <c r="F92" s="65" t="s">
        <v>355</v>
      </c>
      <c r="G92" s="23">
        <f t="shared" si="1"/>
        <v>2684700</v>
      </c>
      <c r="H92" s="23">
        <f>2586117+26583</f>
        <v>2612700</v>
      </c>
      <c r="I92" s="23">
        <f>98583-26583</f>
        <v>72000</v>
      </c>
      <c r="J92" s="23">
        <f>98583-26583</f>
        <v>72000</v>
      </c>
    </row>
    <row r="93" spans="1:10" s="3" customFormat="1" ht="236.25" customHeight="1">
      <c r="A93" s="64" t="s">
        <v>507</v>
      </c>
      <c r="B93" s="63">
        <v>1210</v>
      </c>
      <c r="C93" s="6" t="s">
        <v>16</v>
      </c>
      <c r="D93" s="70" t="s">
        <v>508</v>
      </c>
      <c r="E93" s="65" t="s">
        <v>454</v>
      </c>
      <c r="F93" s="65" t="s">
        <v>355</v>
      </c>
      <c r="G93" s="23">
        <f t="shared" si="1"/>
        <v>1174231</v>
      </c>
      <c r="H93" s="23">
        <v>1174231</v>
      </c>
      <c r="I93" s="23"/>
      <c r="J93" s="23"/>
    </row>
    <row r="94" spans="1:10" ht="135.75" customHeight="1">
      <c r="A94" s="138" t="s">
        <v>134</v>
      </c>
      <c r="B94" s="131" t="s">
        <v>38</v>
      </c>
      <c r="C94" s="135" t="s">
        <v>7</v>
      </c>
      <c r="D94" s="127" t="s">
        <v>42</v>
      </c>
      <c r="E94" s="65" t="s">
        <v>395</v>
      </c>
      <c r="F94" s="102" t="s">
        <v>356</v>
      </c>
      <c r="G94" s="23">
        <f t="shared" si="1"/>
        <v>2322000</v>
      </c>
      <c r="H94" s="23">
        <f>5500000-H95-H96</f>
        <v>2322000</v>
      </c>
      <c r="I94" s="23"/>
      <c r="J94" s="23"/>
    </row>
    <row r="95" spans="1:10" ht="138.75" customHeight="1">
      <c r="A95" s="153"/>
      <c r="B95" s="132"/>
      <c r="C95" s="146"/>
      <c r="D95" s="128"/>
      <c r="E95" s="65" t="s">
        <v>441</v>
      </c>
      <c r="F95" s="65" t="s">
        <v>348</v>
      </c>
      <c r="G95" s="23">
        <f t="shared" si="1"/>
        <v>31000</v>
      </c>
      <c r="H95" s="23">
        <f>35000+5000-9000</f>
        <v>31000</v>
      </c>
      <c r="I95" s="23"/>
      <c r="J95" s="23"/>
    </row>
    <row r="96" spans="1:10" ht="153" customHeight="1">
      <c r="A96" s="139"/>
      <c r="B96" s="133"/>
      <c r="C96" s="136"/>
      <c r="D96" s="129"/>
      <c r="E96" s="65" t="s">
        <v>452</v>
      </c>
      <c r="F96" s="102" t="s">
        <v>407</v>
      </c>
      <c r="G96" s="23">
        <f t="shared" si="1"/>
        <v>3147000</v>
      </c>
      <c r="H96" s="23">
        <f>1631000+1855000-339000</f>
        <v>3147000</v>
      </c>
      <c r="I96" s="23"/>
      <c r="J96" s="23"/>
    </row>
    <row r="97" spans="1:10" ht="156" customHeight="1">
      <c r="A97" s="8" t="s">
        <v>337</v>
      </c>
      <c r="B97" s="27" t="s">
        <v>234</v>
      </c>
      <c r="C97" s="25" t="s">
        <v>6</v>
      </c>
      <c r="D97" s="65" t="s">
        <v>235</v>
      </c>
      <c r="E97" s="65" t="s">
        <v>472</v>
      </c>
      <c r="F97" s="102" t="s">
        <v>473</v>
      </c>
      <c r="G97" s="23">
        <f t="shared" si="1"/>
        <v>54300</v>
      </c>
      <c r="H97" s="23">
        <v>54300</v>
      </c>
      <c r="I97" s="23"/>
      <c r="J97" s="23"/>
    </row>
    <row r="98" spans="1:10" s="3" customFormat="1" ht="141.75" customHeight="1">
      <c r="A98" s="6" t="s">
        <v>135</v>
      </c>
      <c r="B98" s="25" t="s">
        <v>64</v>
      </c>
      <c r="C98" s="25" t="s">
        <v>10</v>
      </c>
      <c r="D98" s="65" t="s">
        <v>44</v>
      </c>
      <c r="E98" s="65" t="s">
        <v>458</v>
      </c>
      <c r="F98" s="102" t="s">
        <v>358</v>
      </c>
      <c r="G98" s="23">
        <f t="shared" si="1"/>
        <v>8813255</v>
      </c>
      <c r="H98" s="23">
        <v>8813255</v>
      </c>
      <c r="I98" s="23"/>
      <c r="J98" s="23"/>
    </row>
    <row r="99" spans="1:10" s="3" customFormat="1" ht="141.75" customHeight="1">
      <c r="A99" s="6" t="s">
        <v>420</v>
      </c>
      <c r="B99" s="25">
        <v>7321</v>
      </c>
      <c r="C99" s="6" t="s">
        <v>62</v>
      </c>
      <c r="D99" s="116" t="s">
        <v>537</v>
      </c>
      <c r="E99" s="65" t="s">
        <v>454</v>
      </c>
      <c r="F99" s="65" t="s">
        <v>355</v>
      </c>
      <c r="G99" s="23">
        <f t="shared" si="1"/>
        <v>24799566</v>
      </c>
      <c r="H99" s="23"/>
      <c r="I99" s="23">
        <v>24799566</v>
      </c>
      <c r="J99" s="23">
        <v>24799566</v>
      </c>
    </row>
    <row r="100" spans="1:10" s="3" customFormat="1" ht="180.75" customHeight="1">
      <c r="A100" s="142" t="s">
        <v>277</v>
      </c>
      <c r="B100" s="134" t="s">
        <v>278</v>
      </c>
      <c r="C100" s="134" t="s">
        <v>4</v>
      </c>
      <c r="D100" s="130" t="s">
        <v>279</v>
      </c>
      <c r="E100" s="65" t="s">
        <v>440</v>
      </c>
      <c r="F100" s="65" t="s">
        <v>502</v>
      </c>
      <c r="G100" s="23">
        <f t="shared" si="1"/>
        <v>5533227</v>
      </c>
      <c r="H100" s="23"/>
      <c r="I100" s="23">
        <v>5533227</v>
      </c>
      <c r="J100" s="23">
        <v>5533227</v>
      </c>
    </row>
    <row r="101" spans="1:10" s="3" customFormat="1" ht="132.75">
      <c r="A101" s="142"/>
      <c r="B101" s="134"/>
      <c r="C101" s="134"/>
      <c r="D101" s="130"/>
      <c r="E101" s="65" t="s">
        <v>454</v>
      </c>
      <c r="F101" s="65" t="s">
        <v>355</v>
      </c>
      <c r="G101" s="23">
        <f t="shared" si="1"/>
        <v>9751973</v>
      </c>
      <c r="H101" s="23"/>
      <c r="I101" s="23">
        <f>15285200-I100</f>
        <v>9751973</v>
      </c>
      <c r="J101" s="23">
        <f>11792250-J100</f>
        <v>6259023</v>
      </c>
    </row>
    <row r="102" spans="1:10" s="3" customFormat="1" ht="44.25" hidden="1">
      <c r="A102" s="142"/>
      <c r="B102" s="134"/>
      <c r="C102" s="134"/>
      <c r="D102" s="130"/>
      <c r="E102" s="65"/>
      <c r="F102" s="65"/>
      <c r="G102" s="23">
        <f t="shared" si="1"/>
        <v>0</v>
      </c>
      <c r="H102" s="23"/>
      <c r="I102" s="23"/>
      <c r="J102" s="23"/>
    </row>
    <row r="103" spans="1:10" s="3" customFormat="1" ht="44.25" hidden="1">
      <c r="A103" s="142"/>
      <c r="B103" s="134"/>
      <c r="C103" s="134"/>
      <c r="D103" s="130"/>
      <c r="E103" s="65"/>
      <c r="F103" s="65"/>
      <c r="G103" s="23">
        <f t="shared" si="1"/>
        <v>0</v>
      </c>
      <c r="H103" s="23"/>
      <c r="I103" s="23"/>
      <c r="J103" s="23"/>
    </row>
    <row r="104" spans="1:10" s="3" customFormat="1" ht="44.25" hidden="1">
      <c r="A104" s="6"/>
      <c r="B104" s="25"/>
      <c r="C104" s="25"/>
      <c r="D104" s="65"/>
      <c r="E104" s="65"/>
      <c r="F104" s="65"/>
      <c r="G104" s="23">
        <f t="shared" si="1"/>
        <v>0</v>
      </c>
      <c r="H104" s="23"/>
      <c r="I104" s="23"/>
      <c r="J104" s="23"/>
    </row>
    <row r="105" spans="1:10" s="11" customFormat="1" ht="141" customHeight="1">
      <c r="A105" s="6" t="s">
        <v>136</v>
      </c>
      <c r="B105" s="25" t="s">
        <v>82</v>
      </c>
      <c r="C105" s="25" t="s">
        <v>25</v>
      </c>
      <c r="D105" s="65" t="s">
        <v>53</v>
      </c>
      <c r="E105" s="65" t="s">
        <v>440</v>
      </c>
      <c r="F105" s="65" t="s">
        <v>466</v>
      </c>
      <c r="G105" s="23">
        <f t="shared" si="1"/>
        <v>12245696</v>
      </c>
      <c r="H105" s="23">
        <f>551000+140000</f>
        <v>691000</v>
      </c>
      <c r="I105" s="23">
        <v>11554696</v>
      </c>
      <c r="J105" s="23">
        <v>11554696</v>
      </c>
    </row>
    <row r="106" spans="1:10" s="11" customFormat="1" ht="185.25" customHeight="1">
      <c r="A106" s="6" t="s">
        <v>475</v>
      </c>
      <c r="B106" s="25">
        <v>7700</v>
      </c>
      <c r="C106" s="61" t="s">
        <v>13</v>
      </c>
      <c r="D106" s="65" t="s">
        <v>330</v>
      </c>
      <c r="E106" s="65" t="s">
        <v>440</v>
      </c>
      <c r="F106" s="65" t="s">
        <v>466</v>
      </c>
      <c r="G106" s="23">
        <f t="shared" si="1"/>
        <v>630000</v>
      </c>
      <c r="H106" s="23"/>
      <c r="I106" s="23">
        <v>630000</v>
      </c>
      <c r="J106" s="23"/>
    </row>
    <row r="107" spans="1:10" ht="146.25" customHeight="1">
      <c r="A107" s="8" t="s">
        <v>137</v>
      </c>
      <c r="B107" s="27" t="s">
        <v>78</v>
      </c>
      <c r="C107" s="25" t="s">
        <v>12</v>
      </c>
      <c r="D107" s="65" t="s">
        <v>79</v>
      </c>
      <c r="E107" s="71" t="s">
        <v>451</v>
      </c>
      <c r="F107" s="65" t="s">
        <v>347</v>
      </c>
      <c r="G107" s="23">
        <f t="shared" si="1"/>
        <v>625000</v>
      </c>
      <c r="H107" s="23"/>
      <c r="I107" s="23">
        <v>625000</v>
      </c>
      <c r="J107" s="23"/>
    </row>
    <row r="108" spans="1:10" ht="177" hidden="1">
      <c r="A108" s="8" t="s">
        <v>423</v>
      </c>
      <c r="B108" s="27">
        <v>9310</v>
      </c>
      <c r="C108" s="6" t="s">
        <v>26</v>
      </c>
      <c r="D108" s="65" t="s">
        <v>424</v>
      </c>
      <c r="E108" s="65" t="s">
        <v>454</v>
      </c>
      <c r="F108" s="65" t="s">
        <v>355</v>
      </c>
      <c r="G108" s="23">
        <f t="shared" si="1"/>
        <v>0</v>
      </c>
      <c r="H108" s="23"/>
      <c r="I108" s="23"/>
      <c r="J108" s="23"/>
    </row>
    <row r="109" spans="1:10" ht="195" customHeight="1">
      <c r="A109" s="64" t="s">
        <v>569</v>
      </c>
      <c r="B109" s="63">
        <v>9320</v>
      </c>
      <c r="C109" s="45" t="s">
        <v>26</v>
      </c>
      <c r="D109" s="67" t="s">
        <v>570</v>
      </c>
      <c r="E109" s="65" t="s">
        <v>454</v>
      </c>
      <c r="F109" s="65" t="s">
        <v>355</v>
      </c>
      <c r="G109" s="23">
        <f t="shared" si="1"/>
        <v>4000000</v>
      </c>
      <c r="H109" s="23">
        <v>693000</v>
      </c>
      <c r="I109" s="23">
        <v>3307000</v>
      </c>
      <c r="J109" s="23">
        <v>3307000</v>
      </c>
    </row>
    <row r="110" spans="1:10" ht="138" customHeight="1">
      <c r="A110" s="138" t="s">
        <v>422</v>
      </c>
      <c r="B110" s="131">
        <v>9770</v>
      </c>
      <c r="C110" s="122" t="s">
        <v>26</v>
      </c>
      <c r="D110" s="127" t="s">
        <v>77</v>
      </c>
      <c r="E110" s="65" t="s">
        <v>454</v>
      </c>
      <c r="F110" s="65" t="s">
        <v>355</v>
      </c>
      <c r="G110" s="23">
        <f t="shared" si="1"/>
        <v>60906508</v>
      </c>
      <c r="H110" s="23">
        <f>67650000-8000000</f>
        <v>59650000</v>
      </c>
      <c r="I110" s="23">
        <v>1256508</v>
      </c>
      <c r="J110" s="23">
        <v>1256508</v>
      </c>
    </row>
    <row r="111" spans="1:10" ht="177" customHeight="1" hidden="1">
      <c r="A111" s="139"/>
      <c r="B111" s="133"/>
      <c r="C111" s="124"/>
      <c r="D111" s="129"/>
      <c r="E111" s="71" t="s">
        <v>465</v>
      </c>
      <c r="F111" s="65" t="s">
        <v>442</v>
      </c>
      <c r="G111" s="23">
        <f t="shared" si="1"/>
        <v>0</v>
      </c>
      <c r="H111" s="23"/>
      <c r="I111" s="23"/>
      <c r="J111" s="23"/>
    </row>
    <row r="112" spans="1:10" ht="187.5" customHeight="1">
      <c r="A112" s="6" t="s">
        <v>276</v>
      </c>
      <c r="B112" s="25" t="s">
        <v>274</v>
      </c>
      <c r="C112" s="25" t="s">
        <v>26</v>
      </c>
      <c r="D112" s="66" t="s">
        <v>275</v>
      </c>
      <c r="E112" s="65" t="s">
        <v>452</v>
      </c>
      <c r="F112" s="102" t="s">
        <v>407</v>
      </c>
      <c r="G112" s="23">
        <f t="shared" si="1"/>
        <v>49600</v>
      </c>
      <c r="H112" s="23">
        <v>49600</v>
      </c>
      <c r="I112" s="23"/>
      <c r="J112" s="23"/>
    </row>
    <row r="113" spans="1:10" ht="177" customHeight="1" hidden="1">
      <c r="A113" s="6" t="s">
        <v>423</v>
      </c>
      <c r="B113" s="25">
        <v>9310</v>
      </c>
      <c r="C113" s="6" t="s">
        <v>26</v>
      </c>
      <c r="D113" s="66" t="s">
        <v>424</v>
      </c>
      <c r="E113" s="65"/>
      <c r="F113" s="102"/>
      <c r="G113" s="23">
        <f>H113+I113</f>
        <v>0</v>
      </c>
      <c r="H113" s="23"/>
      <c r="I113" s="23"/>
      <c r="J113" s="23"/>
    </row>
    <row r="114" spans="1:10" s="2" customFormat="1" ht="97.5" customHeight="1">
      <c r="A114" s="12"/>
      <c r="B114" s="26"/>
      <c r="C114" s="26"/>
      <c r="D114" s="68" t="s">
        <v>469</v>
      </c>
      <c r="E114" s="68"/>
      <c r="F114" s="68"/>
      <c r="G114" s="22">
        <f>SUM(G115:G135)</f>
        <v>218044881.94</v>
      </c>
      <c r="H114" s="22">
        <f>SUM(H115:H135)</f>
        <v>88566507.4</v>
      </c>
      <c r="I114" s="22">
        <f>SUM(I115:I135)</f>
        <v>129478374.53999999</v>
      </c>
      <c r="J114" s="22">
        <f>SUM(J115:J135)</f>
        <v>129478374.53999999</v>
      </c>
    </row>
    <row r="115" spans="1:10" ht="159.75" customHeight="1">
      <c r="A115" s="6" t="s">
        <v>138</v>
      </c>
      <c r="B115" s="25" t="s">
        <v>70</v>
      </c>
      <c r="C115" s="25" t="s">
        <v>2</v>
      </c>
      <c r="D115" s="65" t="s">
        <v>476</v>
      </c>
      <c r="E115" s="65" t="s">
        <v>457</v>
      </c>
      <c r="F115" s="102" t="s">
        <v>346</v>
      </c>
      <c r="G115" s="23">
        <f aca="true" t="shared" si="2" ref="G115:G135">H115+I115</f>
        <v>7500</v>
      </c>
      <c r="H115" s="23">
        <f>5000+2500</f>
        <v>7500</v>
      </c>
      <c r="I115" s="23"/>
      <c r="J115" s="23"/>
    </row>
    <row r="116" spans="1:10" ht="144.75" customHeight="1">
      <c r="A116" s="143" t="s">
        <v>139</v>
      </c>
      <c r="B116" s="145" t="s">
        <v>37</v>
      </c>
      <c r="C116" s="134" t="s">
        <v>17</v>
      </c>
      <c r="D116" s="130" t="s">
        <v>48</v>
      </c>
      <c r="E116" s="71" t="s">
        <v>446</v>
      </c>
      <c r="F116" s="65" t="s">
        <v>496</v>
      </c>
      <c r="G116" s="23">
        <f t="shared" si="2"/>
        <v>84820994.22</v>
      </c>
      <c r="H116" s="23">
        <v>39575027.4</v>
      </c>
      <c r="I116" s="23">
        <v>45245966.82</v>
      </c>
      <c r="J116" s="23">
        <v>45245966.82</v>
      </c>
    </row>
    <row r="117" spans="1:10" s="21" customFormat="1" ht="207.75" customHeight="1" hidden="1">
      <c r="A117" s="143"/>
      <c r="B117" s="145"/>
      <c r="C117" s="134"/>
      <c r="D117" s="130"/>
      <c r="E117" s="65" t="s">
        <v>452</v>
      </c>
      <c r="F117" s="102" t="s">
        <v>407</v>
      </c>
      <c r="G117" s="23">
        <f t="shared" si="2"/>
        <v>0</v>
      </c>
      <c r="H117" s="23"/>
      <c r="I117" s="24"/>
      <c r="J117" s="24"/>
    </row>
    <row r="118" spans="1:10" s="21" customFormat="1" ht="132.75">
      <c r="A118" s="8" t="s">
        <v>434</v>
      </c>
      <c r="B118" s="27">
        <v>2020</v>
      </c>
      <c r="C118" s="25">
        <v>732</v>
      </c>
      <c r="D118" s="65" t="s">
        <v>571</v>
      </c>
      <c r="E118" s="71" t="s">
        <v>446</v>
      </c>
      <c r="F118" s="65" t="s">
        <v>447</v>
      </c>
      <c r="G118" s="23">
        <f t="shared" si="2"/>
        <v>90000</v>
      </c>
      <c r="H118" s="23">
        <v>90000</v>
      </c>
      <c r="I118" s="24"/>
      <c r="J118" s="24"/>
    </row>
    <row r="119" spans="1:10" ht="138" customHeight="1">
      <c r="A119" s="143" t="s">
        <v>379</v>
      </c>
      <c r="B119" s="145">
        <v>2030</v>
      </c>
      <c r="C119" s="142" t="s">
        <v>380</v>
      </c>
      <c r="D119" s="121" t="s">
        <v>381</v>
      </c>
      <c r="E119" s="71" t="s">
        <v>446</v>
      </c>
      <c r="F119" s="65" t="s">
        <v>496</v>
      </c>
      <c r="G119" s="23">
        <f t="shared" si="2"/>
        <v>8842159</v>
      </c>
      <c r="H119" s="23">
        <v>3742159</v>
      </c>
      <c r="I119" s="23">
        <v>5100000</v>
      </c>
      <c r="J119" s="23">
        <v>5100000</v>
      </c>
    </row>
    <row r="120" spans="1:10" ht="189.75" customHeight="1" hidden="1">
      <c r="A120" s="143"/>
      <c r="B120" s="145"/>
      <c r="C120" s="142"/>
      <c r="D120" s="121"/>
      <c r="E120" s="65" t="s">
        <v>452</v>
      </c>
      <c r="F120" s="102" t="s">
        <v>407</v>
      </c>
      <c r="G120" s="23">
        <f t="shared" si="2"/>
        <v>0</v>
      </c>
      <c r="H120" s="23"/>
      <c r="I120" s="23"/>
      <c r="J120" s="23"/>
    </row>
    <row r="121" spans="1:10" ht="156.75" customHeight="1">
      <c r="A121" s="143" t="s">
        <v>140</v>
      </c>
      <c r="B121" s="145" t="s">
        <v>80</v>
      </c>
      <c r="C121" s="134" t="s">
        <v>18</v>
      </c>
      <c r="D121" s="137" t="s">
        <v>81</v>
      </c>
      <c r="E121" s="71" t="s">
        <v>446</v>
      </c>
      <c r="F121" s="65" t="s">
        <v>496</v>
      </c>
      <c r="G121" s="23">
        <f t="shared" si="2"/>
        <v>7646306</v>
      </c>
      <c r="H121" s="23">
        <f>7683806-H122</f>
        <v>7646306</v>
      </c>
      <c r="I121" s="23"/>
      <c r="J121" s="23"/>
    </row>
    <row r="122" spans="1:10" s="21" customFormat="1" ht="163.5" customHeight="1">
      <c r="A122" s="143"/>
      <c r="B122" s="145"/>
      <c r="C122" s="134"/>
      <c r="D122" s="137"/>
      <c r="E122" s="65" t="s">
        <v>452</v>
      </c>
      <c r="F122" s="102" t="s">
        <v>407</v>
      </c>
      <c r="G122" s="23">
        <f t="shared" si="2"/>
        <v>37500</v>
      </c>
      <c r="H122" s="23">
        <v>37500</v>
      </c>
      <c r="I122" s="24"/>
      <c r="J122" s="24"/>
    </row>
    <row r="123" spans="1:10" s="3" customFormat="1" ht="190.5" customHeight="1">
      <c r="A123" s="8" t="s">
        <v>371</v>
      </c>
      <c r="B123" s="27">
        <v>2111</v>
      </c>
      <c r="C123" s="6" t="s">
        <v>384</v>
      </c>
      <c r="D123" s="65" t="s">
        <v>383</v>
      </c>
      <c r="E123" s="71" t="s">
        <v>446</v>
      </c>
      <c r="F123" s="65" t="s">
        <v>497</v>
      </c>
      <c r="G123" s="23">
        <f t="shared" si="2"/>
        <v>3026631</v>
      </c>
      <c r="H123" s="23">
        <v>3026631</v>
      </c>
      <c r="I123" s="23"/>
      <c r="J123" s="23"/>
    </row>
    <row r="124" spans="1:10" s="3" customFormat="1" ht="139.5" customHeight="1" hidden="1">
      <c r="A124" s="8" t="s">
        <v>331</v>
      </c>
      <c r="B124" s="27" t="s">
        <v>332</v>
      </c>
      <c r="C124" s="27" t="s">
        <v>265</v>
      </c>
      <c r="D124" s="65" t="s">
        <v>335</v>
      </c>
      <c r="E124" s="71" t="s">
        <v>446</v>
      </c>
      <c r="F124" s="65" t="s">
        <v>354</v>
      </c>
      <c r="G124" s="23">
        <f t="shared" si="2"/>
        <v>0</v>
      </c>
      <c r="H124" s="23"/>
      <c r="I124" s="23"/>
      <c r="J124" s="23"/>
    </row>
    <row r="125" spans="1:10" s="3" customFormat="1" ht="138.75" customHeight="1">
      <c r="A125" s="8" t="s">
        <v>331</v>
      </c>
      <c r="B125" s="27">
        <v>2144</v>
      </c>
      <c r="C125" s="27" t="s">
        <v>265</v>
      </c>
      <c r="D125" s="73" t="s">
        <v>335</v>
      </c>
      <c r="E125" s="71" t="s">
        <v>446</v>
      </c>
      <c r="F125" s="65" t="s">
        <v>497</v>
      </c>
      <c r="G125" s="23">
        <f t="shared" si="2"/>
        <v>11403700</v>
      </c>
      <c r="H125" s="23">
        <f>7670800+3732900</f>
        <v>11403700</v>
      </c>
      <c r="I125" s="23"/>
      <c r="J125" s="23"/>
    </row>
    <row r="126" spans="1:10" s="3" customFormat="1" ht="154.5" customHeight="1">
      <c r="A126" s="8" t="s">
        <v>333</v>
      </c>
      <c r="B126" s="27" t="s">
        <v>334</v>
      </c>
      <c r="C126" s="27" t="s">
        <v>265</v>
      </c>
      <c r="D126" s="65" t="s">
        <v>336</v>
      </c>
      <c r="E126" s="71" t="s">
        <v>446</v>
      </c>
      <c r="F126" s="65" t="s">
        <v>496</v>
      </c>
      <c r="G126" s="23">
        <f t="shared" si="2"/>
        <v>3062384</v>
      </c>
      <c r="H126" s="23">
        <v>3062384</v>
      </c>
      <c r="I126" s="23"/>
      <c r="J126" s="23"/>
    </row>
    <row r="127" spans="1:10" s="3" customFormat="1" ht="143.25" customHeight="1">
      <c r="A127" s="138" t="s">
        <v>267</v>
      </c>
      <c r="B127" s="131" t="s">
        <v>264</v>
      </c>
      <c r="C127" s="131" t="s">
        <v>265</v>
      </c>
      <c r="D127" s="148" t="s">
        <v>266</v>
      </c>
      <c r="E127" s="71" t="s">
        <v>446</v>
      </c>
      <c r="F127" s="65" t="s">
        <v>496</v>
      </c>
      <c r="G127" s="23">
        <f t="shared" si="2"/>
        <v>42291754</v>
      </c>
      <c r="H127" s="23">
        <f>19853800-H128</f>
        <v>19260400</v>
      </c>
      <c r="I127" s="23">
        <v>23031354</v>
      </c>
      <c r="J127" s="23">
        <v>23031354</v>
      </c>
    </row>
    <row r="128" spans="1:10" s="21" customFormat="1" ht="171.75" customHeight="1">
      <c r="A128" s="139"/>
      <c r="B128" s="133"/>
      <c r="C128" s="133"/>
      <c r="D128" s="149"/>
      <c r="E128" s="65" t="s">
        <v>452</v>
      </c>
      <c r="F128" s="102" t="s">
        <v>407</v>
      </c>
      <c r="G128" s="23">
        <f t="shared" si="2"/>
        <v>593400</v>
      </c>
      <c r="H128" s="23">
        <v>593400</v>
      </c>
      <c r="I128" s="23"/>
      <c r="J128" s="23"/>
    </row>
    <row r="129" spans="1:10" s="21" customFormat="1" ht="150.75" customHeight="1">
      <c r="A129" s="40" t="s">
        <v>421</v>
      </c>
      <c r="B129" s="39">
        <v>7322</v>
      </c>
      <c r="C129" s="40" t="s">
        <v>62</v>
      </c>
      <c r="D129" s="102" t="s">
        <v>538</v>
      </c>
      <c r="E129" s="71" t="s">
        <v>446</v>
      </c>
      <c r="F129" s="65" t="s">
        <v>496</v>
      </c>
      <c r="G129" s="23">
        <f t="shared" si="2"/>
        <v>31128372</v>
      </c>
      <c r="H129" s="23"/>
      <c r="I129" s="23">
        <v>31128372</v>
      </c>
      <c r="J129" s="23">
        <v>31128372</v>
      </c>
    </row>
    <row r="130" spans="1:10" s="21" customFormat="1" ht="102" customHeight="1">
      <c r="A130" s="40" t="s">
        <v>408</v>
      </c>
      <c r="B130" s="39">
        <v>7361</v>
      </c>
      <c r="C130" s="40" t="s">
        <v>4</v>
      </c>
      <c r="D130" s="72" t="s">
        <v>296</v>
      </c>
      <c r="E130" s="71" t="s">
        <v>446</v>
      </c>
      <c r="F130" s="65" t="s">
        <v>496</v>
      </c>
      <c r="G130" s="23">
        <f t="shared" si="2"/>
        <v>4289000</v>
      </c>
      <c r="H130" s="23"/>
      <c r="I130" s="23">
        <v>4289000</v>
      </c>
      <c r="J130" s="23">
        <v>4289000</v>
      </c>
    </row>
    <row r="131" spans="1:10" s="3" customFormat="1" ht="102" customHeight="1">
      <c r="A131" s="6" t="s">
        <v>280</v>
      </c>
      <c r="B131" s="25" t="s">
        <v>278</v>
      </c>
      <c r="C131" s="25" t="s">
        <v>4</v>
      </c>
      <c r="D131" s="65" t="s">
        <v>279</v>
      </c>
      <c r="E131" s="65" t="s">
        <v>440</v>
      </c>
      <c r="F131" s="65" t="s">
        <v>502</v>
      </c>
      <c r="G131" s="23">
        <f t="shared" si="2"/>
        <v>156000</v>
      </c>
      <c r="H131" s="23"/>
      <c r="I131" s="23">
        <v>156000</v>
      </c>
      <c r="J131" s="23">
        <v>156000</v>
      </c>
    </row>
    <row r="132" spans="1:10" ht="102" customHeight="1">
      <c r="A132" s="6" t="s">
        <v>141</v>
      </c>
      <c r="B132" s="25" t="s">
        <v>82</v>
      </c>
      <c r="C132" s="25" t="s">
        <v>25</v>
      </c>
      <c r="D132" s="65" t="s">
        <v>53</v>
      </c>
      <c r="E132" s="65" t="s">
        <v>440</v>
      </c>
      <c r="F132" s="65" t="s">
        <v>502</v>
      </c>
      <c r="G132" s="23">
        <f t="shared" si="2"/>
        <v>10649070.120000001</v>
      </c>
      <c r="H132" s="23">
        <v>121500</v>
      </c>
      <c r="I132" s="23">
        <f>8436970-1100000+3190600.12</f>
        <v>10527570.120000001</v>
      </c>
      <c r="J132" s="23">
        <f>8436970-1100000+3190600.12</f>
        <v>10527570.120000001</v>
      </c>
    </row>
    <row r="133" spans="1:10" ht="183" customHeight="1" hidden="1">
      <c r="A133" s="6" t="s">
        <v>328</v>
      </c>
      <c r="B133" s="25" t="s">
        <v>329</v>
      </c>
      <c r="C133" s="25" t="s">
        <v>13</v>
      </c>
      <c r="D133" s="65" t="s">
        <v>330</v>
      </c>
      <c r="E133" s="65" t="s">
        <v>440</v>
      </c>
      <c r="F133" s="65" t="s">
        <v>466</v>
      </c>
      <c r="G133" s="23">
        <f t="shared" si="2"/>
        <v>0</v>
      </c>
      <c r="H133" s="23"/>
      <c r="I133" s="23">
        <f>630000-630000</f>
        <v>0</v>
      </c>
      <c r="J133" s="23"/>
    </row>
    <row r="134" spans="1:10" ht="177" customHeight="1" hidden="1">
      <c r="A134" s="6" t="s">
        <v>310</v>
      </c>
      <c r="B134" s="25" t="s">
        <v>78</v>
      </c>
      <c r="C134" s="25" t="s">
        <v>12</v>
      </c>
      <c r="D134" s="65" t="s">
        <v>79</v>
      </c>
      <c r="E134" s="71" t="s">
        <v>451</v>
      </c>
      <c r="F134" s="65" t="s">
        <v>347</v>
      </c>
      <c r="G134" s="23">
        <f t="shared" si="2"/>
        <v>0</v>
      </c>
      <c r="H134" s="42"/>
      <c r="I134" s="42"/>
      <c r="J134" s="23"/>
    </row>
    <row r="135" spans="1:10" ht="158.25" customHeight="1">
      <c r="A135" s="6" t="s">
        <v>304</v>
      </c>
      <c r="B135" s="25" t="s">
        <v>76</v>
      </c>
      <c r="C135" s="25" t="s">
        <v>305</v>
      </c>
      <c r="D135" s="74" t="s">
        <v>77</v>
      </c>
      <c r="E135" s="71" t="s">
        <v>446</v>
      </c>
      <c r="F135" s="65" t="s">
        <v>496</v>
      </c>
      <c r="G135" s="23">
        <f t="shared" si="2"/>
        <v>10000111.6</v>
      </c>
      <c r="H135" s="23"/>
      <c r="I135" s="23">
        <v>10000111.6</v>
      </c>
      <c r="J135" s="23">
        <v>10000111.6</v>
      </c>
    </row>
    <row r="136" spans="1:10" s="2" customFormat="1" ht="114" customHeight="1">
      <c r="A136" s="12"/>
      <c r="B136" s="26"/>
      <c r="C136" s="26"/>
      <c r="D136" s="68" t="s">
        <v>142</v>
      </c>
      <c r="E136" s="68"/>
      <c r="F136" s="108"/>
      <c r="G136" s="22">
        <f>SUM(G137:G157)</f>
        <v>108855944.55</v>
      </c>
      <c r="H136" s="22">
        <f>SUM(H137:H157)</f>
        <v>108798944.55</v>
      </c>
      <c r="I136" s="22">
        <f>SUM(I137:I157)</f>
        <v>57000</v>
      </c>
      <c r="J136" s="22">
        <f>SUM(J137:J157)</f>
        <v>57000</v>
      </c>
    </row>
    <row r="137" spans="1:10" ht="162" customHeight="1">
      <c r="A137" s="6" t="s">
        <v>143</v>
      </c>
      <c r="B137" s="25" t="s">
        <v>70</v>
      </c>
      <c r="C137" s="25" t="s">
        <v>2</v>
      </c>
      <c r="D137" s="65" t="s">
        <v>476</v>
      </c>
      <c r="E137" s="65" t="s">
        <v>457</v>
      </c>
      <c r="F137" s="102" t="s">
        <v>346</v>
      </c>
      <c r="G137" s="23">
        <f aca="true" t="shared" si="3" ref="G137:G157">H137+I137</f>
        <v>47500</v>
      </c>
      <c r="H137" s="23">
        <f>50000-2500</f>
        <v>47500</v>
      </c>
      <c r="I137" s="23"/>
      <c r="J137" s="23"/>
    </row>
    <row r="138" spans="1:10" ht="189" customHeight="1">
      <c r="A138" s="6" t="s">
        <v>511</v>
      </c>
      <c r="B138" s="6" t="s">
        <v>26</v>
      </c>
      <c r="C138" s="6" t="s">
        <v>13</v>
      </c>
      <c r="D138" s="65" t="s">
        <v>181</v>
      </c>
      <c r="E138" s="65" t="s">
        <v>512</v>
      </c>
      <c r="F138" s="102" t="s">
        <v>513</v>
      </c>
      <c r="G138" s="23">
        <f t="shared" si="3"/>
        <v>39500</v>
      </c>
      <c r="H138" s="23">
        <v>39500</v>
      </c>
      <c r="I138" s="23"/>
      <c r="J138" s="23"/>
    </row>
    <row r="139" spans="1:10" s="19" customFormat="1" ht="154.5" customHeight="1">
      <c r="A139" s="6" t="s">
        <v>144</v>
      </c>
      <c r="B139" s="25" t="s">
        <v>39</v>
      </c>
      <c r="C139" s="25">
        <v>1030</v>
      </c>
      <c r="D139" s="65" t="s">
        <v>93</v>
      </c>
      <c r="E139" s="65" t="s">
        <v>441</v>
      </c>
      <c r="F139" s="102" t="s">
        <v>348</v>
      </c>
      <c r="G139" s="23">
        <f t="shared" si="3"/>
        <v>604900</v>
      </c>
      <c r="H139" s="23">
        <v>604900</v>
      </c>
      <c r="I139" s="23"/>
      <c r="J139" s="23"/>
    </row>
    <row r="140" spans="1:10" s="3" customFormat="1" ht="159" customHeight="1">
      <c r="A140" s="6" t="s">
        <v>145</v>
      </c>
      <c r="B140" s="25" t="s">
        <v>94</v>
      </c>
      <c r="C140" s="25">
        <v>1070</v>
      </c>
      <c r="D140" s="65" t="s">
        <v>49</v>
      </c>
      <c r="E140" s="65" t="s">
        <v>441</v>
      </c>
      <c r="F140" s="102" t="s">
        <v>348</v>
      </c>
      <c r="G140" s="23">
        <f t="shared" si="3"/>
        <v>1129230</v>
      </c>
      <c r="H140" s="23">
        <v>1129230</v>
      </c>
      <c r="I140" s="23"/>
      <c r="J140" s="23"/>
    </row>
    <row r="141" spans="1:10" s="3" customFormat="1" ht="161.25" customHeight="1">
      <c r="A141" s="6" t="s">
        <v>146</v>
      </c>
      <c r="B141" s="25" t="s">
        <v>40</v>
      </c>
      <c r="C141" s="25" t="s">
        <v>19</v>
      </c>
      <c r="D141" s="65" t="s">
        <v>35</v>
      </c>
      <c r="E141" s="65" t="s">
        <v>441</v>
      </c>
      <c r="F141" s="102" t="s">
        <v>348</v>
      </c>
      <c r="G141" s="23">
        <f t="shared" si="3"/>
        <v>18328300</v>
      </c>
      <c r="H141" s="23">
        <v>18328300</v>
      </c>
      <c r="I141" s="23"/>
      <c r="J141" s="23"/>
    </row>
    <row r="142" spans="1:10" s="3" customFormat="1" ht="170.25" customHeight="1">
      <c r="A142" s="6" t="s">
        <v>147</v>
      </c>
      <c r="B142" s="25" t="s">
        <v>59</v>
      </c>
      <c r="C142" s="25" t="s">
        <v>19</v>
      </c>
      <c r="D142" s="65" t="s">
        <v>69</v>
      </c>
      <c r="E142" s="65" t="s">
        <v>441</v>
      </c>
      <c r="F142" s="102" t="s">
        <v>348</v>
      </c>
      <c r="G142" s="23">
        <f t="shared" si="3"/>
        <v>1500000</v>
      </c>
      <c r="H142" s="23">
        <v>1500000</v>
      </c>
      <c r="I142" s="23"/>
      <c r="J142" s="23"/>
    </row>
    <row r="143" spans="1:10" s="3" customFormat="1" ht="150" customHeight="1">
      <c r="A143" s="6" t="s">
        <v>148</v>
      </c>
      <c r="B143" s="25" t="s">
        <v>72</v>
      </c>
      <c r="C143" s="25" t="s">
        <v>19</v>
      </c>
      <c r="D143" s="65" t="s">
        <v>22</v>
      </c>
      <c r="E143" s="65" t="s">
        <v>441</v>
      </c>
      <c r="F143" s="102" t="s">
        <v>348</v>
      </c>
      <c r="G143" s="23">
        <f t="shared" si="3"/>
        <v>35143700</v>
      </c>
      <c r="H143" s="23">
        <v>35143700</v>
      </c>
      <c r="I143" s="23"/>
      <c r="J143" s="23"/>
    </row>
    <row r="144" spans="1:10" s="3" customFormat="1" ht="265.5" customHeight="1" hidden="1">
      <c r="A144" s="6" t="s">
        <v>149</v>
      </c>
      <c r="B144" s="25" t="s">
        <v>41</v>
      </c>
      <c r="C144" s="25" t="s">
        <v>34</v>
      </c>
      <c r="D144" s="65" t="s">
        <v>51</v>
      </c>
      <c r="E144" s="65" t="s">
        <v>441</v>
      </c>
      <c r="F144" s="102" t="s">
        <v>348</v>
      </c>
      <c r="G144" s="23">
        <f t="shared" si="3"/>
        <v>0</v>
      </c>
      <c r="H144" s="23"/>
      <c r="I144" s="23"/>
      <c r="J144" s="23"/>
    </row>
    <row r="145" spans="1:10" s="3" customFormat="1" ht="333.75" customHeight="1">
      <c r="A145" s="6" t="s">
        <v>322</v>
      </c>
      <c r="B145" s="25" t="s">
        <v>324</v>
      </c>
      <c r="C145" s="25" t="s">
        <v>36</v>
      </c>
      <c r="D145" s="65" t="s">
        <v>323</v>
      </c>
      <c r="E145" s="65" t="s">
        <v>441</v>
      </c>
      <c r="F145" s="102" t="s">
        <v>348</v>
      </c>
      <c r="G145" s="23">
        <f t="shared" si="3"/>
        <v>3000000</v>
      </c>
      <c r="H145" s="23">
        <v>3000000</v>
      </c>
      <c r="I145" s="23"/>
      <c r="J145" s="23"/>
    </row>
    <row r="146" spans="1:10" ht="177" customHeight="1">
      <c r="A146" s="142" t="s">
        <v>150</v>
      </c>
      <c r="B146" s="134" t="s">
        <v>95</v>
      </c>
      <c r="C146" s="134" t="s">
        <v>3</v>
      </c>
      <c r="D146" s="130" t="s">
        <v>258</v>
      </c>
      <c r="E146" s="65" t="s">
        <v>441</v>
      </c>
      <c r="F146" s="102" t="s">
        <v>348</v>
      </c>
      <c r="G146" s="23">
        <f t="shared" si="3"/>
        <v>2096790</v>
      </c>
      <c r="H146" s="23">
        <v>2096790</v>
      </c>
      <c r="I146" s="23"/>
      <c r="J146" s="23"/>
    </row>
    <row r="147" spans="1:10" ht="182.25" customHeight="1">
      <c r="A147" s="142"/>
      <c r="B147" s="134"/>
      <c r="C147" s="134"/>
      <c r="D147" s="130"/>
      <c r="E147" s="65" t="s">
        <v>452</v>
      </c>
      <c r="F147" s="102" t="s">
        <v>407</v>
      </c>
      <c r="G147" s="23">
        <f t="shared" si="3"/>
        <v>116730</v>
      </c>
      <c r="H147" s="23">
        <v>116730</v>
      </c>
      <c r="I147" s="23"/>
      <c r="J147" s="23"/>
    </row>
    <row r="148" spans="1:10" s="3" customFormat="1" ht="144.75" customHeight="1">
      <c r="A148" s="147" t="s">
        <v>243</v>
      </c>
      <c r="B148" s="144" t="s">
        <v>263</v>
      </c>
      <c r="C148" s="144" t="s">
        <v>21</v>
      </c>
      <c r="D148" s="130" t="s">
        <v>20</v>
      </c>
      <c r="E148" s="65" t="s">
        <v>441</v>
      </c>
      <c r="F148" s="102" t="s">
        <v>348</v>
      </c>
      <c r="G148" s="23">
        <f t="shared" si="3"/>
        <v>1044060</v>
      </c>
      <c r="H148" s="23">
        <f>1091060-47000</f>
        <v>1044060</v>
      </c>
      <c r="I148" s="23"/>
      <c r="J148" s="23"/>
    </row>
    <row r="149" spans="1:10" s="3" customFormat="1" ht="161.25" customHeight="1">
      <c r="A149" s="147"/>
      <c r="B149" s="144"/>
      <c r="C149" s="144"/>
      <c r="D149" s="130"/>
      <c r="E149" s="65" t="s">
        <v>452</v>
      </c>
      <c r="F149" s="102" t="s">
        <v>407</v>
      </c>
      <c r="G149" s="23">
        <f t="shared" si="3"/>
        <v>998900</v>
      </c>
      <c r="H149" s="23">
        <v>998900</v>
      </c>
      <c r="I149" s="23"/>
      <c r="J149" s="23"/>
    </row>
    <row r="150" spans="1:10" s="3" customFormat="1" ht="192" customHeight="1">
      <c r="A150" s="6" t="s">
        <v>244</v>
      </c>
      <c r="B150" s="25" t="s">
        <v>245</v>
      </c>
      <c r="C150" s="25" t="s">
        <v>21</v>
      </c>
      <c r="D150" s="65" t="s">
        <v>479</v>
      </c>
      <c r="E150" s="65" t="s">
        <v>441</v>
      </c>
      <c r="F150" s="102" t="s">
        <v>348</v>
      </c>
      <c r="G150" s="23">
        <f t="shared" si="3"/>
        <v>2250688</v>
      </c>
      <c r="H150" s="23">
        <f>2050688+200000</f>
        <v>2250688</v>
      </c>
      <c r="I150" s="23"/>
      <c r="J150" s="23"/>
    </row>
    <row r="151" spans="1:10" s="10" customFormat="1" ht="135.75" customHeight="1">
      <c r="A151" s="6" t="s">
        <v>151</v>
      </c>
      <c r="B151" s="25" t="s">
        <v>60</v>
      </c>
      <c r="C151" s="25" t="s">
        <v>6</v>
      </c>
      <c r="D151" s="65" t="s">
        <v>96</v>
      </c>
      <c r="E151" s="65" t="s">
        <v>441</v>
      </c>
      <c r="F151" s="102" t="s">
        <v>348</v>
      </c>
      <c r="G151" s="23">
        <f t="shared" si="3"/>
        <v>92000</v>
      </c>
      <c r="H151" s="23">
        <v>92000</v>
      </c>
      <c r="I151" s="23"/>
      <c r="J151" s="23"/>
    </row>
    <row r="152" spans="1:10" s="10" customFormat="1" ht="175.5" customHeight="1">
      <c r="A152" s="6" t="s">
        <v>246</v>
      </c>
      <c r="B152" s="25" t="s">
        <v>247</v>
      </c>
      <c r="C152" s="25" t="s">
        <v>30</v>
      </c>
      <c r="D152" s="65" t="s">
        <v>50</v>
      </c>
      <c r="E152" s="71" t="s">
        <v>465</v>
      </c>
      <c r="F152" s="65" t="s">
        <v>499</v>
      </c>
      <c r="G152" s="23">
        <f t="shared" si="3"/>
        <v>50000</v>
      </c>
      <c r="H152" s="23">
        <v>50000</v>
      </c>
      <c r="I152" s="23"/>
      <c r="J152" s="23"/>
    </row>
    <row r="153" spans="1:10" s="20" customFormat="1" ht="139.5" customHeight="1">
      <c r="A153" s="122" t="s">
        <v>248</v>
      </c>
      <c r="B153" s="131" t="s">
        <v>234</v>
      </c>
      <c r="C153" s="131" t="s">
        <v>6</v>
      </c>
      <c r="D153" s="127" t="s">
        <v>235</v>
      </c>
      <c r="E153" s="65" t="s">
        <v>441</v>
      </c>
      <c r="F153" s="102" t="s">
        <v>348</v>
      </c>
      <c r="G153" s="23">
        <f t="shared" si="3"/>
        <v>14135063.55</v>
      </c>
      <c r="H153" s="23">
        <f>8060881+510000+96000+755800+250000+1652252.55-19250+76000+881000+791200+57000+20770+189500+106000+5000+5000+10000+25000+1000+45000+69500+38800+125610-12000+90000+148000+100000</f>
        <v>14078063.55</v>
      </c>
      <c r="I153" s="23">
        <v>57000</v>
      </c>
      <c r="J153" s="23">
        <v>57000</v>
      </c>
    </row>
    <row r="154" spans="1:10" s="20" customFormat="1" ht="162" customHeight="1">
      <c r="A154" s="123"/>
      <c r="B154" s="132"/>
      <c r="C154" s="132"/>
      <c r="D154" s="128"/>
      <c r="E154" s="65" t="s">
        <v>452</v>
      </c>
      <c r="F154" s="102" t="s">
        <v>407</v>
      </c>
      <c r="G154" s="23">
        <f t="shared" si="3"/>
        <v>24333239</v>
      </c>
      <c r="H154" s="23">
        <f>24116989+150000+19250+47000</f>
        <v>24333239</v>
      </c>
      <c r="I154" s="23"/>
      <c r="J154" s="23"/>
    </row>
    <row r="155" spans="1:10" s="10" customFormat="1" ht="135.75" customHeight="1">
      <c r="A155" s="124"/>
      <c r="B155" s="133"/>
      <c r="C155" s="133"/>
      <c r="D155" s="129"/>
      <c r="E155" s="71" t="s">
        <v>445</v>
      </c>
      <c r="F155" s="102" t="s">
        <v>444</v>
      </c>
      <c r="G155" s="23">
        <f t="shared" si="3"/>
        <v>300000</v>
      </c>
      <c r="H155" s="23">
        <f>300000</f>
        <v>300000</v>
      </c>
      <c r="I155" s="23"/>
      <c r="J155" s="23"/>
    </row>
    <row r="156" spans="1:10" s="3" customFormat="1" ht="138" customHeight="1">
      <c r="A156" s="142" t="s">
        <v>152</v>
      </c>
      <c r="B156" s="134" t="s">
        <v>76</v>
      </c>
      <c r="C156" s="134" t="s">
        <v>26</v>
      </c>
      <c r="D156" s="130" t="s">
        <v>77</v>
      </c>
      <c r="E156" s="65" t="s">
        <v>441</v>
      </c>
      <c r="F156" s="102" t="s">
        <v>348</v>
      </c>
      <c r="G156" s="23">
        <f t="shared" si="3"/>
        <v>188852</v>
      </c>
      <c r="H156" s="23">
        <v>188852</v>
      </c>
      <c r="I156" s="23"/>
      <c r="J156" s="23"/>
    </row>
    <row r="157" spans="1:10" s="3" customFormat="1" ht="152.25" customHeight="1">
      <c r="A157" s="142"/>
      <c r="B157" s="134"/>
      <c r="C157" s="134"/>
      <c r="D157" s="130"/>
      <c r="E157" s="65" t="s">
        <v>452</v>
      </c>
      <c r="F157" s="102" t="s">
        <v>407</v>
      </c>
      <c r="G157" s="23">
        <f t="shared" si="3"/>
        <v>3456492</v>
      </c>
      <c r="H157" s="23">
        <v>3456492</v>
      </c>
      <c r="I157" s="23"/>
      <c r="J157" s="23"/>
    </row>
    <row r="158" spans="1:10" s="2" customFormat="1" ht="93" customHeight="1">
      <c r="A158" s="12"/>
      <c r="B158" s="26"/>
      <c r="C158" s="26"/>
      <c r="D158" s="68" t="s">
        <v>390</v>
      </c>
      <c r="E158" s="68"/>
      <c r="F158" s="108"/>
      <c r="G158" s="22">
        <f>SUM(G159:G161)</f>
        <v>217380</v>
      </c>
      <c r="H158" s="22">
        <f>SUM(H159:H161)</f>
        <v>184180</v>
      </c>
      <c r="I158" s="22">
        <f>SUM(I159:I161)</f>
        <v>33200</v>
      </c>
      <c r="J158" s="22">
        <f>SUM(J159:J161)</f>
        <v>33200</v>
      </c>
    </row>
    <row r="159" spans="1:10" s="2" customFormat="1" ht="271.5" customHeight="1">
      <c r="A159" s="6" t="s">
        <v>340</v>
      </c>
      <c r="B159" s="25" t="s">
        <v>341</v>
      </c>
      <c r="C159" s="25" t="s">
        <v>7</v>
      </c>
      <c r="D159" s="65" t="s">
        <v>342</v>
      </c>
      <c r="E159" s="65" t="s">
        <v>472</v>
      </c>
      <c r="F159" s="102" t="s">
        <v>473</v>
      </c>
      <c r="G159" s="23">
        <f>H159+I159</f>
        <v>91140</v>
      </c>
      <c r="H159" s="23">
        <f>71140+20000</f>
        <v>91140</v>
      </c>
      <c r="I159" s="23"/>
      <c r="J159" s="23"/>
    </row>
    <row r="160" spans="1:10" s="3" customFormat="1" ht="150.75" customHeight="1">
      <c r="A160" s="6" t="s">
        <v>153</v>
      </c>
      <c r="B160" s="25" t="s">
        <v>54</v>
      </c>
      <c r="C160" s="25" t="s">
        <v>7</v>
      </c>
      <c r="D160" s="65" t="s">
        <v>52</v>
      </c>
      <c r="E160" s="65" t="s">
        <v>472</v>
      </c>
      <c r="F160" s="102" t="s">
        <v>473</v>
      </c>
      <c r="G160" s="23">
        <f>H160+I160</f>
        <v>93040</v>
      </c>
      <c r="H160" s="23">
        <v>93040</v>
      </c>
      <c r="I160" s="23"/>
      <c r="J160" s="23"/>
    </row>
    <row r="161" spans="1:10" s="3" customFormat="1" ht="354">
      <c r="A161" s="6" t="s">
        <v>432</v>
      </c>
      <c r="B161" s="25">
        <v>6083</v>
      </c>
      <c r="C161" s="6" t="s">
        <v>23</v>
      </c>
      <c r="D161" s="65" t="s">
        <v>433</v>
      </c>
      <c r="E161" s="65" t="s">
        <v>472</v>
      </c>
      <c r="F161" s="102" t="s">
        <v>473</v>
      </c>
      <c r="G161" s="23">
        <f>H161+I161</f>
        <v>33200</v>
      </c>
      <c r="H161" s="23"/>
      <c r="I161" s="23">
        <v>33200</v>
      </c>
      <c r="J161" s="23">
        <v>33200</v>
      </c>
    </row>
    <row r="162" spans="1:10" s="2" customFormat="1" ht="99.75" customHeight="1">
      <c r="A162" s="12"/>
      <c r="B162" s="26"/>
      <c r="C162" s="26"/>
      <c r="D162" s="68" t="s">
        <v>361</v>
      </c>
      <c r="E162" s="68"/>
      <c r="F162" s="108"/>
      <c r="G162" s="22">
        <f>SUM(G163:G170)</f>
        <v>4498687</v>
      </c>
      <c r="H162" s="22">
        <f>SUM(H163:H170)</f>
        <v>2201187</v>
      </c>
      <c r="I162" s="22">
        <f>SUM(I163:I170)</f>
        <v>2297500</v>
      </c>
      <c r="J162" s="22">
        <f>SUM(J163:J170)</f>
        <v>2297500</v>
      </c>
    </row>
    <row r="163" spans="1:10" ht="161.25" customHeight="1">
      <c r="A163" s="6" t="s">
        <v>154</v>
      </c>
      <c r="B163" s="25" t="s">
        <v>70</v>
      </c>
      <c r="C163" s="25" t="s">
        <v>2</v>
      </c>
      <c r="D163" s="65" t="s">
        <v>476</v>
      </c>
      <c r="E163" s="65" t="s">
        <v>457</v>
      </c>
      <c r="F163" s="102" t="s">
        <v>346</v>
      </c>
      <c r="G163" s="23">
        <f aca="true" t="shared" si="4" ref="G163:G169">H163+I163</f>
        <v>30000</v>
      </c>
      <c r="H163" s="23">
        <v>30000</v>
      </c>
      <c r="I163" s="23"/>
      <c r="J163" s="23"/>
    </row>
    <row r="164" spans="1:10" ht="147" customHeight="1">
      <c r="A164" s="6" t="s">
        <v>478</v>
      </c>
      <c r="B164" s="25">
        <v>1080</v>
      </c>
      <c r="C164" s="25" t="s">
        <v>32</v>
      </c>
      <c r="D164" s="65" t="s">
        <v>406</v>
      </c>
      <c r="E164" s="65" t="s">
        <v>461</v>
      </c>
      <c r="F164" s="65" t="s">
        <v>357</v>
      </c>
      <c r="G164" s="23">
        <f t="shared" si="4"/>
        <v>183000</v>
      </c>
      <c r="H164" s="23">
        <f>53000+65000+20000+30000+15000</f>
        <v>183000</v>
      </c>
      <c r="I164" s="23"/>
      <c r="J164" s="23"/>
    </row>
    <row r="165" spans="1:10" ht="150.75" customHeight="1">
      <c r="A165" s="6" t="s">
        <v>155</v>
      </c>
      <c r="B165" s="25" t="s">
        <v>55</v>
      </c>
      <c r="C165" s="25" t="s">
        <v>31</v>
      </c>
      <c r="D165" s="65" t="s">
        <v>84</v>
      </c>
      <c r="E165" s="65" t="s">
        <v>461</v>
      </c>
      <c r="F165" s="65" t="s">
        <v>357</v>
      </c>
      <c r="G165" s="23">
        <f t="shared" si="4"/>
        <v>667200</v>
      </c>
      <c r="H165" s="23">
        <f>195000+77000+4000+94900+10000+6300+21500+31000</f>
        <v>439700</v>
      </c>
      <c r="I165" s="23">
        <f>195000+20000+5000+7500</f>
        <v>227500</v>
      </c>
      <c r="J165" s="23">
        <f>195000+20000+5000+7500</f>
        <v>227500</v>
      </c>
    </row>
    <row r="166" spans="1:10" s="3" customFormat="1" ht="153" customHeight="1">
      <c r="A166" s="6" t="s">
        <v>409</v>
      </c>
      <c r="B166" s="25">
        <v>4060</v>
      </c>
      <c r="C166" s="25" t="s">
        <v>271</v>
      </c>
      <c r="D166" s="65" t="s">
        <v>272</v>
      </c>
      <c r="E166" s="65" t="s">
        <v>461</v>
      </c>
      <c r="F166" s="65" t="s">
        <v>357</v>
      </c>
      <c r="G166" s="23">
        <f t="shared" si="4"/>
        <v>168487</v>
      </c>
      <c r="H166" s="23">
        <f>40000+8402+60085+20000+40000</f>
        <v>168487</v>
      </c>
      <c r="I166" s="23">
        <f>40000-40000</f>
        <v>0</v>
      </c>
      <c r="J166" s="23">
        <f>40000-40000</f>
        <v>0</v>
      </c>
    </row>
    <row r="167" spans="1:10" s="3" customFormat="1" ht="162.75" customHeight="1">
      <c r="A167" s="6" t="s">
        <v>239</v>
      </c>
      <c r="B167" s="25" t="s">
        <v>236</v>
      </c>
      <c r="C167" s="25" t="s">
        <v>9</v>
      </c>
      <c r="D167" s="65" t="s">
        <v>237</v>
      </c>
      <c r="E167" s="65" t="s">
        <v>461</v>
      </c>
      <c r="F167" s="65" t="s">
        <v>357</v>
      </c>
      <c r="G167" s="23">
        <f t="shared" si="4"/>
        <v>1380000</v>
      </c>
      <c r="H167" s="23">
        <v>1380000</v>
      </c>
      <c r="I167" s="23"/>
      <c r="J167" s="23"/>
    </row>
    <row r="168" spans="1:10" s="3" customFormat="1" ht="148.5" customHeight="1">
      <c r="A168" s="6" t="s">
        <v>436</v>
      </c>
      <c r="B168" s="25">
        <v>7324</v>
      </c>
      <c r="C168" s="6" t="s">
        <v>62</v>
      </c>
      <c r="D168" s="102" t="s">
        <v>539</v>
      </c>
      <c r="E168" s="65" t="s">
        <v>461</v>
      </c>
      <c r="F168" s="65" t="s">
        <v>357</v>
      </c>
      <c r="G168" s="23">
        <f t="shared" si="4"/>
        <v>570000</v>
      </c>
      <c r="H168" s="23"/>
      <c r="I168" s="23">
        <f>950000+20000-400000</f>
        <v>570000</v>
      </c>
      <c r="J168" s="23">
        <f>950000+20000-400000</f>
        <v>570000</v>
      </c>
    </row>
    <row r="169" spans="1:10" ht="141" customHeight="1">
      <c r="A169" s="6" t="s">
        <v>156</v>
      </c>
      <c r="B169" s="25" t="s">
        <v>82</v>
      </c>
      <c r="C169" s="25" t="s">
        <v>25</v>
      </c>
      <c r="D169" s="65" t="s">
        <v>53</v>
      </c>
      <c r="E169" s="65" t="s">
        <v>440</v>
      </c>
      <c r="F169" s="65" t="s">
        <v>466</v>
      </c>
      <c r="G169" s="23">
        <f t="shared" si="4"/>
        <v>1500000</v>
      </c>
      <c r="H169" s="23"/>
      <c r="I169" s="23">
        <v>1500000</v>
      </c>
      <c r="J169" s="23">
        <v>1500000</v>
      </c>
    </row>
    <row r="170" spans="1:10" ht="132.75" customHeight="1" hidden="1">
      <c r="A170" s="6" t="s">
        <v>373</v>
      </c>
      <c r="B170" s="25">
        <v>8340</v>
      </c>
      <c r="C170" s="25" t="s">
        <v>12</v>
      </c>
      <c r="D170" s="65" t="s">
        <v>79</v>
      </c>
      <c r="E170" s="71" t="s">
        <v>451</v>
      </c>
      <c r="F170" s="65" t="s">
        <v>347</v>
      </c>
      <c r="G170" s="23">
        <f>H170+I170</f>
        <v>0</v>
      </c>
      <c r="H170" s="23"/>
      <c r="I170" s="23"/>
      <c r="J170" s="23"/>
    </row>
    <row r="171" spans="1:10" s="2" customFormat="1" ht="94.5" customHeight="1">
      <c r="A171" s="12"/>
      <c r="B171" s="26"/>
      <c r="C171" s="26"/>
      <c r="D171" s="68" t="s">
        <v>157</v>
      </c>
      <c r="E171" s="68"/>
      <c r="F171" s="108"/>
      <c r="G171" s="22">
        <f>SUM(G172:G211)</f>
        <v>475543070.87</v>
      </c>
      <c r="H171" s="22">
        <f>SUM(H172:H211)</f>
        <v>311906499.14</v>
      </c>
      <c r="I171" s="22">
        <f>SUM(I172:I211)</f>
        <v>163636571.73</v>
      </c>
      <c r="J171" s="22">
        <f>SUM(J172:J211)</f>
        <v>156609805.16</v>
      </c>
    </row>
    <row r="172" spans="1:10" ht="156.75" customHeight="1">
      <c r="A172" s="6" t="s">
        <v>158</v>
      </c>
      <c r="B172" s="25" t="s">
        <v>70</v>
      </c>
      <c r="C172" s="25" t="s">
        <v>2</v>
      </c>
      <c r="D172" s="65" t="s">
        <v>476</v>
      </c>
      <c r="E172" s="65" t="s">
        <v>457</v>
      </c>
      <c r="F172" s="102" t="s">
        <v>346</v>
      </c>
      <c r="G172" s="23">
        <f aca="true" t="shared" si="5" ref="G172:G211">H172+I172</f>
        <v>30000</v>
      </c>
      <c r="H172" s="23">
        <v>30000</v>
      </c>
      <c r="I172" s="23"/>
      <c r="J172" s="23"/>
    </row>
    <row r="173" spans="1:10" ht="186" customHeight="1">
      <c r="A173" s="142" t="s">
        <v>249</v>
      </c>
      <c r="B173" s="134" t="s">
        <v>247</v>
      </c>
      <c r="C173" s="134" t="s">
        <v>30</v>
      </c>
      <c r="D173" s="130" t="s">
        <v>50</v>
      </c>
      <c r="E173" s="65" t="s">
        <v>464</v>
      </c>
      <c r="F173" s="98" t="s">
        <v>515</v>
      </c>
      <c r="G173" s="23">
        <f t="shared" si="5"/>
        <v>160000</v>
      </c>
      <c r="H173" s="23">
        <f>200000-40000</f>
        <v>160000</v>
      </c>
      <c r="I173" s="23"/>
      <c r="J173" s="23"/>
    </row>
    <row r="174" spans="1:10" ht="88.5" customHeight="1" hidden="1">
      <c r="A174" s="142"/>
      <c r="B174" s="134"/>
      <c r="C174" s="134"/>
      <c r="D174" s="130"/>
      <c r="E174" s="65" t="s">
        <v>462</v>
      </c>
      <c r="F174" s="65" t="s">
        <v>418</v>
      </c>
      <c r="G174" s="23">
        <f t="shared" si="5"/>
        <v>0</v>
      </c>
      <c r="H174" s="23"/>
      <c r="I174" s="23"/>
      <c r="J174" s="23"/>
    </row>
    <row r="175" spans="1:10" s="3" customFormat="1" ht="186" customHeight="1">
      <c r="A175" s="6" t="s">
        <v>159</v>
      </c>
      <c r="B175" s="25" t="s">
        <v>105</v>
      </c>
      <c r="C175" s="25" t="s">
        <v>23</v>
      </c>
      <c r="D175" s="65" t="s">
        <v>106</v>
      </c>
      <c r="E175" s="65" t="s">
        <v>464</v>
      </c>
      <c r="F175" s="98" t="s">
        <v>516</v>
      </c>
      <c r="G175" s="23">
        <f t="shared" si="5"/>
        <v>9505553</v>
      </c>
      <c r="H175" s="23"/>
      <c r="I175" s="23">
        <v>9505553</v>
      </c>
      <c r="J175" s="23">
        <v>9469073</v>
      </c>
    </row>
    <row r="176" spans="1:10" s="3" customFormat="1" ht="200.25" customHeight="1">
      <c r="A176" s="138" t="s">
        <v>160</v>
      </c>
      <c r="B176" s="131" t="s">
        <v>109</v>
      </c>
      <c r="C176" s="135" t="s">
        <v>8</v>
      </c>
      <c r="D176" s="127" t="s">
        <v>110</v>
      </c>
      <c r="E176" s="65" t="s">
        <v>464</v>
      </c>
      <c r="F176" s="98" t="s">
        <v>516</v>
      </c>
      <c r="G176" s="23">
        <f t="shared" si="5"/>
        <v>29575568</v>
      </c>
      <c r="H176" s="23">
        <v>29375568</v>
      </c>
      <c r="I176" s="23">
        <f>230000-30000</f>
        <v>200000</v>
      </c>
      <c r="J176" s="23">
        <f>230000-30000</f>
        <v>200000</v>
      </c>
    </row>
    <row r="177" spans="1:10" s="3" customFormat="1" ht="182.25" customHeight="1" hidden="1">
      <c r="A177" s="139"/>
      <c r="B177" s="133"/>
      <c r="C177" s="136"/>
      <c r="D177" s="129"/>
      <c r="E177" s="71" t="s">
        <v>451</v>
      </c>
      <c r="F177" s="65" t="s">
        <v>347</v>
      </c>
      <c r="G177" s="23">
        <f t="shared" si="5"/>
        <v>0</v>
      </c>
      <c r="H177" s="23"/>
      <c r="I177" s="23"/>
      <c r="J177" s="23"/>
    </row>
    <row r="178" spans="1:10" s="3" customFormat="1" ht="150" customHeight="1">
      <c r="A178" s="8" t="s">
        <v>200</v>
      </c>
      <c r="B178" s="27" t="s">
        <v>201</v>
      </c>
      <c r="C178" s="25" t="s">
        <v>8</v>
      </c>
      <c r="D178" s="65" t="s">
        <v>202</v>
      </c>
      <c r="E178" s="71" t="s">
        <v>397</v>
      </c>
      <c r="F178" s="65" t="s">
        <v>398</v>
      </c>
      <c r="G178" s="23">
        <f t="shared" si="5"/>
        <v>33631030</v>
      </c>
      <c r="H178" s="23">
        <f>107980+16000+8000-16000</f>
        <v>115980</v>
      </c>
      <c r="I178" s="23">
        <v>33515050</v>
      </c>
      <c r="J178" s="23">
        <v>33465050</v>
      </c>
    </row>
    <row r="179" spans="1:10" s="3" customFormat="1" ht="159" customHeight="1" hidden="1">
      <c r="A179" s="8" t="s">
        <v>281</v>
      </c>
      <c r="B179" s="27" t="s">
        <v>282</v>
      </c>
      <c r="C179" s="25" t="s">
        <v>8</v>
      </c>
      <c r="D179" s="65" t="s">
        <v>283</v>
      </c>
      <c r="E179" s="65" t="s">
        <v>464</v>
      </c>
      <c r="F179" s="65" t="s">
        <v>442</v>
      </c>
      <c r="G179" s="23">
        <f t="shared" si="5"/>
        <v>0</v>
      </c>
      <c r="H179" s="23"/>
      <c r="I179" s="23"/>
      <c r="J179" s="23"/>
    </row>
    <row r="180" spans="1:10" s="3" customFormat="1" ht="189" customHeight="1">
      <c r="A180" s="6" t="s">
        <v>161</v>
      </c>
      <c r="B180" s="25" t="s">
        <v>107</v>
      </c>
      <c r="C180" s="25" t="s">
        <v>8</v>
      </c>
      <c r="D180" s="65" t="s">
        <v>108</v>
      </c>
      <c r="E180" s="65" t="s">
        <v>464</v>
      </c>
      <c r="F180" s="98" t="s">
        <v>498</v>
      </c>
      <c r="G180" s="23">
        <f t="shared" si="5"/>
        <v>100000</v>
      </c>
      <c r="H180" s="23">
        <v>100000</v>
      </c>
      <c r="I180" s="23"/>
      <c r="J180" s="23"/>
    </row>
    <row r="181" spans="1:10" s="10" customFormat="1" ht="186" customHeight="1">
      <c r="A181" s="8" t="s">
        <v>162</v>
      </c>
      <c r="B181" s="27" t="s">
        <v>56</v>
      </c>
      <c r="C181" s="25" t="s">
        <v>8</v>
      </c>
      <c r="D181" s="66" t="s">
        <v>111</v>
      </c>
      <c r="E181" s="65" t="s">
        <v>464</v>
      </c>
      <c r="F181" s="98" t="s">
        <v>516</v>
      </c>
      <c r="G181" s="23">
        <f t="shared" si="5"/>
        <v>4871258.48</v>
      </c>
      <c r="H181" s="23">
        <v>4786258.48</v>
      </c>
      <c r="I181" s="23">
        <v>85000</v>
      </c>
      <c r="J181" s="23">
        <v>85000</v>
      </c>
    </row>
    <row r="182" spans="1:10" ht="181.5" customHeight="1">
      <c r="A182" s="143" t="s">
        <v>163</v>
      </c>
      <c r="B182" s="145" t="s">
        <v>99</v>
      </c>
      <c r="C182" s="134" t="s">
        <v>8</v>
      </c>
      <c r="D182" s="121" t="s">
        <v>100</v>
      </c>
      <c r="E182" s="65" t="s">
        <v>464</v>
      </c>
      <c r="F182" s="98" t="s">
        <v>516</v>
      </c>
      <c r="G182" s="23">
        <f t="shared" si="5"/>
        <v>259920787.36</v>
      </c>
      <c r="H182" s="23">
        <v>230444185.78</v>
      </c>
      <c r="I182" s="23">
        <f>29851901.58-I183</f>
        <v>29476601.58</v>
      </c>
      <c r="J182" s="23">
        <f>29851901.58-J183</f>
        <v>29476601.58</v>
      </c>
    </row>
    <row r="183" spans="1:10" ht="138.75" customHeight="1">
      <c r="A183" s="143"/>
      <c r="B183" s="145"/>
      <c r="C183" s="134"/>
      <c r="D183" s="121"/>
      <c r="E183" s="71" t="s">
        <v>451</v>
      </c>
      <c r="F183" s="65" t="s">
        <v>347</v>
      </c>
      <c r="G183" s="23">
        <f t="shared" si="5"/>
        <v>375300</v>
      </c>
      <c r="H183" s="23"/>
      <c r="I183" s="23">
        <f>200000+4175300-4000000</f>
        <v>375300</v>
      </c>
      <c r="J183" s="23">
        <f>200000+4175300-4000000</f>
        <v>375300</v>
      </c>
    </row>
    <row r="184" spans="1:10" ht="187.5" customHeight="1">
      <c r="A184" s="143" t="s">
        <v>183</v>
      </c>
      <c r="B184" s="145" t="s">
        <v>184</v>
      </c>
      <c r="C184" s="134" t="s">
        <v>204</v>
      </c>
      <c r="D184" s="121" t="s">
        <v>203</v>
      </c>
      <c r="E184" s="65" t="s">
        <v>464</v>
      </c>
      <c r="F184" s="98" t="s">
        <v>516</v>
      </c>
      <c r="G184" s="23">
        <f t="shared" si="5"/>
        <v>7741826.64</v>
      </c>
      <c r="H184" s="23">
        <f>5914724+38050+49000-200000+45080.64-49000+2500+3000+153472</f>
        <v>5956826.64</v>
      </c>
      <c r="I184" s="23">
        <f>1785000</f>
        <v>1785000</v>
      </c>
      <c r="J184" s="23"/>
    </row>
    <row r="185" spans="1:10" ht="189" customHeight="1">
      <c r="A185" s="143"/>
      <c r="B185" s="145"/>
      <c r="C185" s="134"/>
      <c r="D185" s="121"/>
      <c r="E185" s="71" t="s">
        <v>465</v>
      </c>
      <c r="F185" s="65" t="s">
        <v>517</v>
      </c>
      <c r="G185" s="23">
        <f t="shared" si="5"/>
        <v>1667876.3700000006</v>
      </c>
      <c r="H185" s="23">
        <f>8400000+33600000-755800-9241451.18-76000-5909560-253700-25000-20000-4102174-1899640+50500+19300+200000+49000-263600-101200-418760+20000-25000-184814-1453016-25000-78100-179000-2382803-1663012.73-1050451-371540.45-1522530-4875998-3792773.27</f>
        <v>1667876.3700000006</v>
      </c>
      <c r="I185" s="23"/>
      <c r="J185" s="23"/>
    </row>
    <row r="186" spans="1:10" ht="325.5" customHeight="1">
      <c r="A186" s="143"/>
      <c r="B186" s="145"/>
      <c r="C186" s="134"/>
      <c r="D186" s="121"/>
      <c r="E186" s="65" t="s">
        <v>435</v>
      </c>
      <c r="F186" s="65" t="s">
        <v>419</v>
      </c>
      <c r="G186" s="23">
        <f t="shared" si="5"/>
        <v>614964</v>
      </c>
      <c r="H186" s="23">
        <v>614964</v>
      </c>
      <c r="I186" s="23"/>
      <c r="J186" s="23"/>
    </row>
    <row r="187" spans="1:10" ht="197.25" customHeight="1">
      <c r="A187" s="142" t="s">
        <v>205</v>
      </c>
      <c r="B187" s="134" t="s">
        <v>206</v>
      </c>
      <c r="C187" s="134" t="s">
        <v>62</v>
      </c>
      <c r="D187" s="137" t="s">
        <v>207</v>
      </c>
      <c r="E187" s="65" t="s">
        <v>464</v>
      </c>
      <c r="F187" s="98" t="s">
        <v>518</v>
      </c>
      <c r="G187" s="23">
        <f t="shared" si="5"/>
        <v>7283583</v>
      </c>
      <c r="H187" s="23"/>
      <c r="I187" s="23">
        <f>16963713-I188</f>
        <v>7283583</v>
      </c>
      <c r="J187" s="23">
        <f>16963713-J188</f>
        <v>7283583</v>
      </c>
    </row>
    <row r="188" spans="1:10" ht="144.75" customHeight="1">
      <c r="A188" s="142"/>
      <c r="B188" s="134"/>
      <c r="C188" s="134"/>
      <c r="D188" s="137"/>
      <c r="E188" s="71" t="s">
        <v>451</v>
      </c>
      <c r="F188" s="65" t="s">
        <v>347</v>
      </c>
      <c r="G188" s="23">
        <f t="shared" si="5"/>
        <v>9680130</v>
      </c>
      <c r="H188" s="23"/>
      <c r="I188" s="23">
        <f>9688130-38050-50000-169950+250000</f>
        <v>9680130</v>
      </c>
      <c r="J188" s="23">
        <f>9688130-38050-50000-169950+250000</f>
        <v>9680130</v>
      </c>
    </row>
    <row r="189" spans="1:10" ht="180" customHeight="1">
      <c r="A189" s="122" t="s">
        <v>208</v>
      </c>
      <c r="B189" s="135" t="s">
        <v>209</v>
      </c>
      <c r="C189" s="135" t="s">
        <v>62</v>
      </c>
      <c r="D189" s="127" t="s">
        <v>339</v>
      </c>
      <c r="E189" s="65" t="s">
        <v>464</v>
      </c>
      <c r="F189" s="98" t="s">
        <v>519</v>
      </c>
      <c r="G189" s="23">
        <f t="shared" si="5"/>
        <v>18779175.58</v>
      </c>
      <c r="H189" s="23"/>
      <c r="I189" s="23">
        <f>18979175.58-200000</f>
        <v>18779175.58</v>
      </c>
      <c r="J189" s="23">
        <f>18979175.58-200000</f>
        <v>18779175.58</v>
      </c>
    </row>
    <row r="190" spans="1:10" ht="132.75" hidden="1">
      <c r="A190" s="123"/>
      <c r="B190" s="146"/>
      <c r="C190" s="146"/>
      <c r="D190" s="128"/>
      <c r="E190" s="71" t="s">
        <v>451</v>
      </c>
      <c r="F190" s="65" t="s">
        <v>347</v>
      </c>
      <c r="G190" s="23">
        <f t="shared" si="5"/>
        <v>0</v>
      </c>
      <c r="H190" s="23"/>
      <c r="I190" s="23"/>
      <c r="J190" s="23"/>
    </row>
    <row r="191" spans="1:10" ht="112.5" customHeight="1" hidden="1">
      <c r="A191" s="124"/>
      <c r="B191" s="136"/>
      <c r="C191" s="136"/>
      <c r="D191" s="129"/>
      <c r="E191" s="71"/>
      <c r="F191" s="65"/>
      <c r="G191" s="23">
        <f t="shared" si="5"/>
        <v>0</v>
      </c>
      <c r="H191" s="23"/>
      <c r="I191" s="23"/>
      <c r="J191" s="23"/>
    </row>
    <row r="192" spans="1:10" ht="184.5" customHeight="1">
      <c r="A192" s="6" t="s">
        <v>164</v>
      </c>
      <c r="B192" s="25" t="s">
        <v>101</v>
      </c>
      <c r="C192" s="25" t="s">
        <v>62</v>
      </c>
      <c r="D192" s="65" t="s">
        <v>102</v>
      </c>
      <c r="E192" s="65" t="s">
        <v>464</v>
      </c>
      <c r="F192" s="98" t="s">
        <v>520</v>
      </c>
      <c r="G192" s="23">
        <f t="shared" si="5"/>
        <v>3250000</v>
      </c>
      <c r="H192" s="23"/>
      <c r="I192" s="23">
        <v>3250000</v>
      </c>
      <c r="J192" s="23">
        <v>3250000</v>
      </c>
    </row>
    <row r="193" spans="1:10" s="3" customFormat="1" ht="177" customHeight="1" hidden="1">
      <c r="A193" s="6" t="s">
        <v>294</v>
      </c>
      <c r="B193" s="25" t="s">
        <v>295</v>
      </c>
      <c r="C193" s="25" t="s">
        <v>4</v>
      </c>
      <c r="D193" s="65" t="s">
        <v>296</v>
      </c>
      <c r="E193" s="71" t="s">
        <v>451</v>
      </c>
      <c r="F193" s="65" t="s">
        <v>347</v>
      </c>
      <c r="G193" s="23">
        <f t="shared" si="5"/>
        <v>0</v>
      </c>
      <c r="H193" s="23"/>
      <c r="I193" s="23"/>
      <c r="J193" s="23"/>
    </row>
    <row r="194" spans="1:10" s="3" customFormat="1" ht="221.25" hidden="1">
      <c r="A194" s="6" t="s">
        <v>372</v>
      </c>
      <c r="B194" s="25">
        <v>7362</v>
      </c>
      <c r="C194" s="6" t="s">
        <v>4</v>
      </c>
      <c r="D194" s="66" t="s">
        <v>405</v>
      </c>
      <c r="E194" s="65" t="s">
        <v>464</v>
      </c>
      <c r="F194" s="65" t="s">
        <v>442</v>
      </c>
      <c r="G194" s="23">
        <f t="shared" si="5"/>
        <v>0</v>
      </c>
      <c r="H194" s="23"/>
      <c r="I194" s="23"/>
      <c r="J194" s="23"/>
    </row>
    <row r="195" spans="1:10" s="3" customFormat="1" ht="221.25">
      <c r="A195" s="142" t="s">
        <v>284</v>
      </c>
      <c r="B195" s="134" t="s">
        <v>278</v>
      </c>
      <c r="C195" s="142" t="s">
        <v>4</v>
      </c>
      <c r="D195" s="130" t="s">
        <v>279</v>
      </c>
      <c r="E195" s="65" t="s">
        <v>464</v>
      </c>
      <c r="F195" s="98" t="s">
        <v>520</v>
      </c>
      <c r="G195" s="23">
        <f t="shared" si="5"/>
        <v>13159984</v>
      </c>
      <c r="H195" s="23"/>
      <c r="I195" s="23">
        <v>13159984</v>
      </c>
      <c r="J195" s="23">
        <v>13159984</v>
      </c>
    </row>
    <row r="196" spans="1:10" s="3" customFormat="1" ht="132.75" hidden="1">
      <c r="A196" s="142"/>
      <c r="B196" s="134"/>
      <c r="C196" s="142"/>
      <c r="D196" s="130"/>
      <c r="E196" s="71" t="s">
        <v>451</v>
      </c>
      <c r="F196" s="65" t="s">
        <v>347</v>
      </c>
      <c r="G196" s="23">
        <f t="shared" si="5"/>
        <v>0</v>
      </c>
      <c r="H196" s="23"/>
      <c r="I196" s="23"/>
      <c r="J196" s="23"/>
    </row>
    <row r="197" spans="1:10" s="3" customFormat="1" ht="221.25" hidden="1">
      <c r="A197" s="6" t="s">
        <v>366</v>
      </c>
      <c r="B197" s="25">
        <v>7461</v>
      </c>
      <c r="C197" s="6" t="s">
        <v>253</v>
      </c>
      <c r="D197" s="70" t="s">
        <v>367</v>
      </c>
      <c r="E197" s="65" t="s">
        <v>464</v>
      </c>
      <c r="F197" s="65" t="s">
        <v>442</v>
      </c>
      <c r="G197" s="23">
        <f t="shared" si="5"/>
        <v>0</v>
      </c>
      <c r="H197" s="23"/>
      <c r="I197" s="23"/>
      <c r="J197" s="23"/>
    </row>
    <row r="198" spans="1:10" s="3" customFormat="1" ht="95.25" customHeight="1">
      <c r="A198" s="6" t="s">
        <v>572</v>
      </c>
      <c r="B198" s="25">
        <v>7368</v>
      </c>
      <c r="C198" s="6" t="s">
        <v>4</v>
      </c>
      <c r="D198" s="70" t="s">
        <v>575</v>
      </c>
      <c r="E198" s="65" t="s">
        <v>464</v>
      </c>
      <c r="F198" s="98" t="s">
        <v>520</v>
      </c>
      <c r="G198" s="23">
        <f t="shared" si="5"/>
        <v>200000</v>
      </c>
      <c r="H198" s="23"/>
      <c r="I198" s="23">
        <v>200000</v>
      </c>
      <c r="J198" s="23">
        <v>200000</v>
      </c>
    </row>
    <row r="199" spans="1:10" s="3" customFormat="1" ht="221.25">
      <c r="A199" s="6" t="s">
        <v>362</v>
      </c>
      <c r="B199" s="25">
        <v>7462</v>
      </c>
      <c r="C199" s="6" t="s">
        <v>253</v>
      </c>
      <c r="D199" s="65" t="s">
        <v>303</v>
      </c>
      <c r="E199" s="65" t="s">
        <v>464</v>
      </c>
      <c r="F199" s="98" t="s">
        <v>520</v>
      </c>
      <c r="G199" s="23">
        <f t="shared" si="5"/>
        <v>1527346</v>
      </c>
      <c r="H199" s="23">
        <v>1527346</v>
      </c>
      <c r="I199" s="23"/>
      <c r="J199" s="23"/>
    </row>
    <row r="200" spans="1:10" s="3" customFormat="1" ht="221.25">
      <c r="A200" s="6" t="s">
        <v>573</v>
      </c>
      <c r="B200" s="25">
        <v>7463</v>
      </c>
      <c r="C200" s="6" t="s">
        <v>253</v>
      </c>
      <c r="D200" s="65" t="s">
        <v>576</v>
      </c>
      <c r="E200" s="65" t="s">
        <v>464</v>
      </c>
      <c r="F200" s="98" t="s">
        <v>520</v>
      </c>
      <c r="G200" s="23">
        <f t="shared" si="5"/>
        <v>200000</v>
      </c>
      <c r="H200" s="23">
        <v>200000</v>
      </c>
      <c r="I200" s="23"/>
      <c r="J200" s="23"/>
    </row>
    <row r="201" spans="1:10" s="3" customFormat="1" ht="177" hidden="1">
      <c r="A201" s="6" t="s">
        <v>426</v>
      </c>
      <c r="B201" s="25">
        <v>7530</v>
      </c>
      <c r="C201" s="25" t="s">
        <v>194</v>
      </c>
      <c r="D201" s="65" t="s">
        <v>195</v>
      </c>
      <c r="E201" s="65" t="s">
        <v>453</v>
      </c>
      <c r="F201" s="65" t="s">
        <v>392</v>
      </c>
      <c r="G201" s="23">
        <f t="shared" si="5"/>
        <v>0</v>
      </c>
      <c r="H201" s="23"/>
      <c r="I201" s="23"/>
      <c r="J201" s="23"/>
    </row>
    <row r="202" spans="1:10" s="10" customFormat="1" ht="197.25" customHeight="1">
      <c r="A202" s="6" t="s">
        <v>165</v>
      </c>
      <c r="B202" s="25" t="s">
        <v>82</v>
      </c>
      <c r="C202" s="25" t="s">
        <v>25</v>
      </c>
      <c r="D202" s="65" t="s">
        <v>53</v>
      </c>
      <c r="E202" s="65" t="s">
        <v>464</v>
      </c>
      <c r="F202" s="98" t="s">
        <v>521</v>
      </c>
      <c r="G202" s="23">
        <f t="shared" si="5"/>
        <v>2700000</v>
      </c>
      <c r="H202" s="23">
        <f>2200000+500000</f>
        <v>2700000</v>
      </c>
      <c r="I202" s="23"/>
      <c r="J202" s="23"/>
    </row>
    <row r="203" spans="1:10" s="10" customFormat="1" ht="197.25" customHeight="1">
      <c r="A203" s="122" t="s">
        <v>351</v>
      </c>
      <c r="B203" s="135">
        <v>7670</v>
      </c>
      <c r="C203" s="135" t="s">
        <v>4</v>
      </c>
      <c r="D203" s="127" t="s">
        <v>47</v>
      </c>
      <c r="E203" s="65" t="s">
        <v>464</v>
      </c>
      <c r="F203" s="98" t="s">
        <v>521</v>
      </c>
      <c r="G203" s="23">
        <f t="shared" si="5"/>
        <v>540000</v>
      </c>
      <c r="H203" s="23"/>
      <c r="I203" s="23">
        <v>540000</v>
      </c>
      <c r="J203" s="23">
        <v>540000</v>
      </c>
    </row>
    <row r="204" spans="1:10" s="10" customFormat="1" ht="144" customHeight="1">
      <c r="A204" s="124"/>
      <c r="B204" s="136"/>
      <c r="C204" s="136"/>
      <c r="D204" s="129"/>
      <c r="E204" s="71" t="s">
        <v>451</v>
      </c>
      <c r="F204" s="65" t="s">
        <v>347</v>
      </c>
      <c r="G204" s="23">
        <f t="shared" si="5"/>
        <v>26250000</v>
      </c>
      <c r="H204" s="23"/>
      <c r="I204" s="23">
        <f>46250000-20000000</f>
        <v>26250000</v>
      </c>
      <c r="J204" s="23">
        <f>46250000-20000000</f>
        <v>26250000</v>
      </c>
    </row>
    <row r="205" spans="1:10" s="3" customFormat="1" ht="409.5">
      <c r="A205" s="6" t="s">
        <v>240</v>
      </c>
      <c r="B205" s="25" t="s">
        <v>241</v>
      </c>
      <c r="C205" s="25" t="s">
        <v>4</v>
      </c>
      <c r="D205" s="65" t="s">
        <v>257</v>
      </c>
      <c r="E205" s="65" t="s">
        <v>464</v>
      </c>
      <c r="F205" s="98" t="s">
        <v>521</v>
      </c>
      <c r="G205" s="23">
        <f t="shared" si="5"/>
        <v>2205686.57</v>
      </c>
      <c r="H205" s="23"/>
      <c r="I205" s="23">
        <f>2069598+136088.57</f>
        <v>2205686.57</v>
      </c>
      <c r="J205" s="23"/>
    </row>
    <row r="206" spans="1:10" s="3" customFormat="1" ht="239.25" customHeight="1">
      <c r="A206" s="6" t="s">
        <v>413</v>
      </c>
      <c r="B206" s="25">
        <v>8110</v>
      </c>
      <c r="C206" s="25" t="s">
        <v>91</v>
      </c>
      <c r="D206" s="65" t="s">
        <v>414</v>
      </c>
      <c r="E206" s="65" t="s">
        <v>460</v>
      </c>
      <c r="F206" s="102" t="s">
        <v>389</v>
      </c>
      <c r="G206" s="23">
        <f t="shared" si="5"/>
        <v>677493.87</v>
      </c>
      <c r="H206" s="23">
        <v>677493.87</v>
      </c>
      <c r="I206" s="23"/>
      <c r="J206" s="23"/>
    </row>
    <row r="207" spans="1:10" ht="221.25" customHeight="1" hidden="1">
      <c r="A207" s="6" t="s">
        <v>412</v>
      </c>
      <c r="B207" s="25">
        <v>8230</v>
      </c>
      <c r="C207" s="6" t="s">
        <v>190</v>
      </c>
      <c r="D207" s="65" t="s">
        <v>191</v>
      </c>
      <c r="E207" s="65" t="s">
        <v>464</v>
      </c>
      <c r="F207" s="65" t="s">
        <v>442</v>
      </c>
      <c r="G207" s="23">
        <f t="shared" si="5"/>
        <v>0</v>
      </c>
      <c r="H207" s="23"/>
      <c r="I207" s="23"/>
      <c r="J207" s="23"/>
    </row>
    <row r="208" spans="1:10" ht="153" customHeight="1">
      <c r="A208" s="6" t="s">
        <v>167</v>
      </c>
      <c r="B208" s="25" t="s">
        <v>78</v>
      </c>
      <c r="C208" s="25" t="s">
        <v>12</v>
      </c>
      <c r="D208" s="65" t="s">
        <v>79</v>
      </c>
      <c r="E208" s="71" t="s">
        <v>451</v>
      </c>
      <c r="F208" s="65" t="s">
        <v>347</v>
      </c>
      <c r="G208" s="23">
        <f t="shared" si="5"/>
        <v>2949600</v>
      </c>
      <c r="H208" s="23"/>
      <c r="I208" s="23">
        <f>2742000+186000+21600</f>
        <v>2949600</v>
      </c>
      <c r="J208" s="23"/>
    </row>
    <row r="209" spans="1:10" s="3" customFormat="1" ht="191.25" customHeight="1">
      <c r="A209" s="6" t="s">
        <v>168</v>
      </c>
      <c r="B209" s="25" t="s">
        <v>103</v>
      </c>
      <c r="C209" s="25" t="s">
        <v>4</v>
      </c>
      <c r="D209" s="75" t="s">
        <v>112</v>
      </c>
      <c r="E209" s="65" t="s">
        <v>464</v>
      </c>
      <c r="F209" s="98" t="s">
        <v>522</v>
      </c>
      <c r="G209" s="23">
        <f t="shared" si="5"/>
        <v>-2054092</v>
      </c>
      <c r="H209" s="23"/>
      <c r="I209" s="23">
        <v>-2054092</v>
      </c>
      <c r="J209" s="23">
        <v>-2054092</v>
      </c>
    </row>
    <row r="210" spans="1:10" s="3" customFormat="1" ht="329.25" customHeight="1">
      <c r="A210" s="6" t="s">
        <v>574</v>
      </c>
      <c r="B210" s="25">
        <v>9730</v>
      </c>
      <c r="C210" s="25">
        <v>180</v>
      </c>
      <c r="D210" s="65" t="s">
        <v>577</v>
      </c>
      <c r="E210" s="65" t="s">
        <v>464</v>
      </c>
      <c r="F210" s="98" t="s">
        <v>522</v>
      </c>
      <c r="G210" s="23">
        <f t="shared" si="5"/>
        <v>25000000</v>
      </c>
      <c r="H210" s="23">
        <v>25000000</v>
      </c>
      <c r="I210" s="23"/>
      <c r="J210" s="23"/>
    </row>
    <row r="211" spans="1:10" s="10" customFormat="1" ht="189" customHeight="1">
      <c r="A211" s="8" t="s">
        <v>166</v>
      </c>
      <c r="B211" s="27" t="s">
        <v>76</v>
      </c>
      <c r="C211" s="25" t="s">
        <v>26</v>
      </c>
      <c r="D211" s="65" t="s">
        <v>77</v>
      </c>
      <c r="E211" s="65" t="s">
        <v>464</v>
      </c>
      <c r="F211" s="98" t="s">
        <v>522</v>
      </c>
      <c r="G211" s="23">
        <f t="shared" si="5"/>
        <v>15000000</v>
      </c>
      <c r="H211" s="23">
        <v>8550000</v>
      </c>
      <c r="I211" s="23">
        <v>6450000</v>
      </c>
      <c r="J211" s="23">
        <v>6450000</v>
      </c>
    </row>
    <row r="212" spans="1:10" s="2" customFormat="1" ht="156.75" customHeight="1" hidden="1">
      <c r="A212" s="12"/>
      <c r="B212" s="26"/>
      <c r="C212" s="26"/>
      <c r="D212" s="68" t="s">
        <v>428</v>
      </c>
      <c r="E212" s="68"/>
      <c r="F212" s="108"/>
      <c r="G212" s="22">
        <f>SUM(G213)</f>
        <v>0</v>
      </c>
      <c r="H212" s="22">
        <f>SUM(H213)</f>
        <v>0</v>
      </c>
      <c r="I212" s="22">
        <f>SUM(I213)</f>
        <v>0</v>
      </c>
      <c r="J212" s="22">
        <f>SUM(J213)</f>
        <v>0</v>
      </c>
    </row>
    <row r="213" spans="1:10" ht="195" customHeight="1" hidden="1">
      <c r="A213" s="8" t="s">
        <v>427</v>
      </c>
      <c r="B213" s="27" t="s">
        <v>70</v>
      </c>
      <c r="C213" s="25" t="s">
        <v>2</v>
      </c>
      <c r="D213" s="65" t="s">
        <v>71</v>
      </c>
      <c r="E213" s="65" t="s">
        <v>457</v>
      </c>
      <c r="F213" s="102" t="s">
        <v>346</v>
      </c>
      <c r="G213" s="23">
        <f>H213+I213</f>
        <v>0</v>
      </c>
      <c r="H213" s="23"/>
      <c r="I213" s="23"/>
      <c r="J213" s="23"/>
    </row>
    <row r="214" spans="1:10" s="2" customFormat="1" ht="156.75" customHeight="1">
      <c r="A214" s="12"/>
      <c r="B214" s="26"/>
      <c r="C214" s="26"/>
      <c r="D214" s="68" t="s">
        <v>172</v>
      </c>
      <c r="E214" s="68"/>
      <c r="F214" s="108"/>
      <c r="G214" s="22">
        <f>SUM(G215:G239)</f>
        <v>281927323.01</v>
      </c>
      <c r="H214" s="22">
        <f>SUM(H215:H239)</f>
        <v>2596719.1500000004</v>
      </c>
      <c r="I214" s="22">
        <f>SUM(I215:I239)</f>
        <v>279330603.86</v>
      </c>
      <c r="J214" s="22">
        <f>SUM(J215:J239)</f>
        <v>267299629.85000002</v>
      </c>
    </row>
    <row r="215" spans="1:10" ht="174" customHeight="1" hidden="1">
      <c r="A215" s="8" t="s">
        <v>173</v>
      </c>
      <c r="B215" s="27" t="s">
        <v>70</v>
      </c>
      <c r="C215" s="25" t="s">
        <v>2</v>
      </c>
      <c r="D215" s="65" t="s">
        <v>71</v>
      </c>
      <c r="E215" s="65" t="s">
        <v>457</v>
      </c>
      <c r="F215" s="102" t="s">
        <v>346</v>
      </c>
      <c r="G215" s="23">
        <f aca="true" t="shared" si="6" ref="G215:G239">H215+I215</f>
        <v>0</v>
      </c>
      <c r="H215" s="23"/>
      <c r="I215" s="23"/>
      <c r="J215" s="23"/>
    </row>
    <row r="216" spans="1:10" ht="204" customHeight="1">
      <c r="A216" s="6" t="s">
        <v>174</v>
      </c>
      <c r="B216" s="25" t="s">
        <v>99</v>
      </c>
      <c r="C216" s="25" t="s">
        <v>8</v>
      </c>
      <c r="D216" s="65" t="s">
        <v>100</v>
      </c>
      <c r="E216" s="65" t="s">
        <v>464</v>
      </c>
      <c r="F216" s="98" t="s">
        <v>522</v>
      </c>
      <c r="G216" s="23">
        <f t="shared" si="6"/>
        <v>58645128</v>
      </c>
      <c r="H216" s="23"/>
      <c r="I216" s="23">
        <v>58645128</v>
      </c>
      <c r="J216" s="23">
        <v>58645128</v>
      </c>
    </row>
    <row r="217" spans="1:10" s="3" customFormat="1" ht="221.25" customHeight="1" hidden="1">
      <c r="A217" s="6" t="s">
        <v>297</v>
      </c>
      <c r="B217" s="25" t="s">
        <v>298</v>
      </c>
      <c r="C217" s="25" t="s">
        <v>23</v>
      </c>
      <c r="D217" s="65" t="s">
        <v>299</v>
      </c>
      <c r="E217" s="71" t="s">
        <v>465</v>
      </c>
      <c r="F217" s="65" t="s">
        <v>442</v>
      </c>
      <c r="G217" s="23">
        <f t="shared" si="6"/>
        <v>0</v>
      </c>
      <c r="H217" s="23"/>
      <c r="I217" s="23"/>
      <c r="J217" s="23"/>
    </row>
    <row r="218" spans="1:10" s="3" customFormat="1" ht="158.25" customHeight="1" hidden="1">
      <c r="A218" s="6" t="s">
        <v>306</v>
      </c>
      <c r="B218" s="25" t="s">
        <v>307</v>
      </c>
      <c r="C218" s="25" t="s">
        <v>23</v>
      </c>
      <c r="D218" s="76" t="s">
        <v>308</v>
      </c>
      <c r="E218" s="65" t="s">
        <v>472</v>
      </c>
      <c r="F218" s="102" t="s">
        <v>473</v>
      </c>
      <c r="G218" s="23">
        <f t="shared" si="6"/>
        <v>0</v>
      </c>
      <c r="H218" s="23"/>
      <c r="I218" s="23"/>
      <c r="J218" s="23"/>
    </row>
    <row r="219" spans="1:10" s="3" customFormat="1" ht="314.25" customHeight="1">
      <c r="A219" s="6" t="s">
        <v>175</v>
      </c>
      <c r="B219" s="25" t="s">
        <v>104</v>
      </c>
      <c r="C219" s="25" t="s">
        <v>23</v>
      </c>
      <c r="D219" s="65" t="s">
        <v>415</v>
      </c>
      <c r="E219" s="71" t="s">
        <v>449</v>
      </c>
      <c r="F219" s="71" t="s">
        <v>448</v>
      </c>
      <c r="G219" s="23">
        <f t="shared" si="6"/>
        <v>71348.65</v>
      </c>
      <c r="H219" s="23"/>
      <c r="I219" s="23">
        <v>71348.65</v>
      </c>
      <c r="J219" s="23"/>
    </row>
    <row r="220" spans="1:10" s="3" customFormat="1" ht="175.5" customHeight="1" hidden="1">
      <c r="A220" s="6" t="s">
        <v>350</v>
      </c>
      <c r="B220" s="25">
        <v>6090</v>
      </c>
      <c r="C220" s="6" t="s">
        <v>204</v>
      </c>
      <c r="D220" s="65" t="s">
        <v>352</v>
      </c>
      <c r="E220" s="71" t="s">
        <v>465</v>
      </c>
      <c r="F220" s="65" t="s">
        <v>442</v>
      </c>
      <c r="G220" s="23">
        <f t="shared" si="6"/>
        <v>0</v>
      </c>
      <c r="H220" s="23"/>
      <c r="I220" s="23"/>
      <c r="J220" s="23"/>
    </row>
    <row r="221" spans="1:10" ht="177">
      <c r="A221" s="6" t="s">
        <v>210</v>
      </c>
      <c r="B221" s="25" t="s">
        <v>206</v>
      </c>
      <c r="C221" s="25" t="s">
        <v>62</v>
      </c>
      <c r="D221" s="65" t="s">
        <v>207</v>
      </c>
      <c r="E221" s="71" t="s">
        <v>465</v>
      </c>
      <c r="F221" s="65" t="s">
        <v>523</v>
      </c>
      <c r="G221" s="23">
        <f t="shared" si="6"/>
        <v>23385.4</v>
      </c>
      <c r="H221" s="23"/>
      <c r="I221" s="23">
        <v>23385.4</v>
      </c>
      <c r="J221" s="23">
        <v>23385.4</v>
      </c>
    </row>
    <row r="222" spans="1:10" s="3" customFormat="1" ht="177" hidden="1">
      <c r="A222" s="142" t="s">
        <v>211</v>
      </c>
      <c r="B222" s="134" t="s">
        <v>212</v>
      </c>
      <c r="C222" s="134" t="s">
        <v>62</v>
      </c>
      <c r="D222" s="85" t="s">
        <v>540</v>
      </c>
      <c r="E222" s="71" t="s">
        <v>465</v>
      </c>
      <c r="F222" s="65" t="s">
        <v>442</v>
      </c>
      <c r="G222" s="23">
        <f t="shared" si="6"/>
        <v>0</v>
      </c>
      <c r="H222" s="23"/>
      <c r="I222" s="23"/>
      <c r="J222" s="23"/>
    </row>
    <row r="223" spans="1:10" s="3" customFormat="1" ht="187.5" customHeight="1">
      <c r="A223" s="142"/>
      <c r="B223" s="134"/>
      <c r="C223" s="134"/>
      <c r="D223" s="86" t="s">
        <v>537</v>
      </c>
      <c r="E223" s="71" t="s">
        <v>465</v>
      </c>
      <c r="F223" s="65" t="s">
        <v>523</v>
      </c>
      <c r="G223" s="23">
        <f t="shared" si="6"/>
        <v>1120560</v>
      </c>
      <c r="H223" s="23"/>
      <c r="I223" s="23">
        <v>1120560</v>
      </c>
      <c r="J223" s="23">
        <v>1120560</v>
      </c>
    </row>
    <row r="224" spans="1:10" s="3" customFormat="1" ht="185.25" customHeight="1">
      <c r="A224" s="6" t="s">
        <v>213</v>
      </c>
      <c r="B224" s="25" t="s">
        <v>214</v>
      </c>
      <c r="C224" s="25" t="s">
        <v>62</v>
      </c>
      <c r="D224" s="117" t="s">
        <v>541</v>
      </c>
      <c r="E224" s="71" t="s">
        <v>465</v>
      </c>
      <c r="F224" s="65" t="s">
        <v>523</v>
      </c>
      <c r="G224" s="23">
        <f t="shared" si="6"/>
        <v>6800000</v>
      </c>
      <c r="H224" s="23"/>
      <c r="I224" s="23">
        <f>3000000+1800000+2000000</f>
        <v>6800000</v>
      </c>
      <c r="J224" s="23">
        <f>3000000+1800000+2000000</f>
        <v>6800000</v>
      </c>
    </row>
    <row r="225" spans="1:10" s="3" customFormat="1" ht="177">
      <c r="A225" s="6" t="s">
        <v>215</v>
      </c>
      <c r="B225" s="25" t="s">
        <v>216</v>
      </c>
      <c r="C225" s="25" t="s">
        <v>62</v>
      </c>
      <c r="D225" s="117" t="s">
        <v>536</v>
      </c>
      <c r="E225" s="71" t="s">
        <v>465</v>
      </c>
      <c r="F225" s="65" t="s">
        <v>523</v>
      </c>
      <c r="G225" s="23">
        <f t="shared" si="6"/>
        <v>1799440</v>
      </c>
      <c r="H225" s="23"/>
      <c r="I225" s="23">
        <v>1799440</v>
      </c>
      <c r="J225" s="23">
        <v>1799440</v>
      </c>
    </row>
    <row r="226" spans="1:10" ht="183.75" customHeight="1">
      <c r="A226" s="122" t="s">
        <v>217</v>
      </c>
      <c r="B226" s="135" t="s">
        <v>209</v>
      </c>
      <c r="C226" s="135" t="s">
        <v>62</v>
      </c>
      <c r="D226" s="117" t="s">
        <v>542</v>
      </c>
      <c r="E226" s="71" t="s">
        <v>465</v>
      </c>
      <c r="F226" s="65" t="s">
        <v>523</v>
      </c>
      <c r="G226" s="23">
        <f t="shared" si="6"/>
        <v>11510539</v>
      </c>
      <c r="H226" s="23"/>
      <c r="I226" s="23">
        <v>11510539</v>
      </c>
      <c r="J226" s="23">
        <v>11510539</v>
      </c>
    </row>
    <row r="227" spans="1:10" ht="157.5" customHeight="1" hidden="1">
      <c r="A227" s="124"/>
      <c r="B227" s="136"/>
      <c r="C227" s="136"/>
      <c r="D227" s="117"/>
      <c r="E227" s="71" t="s">
        <v>451</v>
      </c>
      <c r="F227" s="65" t="s">
        <v>347</v>
      </c>
      <c r="G227" s="23">
        <f t="shared" si="6"/>
        <v>0</v>
      </c>
      <c r="H227" s="23"/>
      <c r="I227" s="23"/>
      <c r="J227" s="23"/>
    </row>
    <row r="228" spans="1:10" ht="177">
      <c r="A228" s="6" t="s">
        <v>268</v>
      </c>
      <c r="B228" s="25" t="s">
        <v>101</v>
      </c>
      <c r="C228" s="25" t="s">
        <v>62</v>
      </c>
      <c r="D228" s="84" t="s">
        <v>102</v>
      </c>
      <c r="E228" s="71" t="s">
        <v>465</v>
      </c>
      <c r="F228" s="65" t="s">
        <v>523</v>
      </c>
      <c r="G228" s="23">
        <f t="shared" si="6"/>
        <v>1000000</v>
      </c>
      <c r="H228" s="23"/>
      <c r="I228" s="23">
        <f>6000000-2067496-104420-86000-2742084</f>
        <v>1000000</v>
      </c>
      <c r="J228" s="23">
        <f>6000000-2067496-104420-86000-2742084</f>
        <v>1000000</v>
      </c>
    </row>
    <row r="229" spans="1:10" s="3" customFormat="1" ht="185.25" customHeight="1">
      <c r="A229" s="122" t="s">
        <v>309</v>
      </c>
      <c r="B229" s="135" t="s">
        <v>295</v>
      </c>
      <c r="C229" s="135" t="s">
        <v>4</v>
      </c>
      <c r="D229" s="154" t="s">
        <v>296</v>
      </c>
      <c r="E229" s="71" t="s">
        <v>465</v>
      </c>
      <c r="F229" s="65" t="s">
        <v>523</v>
      </c>
      <c r="G229" s="23">
        <f t="shared" si="6"/>
        <v>30172673</v>
      </c>
      <c r="H229" s="23"/>
      <c r="I229" s="23">
        <f>10172673+15000000+5000000</f>
        <v>30172673</v>
      </c>
      <c r="J229" s="23">
        <f>10172673+15000000+5000000</f>
        <v>30172673</v>
      </c>
    </row>
    <row r="230" spans="1:10" s="3" customFormat="1" ht="135.75" customHeight="1">
      <c r="A230" s="124"/>
      <c r="B230" s="136"/>
      <c r="C230" s="136"/>
      <c r="D230" s="155"/>
      <c r="E230" s="71" t="s">
        <v>451</v>
      </c>
      <c r="F230" s="65" t="s">
        <v>347</v>
      </c>
      <c r="G230" s="23">
        <f t="shared" si="6"/>
        <v>28000000</v>
      </c>
      <c r="H230" s="23"/>
      <c r="I230" s="23">
        <v>28000000</v>
      </c>
      <c r="J230" s="23">
        <v>28000000</v>
      </c>
    </row>
    <row r="231" spans="1:10" s="3" customFormat="1" ht="3" customHeight="1" hidden="1">
      <c r="A231" s="6" t="s">
        <v>293</v>
      </c>
      <c r="B231" s="25" t="s">
        <v>278</v>
      </c>
      <c r="C231" s="25" t="s">
        <v>4</v>
      </c>
      <c r="D231" s="65" t="s">
        <v>279</v>
      </c>
      <c r="E231" s="71" t="s">
        <v>465</v>
      </c>
      <c r="F231" s="65" t="s">
        <v>442</v>
      </c>
      <c r="G231" s="23">
        <f t="shared" si="6"/>
        <v>0</v>
      </c>
      <c r="H231" s="23"/>
      <c r="I231" s="23"/>
      <c r="J231" s="23"/>
    </row>
    <row r="232" spans="1:10" s="3" customFormat="1" ht="187.5" customHeight="1">
      <c r="A232" s="6" t="s">
        <v>360</v>
      </c>
      <c r="B232" s="25">
        <v>7370</v>
      </c>
      <c r="C232" s="6" t="s">
        <v>4</v>
      </c>
      <c r="D232" s="65" t="s">
        <v>312</v>
      </c>
      <c r="E232" s="71" t="s">
        <v>465</v>
      </c>
      <c r="F232" s="65" t="s">
        <v>523</v>
      </c>
      <c r="G232" s="23">
        <f t="shared" si="6"/>
        <v>81034.6</v>
      </c>
      <c r="H232" s="23">
        <v>81034.6</v>
      </c>
      <c r="I232" s="23"/>
      <c r="J232" s="23"/>
    </row>
    <row r="233" spans="1:10" s="3" customFormat="1" ht="221.25" hidden="1">
      <c r="A233" s="6" t="s">
        <v>286</v>
      </c>
      <c r="B233" s="25" t="s">
        <v>287</v>
      </c>
      <c r="C233" s="25" t="s">
        <v>253</v>
      </c>
      <c r="D233" s="65" t="s">
        <v>288</v>
      </c>
      <c r="E233" s="65" t="s">
        <v>464</v>
      </c>
      <c r="F233" s="65" t="s">
        <v>442</v>
      </c>
      <c r="G233" s="23">
        <f t="shared" si="6"/>
        <v>0</v>
      </c>
      <c r="H233" s="23"/>
      <c r="I233" s="23"/>
      <c r="J233" s="23"/>
    </row>
    <row r="234" spans="1:10" s="3" customFormat="1" ht="183" hidden="1">
      <c r="A234" s="6" t="s">
        <v>301</v>
      </c>
      <c r="B234" s="25" t="s">
        <v>302</v>
      </c>
      <c r="C234" s="25" t="s">
        <v>253</v>
      </c>
      <c r="D234" s="77" t="s">
        <v>303</v>
      </c>
      <c r="E234" s="71" t="s">
        <v>465</v>
      </c>
      <c r="F234" s="65" t="s">
        <v>442</v>
      </c>
      <c r="G234" s="23">
        <f t="shared" si="6"/>
        <v>0</v>
      </c>
      <c r="H234" s="23"/>
      <c r="I234" s="23"/>
      <c r="J234" s="23"/>
    </row>
    <row r="235" spans="1:10" ht="151.5" customHeight="1">
      <c r="A235" s="6" t="s">
        <v>176</v>
      </c>
      <c r="B235" s="25" t="s">
        <v>82</v>
      </c>
      <c r="C235" s="25" t="s">
        <v>25</v>
      </c>
      <c r="D235" s="65" t="s">
        <v>53</v>
      </c>
      <c r="E235" s="65" t="s">
        <v>440</v>
      </c>
      <c r="F235" s="65" t="s">
        <v>466</v>
      </c>
      <c r="G235" s="23">
        <f t="shared" si="6"/>
        <v>140631523</v>
      </c>
      <c r="H235" s="23">
        <v>1015684.55</v>
      </c>
      <c r="I235" s="23">
        <v>139615838.45</v>
      </c>
      <c r="J235" s="23">
        <v>128141904.45</v>
      </c>
    </row>
    <row r="236" spans="1:10" s="3" customFormat="1" ht="185.25" customHeight="1">
      <c r="A236" s="6" t="s">
        <v>503</v>
      </c>
      <c r="B236" s="25">
        <v>9750</v>
      </c>
      <c r="C236" s="61" t="s">
        <v>26</v>
      </c>
      <c r="D236" s="76" t="s">
        <v>504</v>
      </c>
      <c r="E236" s="71" t="s">
        <v>465</v>
      </c>
      <c r="F236" s="65" t="s">
        <v>523</v>
      </c>
      <c r="G236" s="23">
        <f t="shared" si="6"/>
        <v>86000</v>
      </c>
      <c r="H236" s="23"/>
      <c r="I236" s="23">
        <v>86000</v>
      </c>
      <c r="J236" s="23">
        <v>86000</v>
      </c>
    </row>
    <row r="237" spans="1:10" s="3" customFormat="1" ht="409.5" customHeight="1" hidden="1">
      <c r="A237" s="6" t="s">
        <v>343</v>
      </c>
      <c r="B237" s="25" t="s">
        <v>241</v>
      </c>
      <c r="C237" s="25" t="s">
        <v>4</v>
      </c>
      <c r="D237" s="65" t="s">
        <v>257</v>
      </c>
      <c r="E237" s="71"/>
      <c r="F237" s="65"/>
      <c r="G237" s="23">
        <f t="shared" si="6"/>
        <v>0</v>
      </c>
      <c r="H237" s="23"/>
      <c r="I237" s="23"/>
      <c r="J237" s="23"/>
    </row>
    <row r="238" spans="1:10" s="3" customFormat="1" ht="330" customHeight="1">
      <c r="A238" s="6" t="s">
        <v>291</v>
      </c>
      <c r="B238" s="25" t="s">
        <v>289</v>
      </c>
      <c r="C238" s="25" t="s">
        <v>3</v>
      </c>
      <c r="D238" s="65" t="s">
        <v>344</v>
      </c>
      <c r="E238" s="71" t="s">
        <v>449</v>
      </c>
      <c r="F238" s="71" t="s">
        <v>448</v>
      </c>
      <c r="G238" s="23">
        <f t="shared" si="6"/>
        <v>2795691.36</v>
      </c>
      <c r="H238" s="23">
        <v>1500000</v>
      </c>
      <c r="I238" s="23">
        <f>810000+485691.36</f>
        <v>1295691.3599999999</v>
      </c>
      <c r="J238" s="23"/>
    </row>
    <row r="239" spans="1:10" s="3" customFormat="1" ht="336" customHeight="1">
      <c r="A239" s="6" t="s">
        <v>292</v>
      </c>
      <c r="B239" s="25" t="s">
        <v>290</v>
      </c>
      <c r="C239" s="25" t="s">
        <v>3</v>
      </c>
      <c r="D239" s="65" t="s">
        <v>345</v>
      </c>
      <c r="E239" s="71" t="s">
        <v>449</v>
      </c>
      <c r="F239" s="71" t="s">
        <v>448</v>
      </c>
      <c r="G239" s="23">
        <f t="shared" si="6"/>
        <v>-810000</v>
      </c>
      <c r="H239" s="23"/>
      <c r="I239" s="23">
        <v>-810000</v>
      </c>
      <c r="J239" s="23"/>
    </row>
    <row r="240" spans="1:10" s="2" customFormat="1" ht="130.5">
      <c r="A240" s="12"/>
      <c r="B240" s="26"/>
      <c r="C240" s="26"/>
      <c r="D240" s="68" t="s">
        <v>177</v>
      </c>
      <c r="E240" s="78"/>
      <c r="F240" s="78"/>
      <c r="G240" s="22">
        <f>SUM(G241:G245)</f>
        <v>5071516.3</v>
      </c>
      <c r="H240" s="22">
        <f>SUM(H241:H245)</f>
        <v>2475266</v>
      </c>
      <c r="I240" s="22">
        <f>SUM(I241:I245)</f>
        <v>2596250.3</v>
      </c>
      <c r="J240" s="22">
        <f>SUM(J241:J245)</f>
        <v>0</v>
      </c>
    </row>
    <row r="241" spans="1:10" ht="180" customHeight="1">
      <c r="A241" s="6" t="s">
        <v>178</v>
      </c>
      <c r="B241" s="25" t="s">
        <v>70</v>
      </c>
      <c r="C241" s="25" t="s">
        <v>2</v>
      </c>
      <c r="D241" s="65" t="s">
        <v>476</v>
      </c>
      <c r="E241" s="65" t="s">
        <v>457</v>
      </c>
      <c r="F241" s="102" t="s">
        <v>346</v>
      </c>
      <c r="G241" s="23">
        <f>H241+I241</f>
        <v>40000</v>
      </c>
      <c r="H241" s="23">
        <v>40000</v>
      </c>
      <c r="I241" s="23"/>
      <c r="J241" s="23"/>
    </row>
    <row r="242" spans="1:10" ht="221.25">
      <c r="A242" s="6" t="s">
        <v>254</v>
      </c>
      <c r="B242" s="25" t="s">
        <v>184</v>
      </c>
      <c r="C242" s="25" t="s">
        <v>204</v>
      </c>
      <c r="D242" s="65" t="s">
        <v>203</v>
      </c>
      <c r="E242" s="65" t="s">
        <v>464</v>
      </c>
      <c r="F242" s="98" t="s">
        <v>524</v>
      </c>
      <c r="G242" s="23">
        <f>H242+I242</f>
        <v>175000</v>
      </c>
      <c r="H242" s="23">
        <v>175000</v>
      </c>
      <c r="I242" s="23"/>
      <c r="J242" s="23"/>
    </row>
    <row r="243" spans="1:10" ht="265.5">
      <c r="A243" s="6" t="s">
        <v>549</v>
      </c>
      <c r="B243" s="25">
        <v>7370</v>
      </c>
      <c r="C243" s="6" t="s">
        <v>4</v>
      </c>
      <c r="D243" s="65" t="s">
        <v>312</v>
      </c>
      <c r="E243" s="65" t="s">
        <v>468</v>
      </c>
      <c r="F243" s="98" t="s">
        <v>525</v>
      </c>
      <c r="G243" s="23">
        <f>H243+I243</f>
        <v>2260266</v>
      </c>
      <c r="H243" s="23">
        <f>900000+1360266</f>
        <v>2260266</v>
      </c>
      <c r="I243" s="23"/>
      <c r="J243" s="23"/>
    </row>
    <row r="244" spans="1:10" s="3" customFormat="1" ht="192" customHeight="1">
      <c r="A244" s="142" t="s">
        <v>242</v>
      </c>
      <c r="B244" s="134" t="s">
        <v>241</v>
      </c>
      <c r="C244" s="134" t="s">
        <v>4</v>
      </c>
      <c r="D244" s="130" t="s">
        <v>257</v>
      </c>
      <c r="E244" s="65" t="s">
        <v>464</v>
      </c>
      <c r="F244" s="98" t="s">
        <v>526</v>
      </c>
      <c r="G244" s="23">
        <f>H244+I244</f>
        <v>223307</v>
      </c>
      <c r="H244" s="23"/>
      <c r="I244" s="23">
        <v>223307</v>
      </c>
      <c r="J244" s="23"/>
    </row>
    <row r="245" spans="1:10" s="3" customFormat="1" ht="247.5" customHeight="1">
      <c r="A245" s="142"/>
      <c r="B245" s="134"/>
      <c r="C245" s="134"/>
      <c r="D245" s="130"/>
      <c r="E245" s="65" t="s">
        <v>468</v>
      </c>
      <c r="F245" s="98" t="s">
        <v>525</v>
      </c>
      <c r="G245" s="23">
        <f>H245+I245</f>
        <v>2372943.3</v>
      </c>
      <c r="H245" s="23"/>
      <c r="I245" s="23">
        <v>2372943.3</v>
      </c>
      <c r="J245" s="23"/>
    </row>
    <row r="246" spans="1:10" s="2" customFormat="1" ht="135.75" customHeight="1">
      <c r="A246" s="12"/>
      <c r="B246" s="26"/>
      <c r="C246" s="26"/>
      <c r="D246" s="68" t="s">
        <v>169</v>
      </c>
      <c r="E246" s="68"/>
      <c r="F246" s="108"/>
      <c r="G246" s="22">
        <f>SUM(G247:G253)</f>
        <v>1718000</v>
      </c>
      <c r="H246" s="22">
        <f>SUM(H247:H253)</f>
        <v>1653000</v>
      </c>
      <c r="I246" s="22">
        <f>SUM(I247:I253)</f>
        <v>65000</v>
      </c>
      <c r="J246" s="22">
        <f>SUM(J247:J253)</f>
        <v>65000</v>
      </c>
    </row>
    <row r="247" spans="1:10" s="2" customFormat="1" ht="177" customHeight="1" hidden="1">
      <c r="A247" s="6" t="s">
        <v>429</v>
      </c>
      <c r="B247" s="25" t="s">
        <v>70</v>
      </c>
      <c r="C247" s="25" t="s">
        <v>2</v>
      </c>
      <c r="D247" s="65" t="s">
        <v>71</v>
      </c>
      <c r="E247" s="65" t="s">
        <v>457</v>
      </c>
      <c r="F247" s="65" t="s">
        <v>349</v>
      </c>
      <c r="G247" s="23">
        <f>H247+I247</f>
        <v>0</v>
      </c>
      <c r="H247" s="23"/>
      <c r="I247" s="22"/>
      <c r="J247" s="22"/>
    </row>
    <row r="248" spans="1:10" ht="240" customHeight="1">
      <c r="A248" s="6" t="s">
        <v>170</v>
      </c>
      <c r="B248" s="25" t="s">
        <v>97</v>
      </c>
      <c r="C248" s="25" t="s">
        <v>24</v>
      </c>
      <c r="D248" s="65" t="s">
        <v>98</v>
      </c>
      <c r="E248" s="71" t="s">
        <v>474</v>
      </c>
      <c r="F248" s="98" t="s">
        <v>527</v>
      </c>
      <c r="G248" s="23">
        <f aca="true" t="shared" si="7" ref="G248:G253">H248+I248</f>
        <v>450000</v>
      </c>
      <c r="H248" s="23">
        <f>550000-400000+300000</f>
        <v>450000</v>
      </c>
      <c r="I248" s="23"/>
      <c r="J248" s="23"/>
    </row>
    <row r="249" spans="1:10" ht="208.5" customHeight="1" hidden="1">
      <c r="A249" s="6" t="s">
        <v>313</v>
      </c>
      <c r="B249" s="25" t="s">
        <v>311</v>
      </c>
      <c r="C249" s="25" t="s">
        <v>4</v>
      </c>
      <c r="D249" s="65" t="s">
        <v>312</v>
      </c>
      <c r="E249" s="71" t="s">
        <v>465</v>
      </c>
      <c r="F249" s="65" t="s">
        <v>442</v>
      </c>
      <c r="G249" s="23">
        <f t="shared" si="7"/>
        <v>0</v>
      </c>
      <c r="H249" s="23"/>
      <c r="I249" s="23"/>
      <c r="J249" s="23"/>
    </row>
    <row r="250" spans="1:10" ht="163.5" customHeight="1">
      <c r="A250" s="6" t="s">
        <v>171</v>
      </c>
      <c r="B250" s="25" t="s">
        <v>88</v>
      </c>
      <c r="C250" s="25" t="s">
        <v>5</v>
      </c>
      <c r="D250" s="65" t="s">
        <v>46</v>
      </c>
      <c r="E250" s="65" t="s">
        <v>459</v>
      </c>
      <c r="F250" s="65" t="s">
        <v>467</v>
      </c>
      <c r="G250" s="23">
        <f t="shared" si="7"/>
        <v>415000</v>
      </c>
      <c r="H250" s="23">
        <v>415000</v>
      </c>
      <c r="I250" s="23"/>
      <c r="J250" s="23"/>
    </row>
    <row r="251" spans="1:10" ht="246" customHeight="1">
      <c r="A251" s="6" t="s">
        <v>219</v>
      </c>
      <c r="B251" s="25" t="s">
        <v>218</v>
      </c>
      <c r="C251" s="25" t="s">
        <v>4</v>
      </c>
      <c r="D251" s="65" t="s">
        <v>220</v>
      </c>
      <c r="E251" s="71" t="s">
        <v>474</v>
      </c>
      <c r="F251" s="98" t="s">
        <v>528</v>
      </c>
      <c r="G251" s="23">
        <f t="shared" si="7"/>
        <v>20000</v>
      </c>
      <c r="H251" s="23"/>
      <c r="I251" s="23">
        <v>20000</v>
      </c>
      <c r="J251" s="23">
        <v>20000</v>
      </c>
    </row>
    <row r="252" spans="1:10" ht="230.25" customHeight="1">
      <c r="A252" s="6" t="s">
        <v>222</v>
      </c>
      <c r="B252" s="25" t="s">
        <v>223</v>
      </c>
      <c r="C252" s="25" t="s">
        <v>4</v>
      </c>
      <c r="D252" s="65" t="s">
        <v>224</v>
      </c>
      <c r="E252" s="71" t="s">
        <v>474</v>
      </c>
      <c r="F252" s="98" t="s">
        <v>529</v>
      </c>
      <c r="G252" s="23">
        <f t="shared" si="7"/>
        <v>45000</v>
      </c>
      <c r="H252" s="23"/>
      <c r="I252" s="23">
        <v>45000</v>
      </c>
      <c r="J252" s="23">
        <v>45000</v>
      </c>
    </row>
    <row r="253" spans="1:10" s="3" customFormat="1" ht="247.5" customHeight="1">
      <c r="A253" s="6" t="s">
        <v>221</v>
      </c>
      <c r="B253" s="25" t="s">
        <v>198</v>
      </c>
      <c r="C253" s="6" t="s">
        <v>4</v>
      </c>
      <c r="D253" s="65" t="s">
        <v>199</v>
      </c>
      <c r="E253" s="71" t="s">
        <v>474</v>
      </c>
      <c r="F253" s="98" t="s">
        <v>530</v>
      </c>
      <c r="G253" s="23">
        <f t="shared" si="7"/>
        <v>788000</v>
      </c>
      <c r="H253" s="23">
        <v>788000</v>
      </c>
      <c r="I253" s="23"/>
      <c r="J253" s="23"/>
    </row>
    <row r="254" spans="1:10" ht="187.5" customHeight="1" hidden="1">
      <c r="A254" s="6" t="s">
        <v>285</v>
      </c>
      <c r="B254" s="25" t="s">
        <v>274</v>
      </c>
      <c r="C254" s="25" t="s">
        <v>26</v>
      </c>
      <c r="D254" s="66" t="s">
        <v>275</v>
      </c>
      <c r="E254" s="65" t="s">
        <v>459</v>
      </c>
      <c r="F254" s="65" t="s">
        <v>402</v>
      </c>
      <c r="G254" s="23">
        <f>H254+I254</f>
        <v>0</v>
      </c>
      <c r="H254" s="23"/>
      <c r="I254" s="23"/>
      <c r="J254" s="23"/>
    </row>
    <row r="255" spans="1:10" s="2" customFormat="1" ht="150.75" customHeight="1">
      <c r="A255" s="12"/>
      <c r="B255" s="26"/>
      <c r="C255" s="26"/>
      <c r="D255" s="68" t="s">
        <v>179</v>
      </c>
      <c r="E255" s="78"/>
      <c r="F255" s="78"/>
      <c r="G255" s="22">
        <f>SUM(G256:G263)</f>
        <v>3250439</v>
      </c>
      <c r="H255" s="22">
        <f>SUM(H256:H263)</f>
        <v>2748439</v>
      </c>
      <c r="I255" s="22">
        <f>SUM(I256:I263)</f>
        <v>502000</v>
      </c>
      <c r="J255" s="22">
        <f>SUM(J256:J263)</f>
        <v>0</v>
      </c>
    </row>
    <row r="256" spans="1:10" s="2" customFormat="1" ht="177" customHeight="1" hidden="1">
      <c r="A256" s="6" t="s">
        <v>430</v>
      </c>
      <c r="B256" s="25" t="s">
        <v>70</v>
      </c>
      <c r="C256" s="25" t="s">
        <v>2</v>
      </c>
      <c r="D256" s="65" t="s">
        <v>71</v>
      </c>
      <c r="E256" s="65" t="s">
        <v>457</v>
      </c>
      <c r="F256" s="65" t="s">
        <v>349</v>
      </c>
      <c r="G256" s="23">
        <f aca="true" t="shared" si="8" ref="G256:G265">H256+I256</f>
        <v>0</v>
      </c>
      <c r="H256" s="23"/>
      <c r="I256" s="22"/>
      <c r="J256" s="22"/>
    </row>
    <row r="257" spans="1:10" s="2" customFormat="1" ht="156.75" customHeight="1">
      <c r="A257" s="6" t="s">
        <v>225</v>
      </c>
      <c r="B257" s="25" t="s">
        <v>82</v>
      </c>
      <c r="C257" s="25" t="s">
        <v>25</v>
      </c>
      <c r="D257" s="65" t="s">
        <v>53</v>
      </c>
      <c r="E257" s="65" t="s">
        <v>440</v>
      </c>
      <c r="F257" s="65" t="s">
        <v>466</v>
      </c>
      <c r="G257" s="23">
        <f t="shared" si="8"/>
        <v>416200</v>
      </c>
      <c r="H257" s="23">
        <f>426000-9800</f>
        <v>416200</v>
      </c>
      <c r="I257" s="23"/>
      <c r="J257" s="23"/>
    </row>
    <row r="258" spans="1:10" s="2" customFormat="1" ht="188.25" customHeight="1">
      <c r="A258" s="6" t="s">
        <v>325</v>
      </c>
      <c r="B258" s="25" t="s">
        <v>198</v>
      </c>
      <c r="C258" s="6" t="s">
        <v>4</v>
      </c>
      <c r="D258" s="65" t="s">
        <v>199</v>
      </c>
      <c r="E258" s="71" t="s">
        <v>465</v>
      </c>
      <c r="F258" s="65" t="s">
        <v>531</v>
      </c>
      <c r="G258" s="23">
        <f t="shared" si="8"/>
        <v>293000</v>
      </c>
      <c r="H258" s="23">
        <f>483750-130750-10000-50000</f>
        <v>293000</v>
      </c>
      <c r="I258" s="23"/>
      <c r="J258" s="23"/>
    </row>
    <row r="259" spans="1:10" s="2" customFormat="1" ht="198.75" customHeight="1">
      <c r="A259" s="6" t="s">
        <v>374</v>
      </c>
      <c r="B259" s="25">
        <v>8330</v>
      </c>
      <c r="C259" s="6" t="s">
        <v>12</v>
      </c>
      <c r="D259" s="65" t="s">
        <v>385</v>
      </c>
      <c r="E259" s="71" t="s">
        <v>465</v>
      </c>
      <c r="F259" s="65" t="s">
        <v>531</v>
      </c>
      <c r="G259" s="23">
        <f t="shared" si="8"/>
        <v>75000</v>
      </c>
      <c r="H259" s="23">
        <v>75000</v>
      </c>
      <c r="I259" s="23"/>
      <c r="J259" s="23"/>
    </row>
    <row r="260" spans="1:10" ht="160.5" customHeight="1">
      <c r="A260" s="6" t="s">
        <v>180</v>
      </c>
      <c r="B260" s="25" t="s">
        <v>78</v>
      </c>
      <c r="C260" s="6" t="s">
        <v>12</v>
      </c>
      <c r="D260" s="65" t="s">
        <v>79</v>
      </c>
      <c r="E260" s="71" t="s">
        <v>451</v>
      </c>
      <c r="F260" s="65" t="s">
        <v>347</v>
      </c>
      <c r="G260" s="23">
        <f t="shared" si="8"/>
        <v>502000</v>
      </c>
      <c r="H260" s="23"/>
      <c r="I260" s="23">
        <f>103000+399000</f>
        <v>502000</v>
      </c>
      <c r="J260" s="23"/>
    </row>
    <row r="261" spans="1:10" ht="194.25" customHeight="1">
      <c r="A261" s="6" t="s">
        <v>386</v>
      </c>
      <c r="B261" s="25">
        <v>8600</v>
      </c>
      <c r="C261" s="6" t="s">
        <v>387</v>
      </c>
      <c r="D261" s="65" t="s">
        <v>388</v>
      </c>
      <c r="E261" s="71" t="s">
        <v>465</v>
      </c>
      <c r="F261" s="65" t="s">
        <v>531</v>
      </c>
      <c r="G261" s="23">
        <f t="shared" si="8"/>
        <v>1964239</v>
      </c>
      <c r="H261" s="23">
        <f>1833489+130750</f>
        <v>1964239</v>
      </c>
      <c r="I261" s="23"/>
      <c r="J261" s="23"/>
    </row>
    <row r="262" spans="1:10" ht="182.25" customHeight="1">
      <c r="A262" s="6" t="s">
        <v>375</v>
      </c>
      <c r="B262" s="25">
        <v>8881</v>
      </c>
      <c r="C262" s="6" t="s">
        <v>4</v>
      </c>
      <c r="D262" s="65" t="s">
        <v>377</v>
      </c>
      <c r="E262" s="71" t="s">
        <v>465</v>
      </c>
      <c r="F262" s="65" t="s">
        <v>531</v>
      </c>
      <c r="G262" s="23">
        <f t="shared" si="8"/>
        <v>1112506</v>
      </c>
      <c r="H262" s="23"/>
      <c r="I262" s="23">
        <v>1112506</v>
      </c>
      <c r="J262" s="23">
        <v>1112506</v>
      </c>
    </row>
    <row r="263" spans="1:10" ht="185.25" customHeight="1">
      <c r="A263" s="6" t="s">
        <v>376</v>
      </c>
      <c r="B263" s="25">
        <v>8882</v>
      </c>
      <c r="C263" s="6" t="s">
        <v>4</v>
      </c>
      <c r="D263" s="65" t="s">
        <v>378</v>
      </c>
      <c r="E263" s="71" t="s">
        <v>465</v>
      </c>
      <c r="F263" s="65" t="s">
        <v>531</v>
      </c>
      <c r="G263" s="23">
        <f t="shared" si="8"/>
        <v>-1112506</v>
      </c>
      <c r="H263" s="23"/>
      <c r="I263" s="23">
        <v>-1112506</v>
      </c>
      <c r="J263" s="23">
        <v>-1112506</v>
      </c>
    </row>
    <row r="264" spans="1:10" ht="409.5" customHeight="1" hidden="1">
      <c r="A264" s="6" t="s">
        <v>363</v>
      </c>
      <c r="B264" s="29" t="s">
        <v>365</v>
      </c>
      <c r="C264" s="29" t="s">
        <v>26</v>
      </c>
      <c r="D264" s="31" t="s">
        <v>364</v>
      </c>
      <c r="E264" s="9" t="s">
        <v>465</v>
      </c>
      <c r="F264" s="65" t="s">
        <v>442</v>
      </c>
      <c r="G264" s="23">
        <f t="shared" si="8"/>
        <v>0</v>
      </c>
      <c r="H264" s="23"/>
      <c r="I264" s="23"/>
      <c r="J264" s="23"/>
    </row>
    <row r="265" spans="1:10" ht="177" customHeight="1" hidden="1">
      <c r="A265" s="6" t="s">
        <v>262</v>
      </c>
      <c r="B265" s="25" t="s">
        <v>76</v>
      </c>
      <c r="C265" s="25" t="s">
        <v>26</v>
      </c>
      <c r="D265" s="7" t="s">
        <v>77</v>
      </c>
      <c r="E265" s="9" t="s">
        <v>465</v>
      </c>
      <c r="F265" s="65" t="s">
        <v>442</v>
      </c>
      <c r="G265" s="23">
        <f t="shared" si="8"/>
        <v>0</v>
      </c>
      <c r="H265" s="23"/>
      <c r="I265" s="23"/>
      <c r="J265" s="23"/>
    </row>
    <row r="266" spans="1:10" s="18" customFormat="1" ht="63" customHeight="1">
      <c r="A266" s="17"/>
      <c r="B266" s="141" t="s">
        <v>396</v>
      </c>
      <c r="C266" s="141"/>
      <c r="D266" s="141"/>
      <c r="E266" s="141"/>
      <c r="F266" s="109"/>
      <c r="G266" s="47">
        <f>G17+G66+G114+G136+G158+G162+G171+G212+G214+G240+G246+G255</f>
        <v>2531942181.08</v>
      </c>
      <c r="H266" s="47">
        <f>H17+H66+H114+H136+H158+H162+H171+H212+H214+H240+H246+H255</f>
        <v>1807807250.81</v>
      </c>
      <c r="I266" s="47">
        <f>I17+I66+I114+I136+I158+I162+I171+I212+I214+I240+I246+I255</f>
        <v>724134930.27</v>
      </c>
      <c r="J266" s="47">
        <f>J17+J66+J114+J136+J158+J162+J171+J212+J214+J240+J246+J255</f>
        <v>659877495.39</v>
      </c>
    </row>
    <row r="267" spans="1:10" ht="156.75" customHeight="1">
      <c r="A267" s="60"/>
      <c r="B267" s="50"/>
      <c r="C267" s="50"/>
      <c r="D267" s="7"/>
      <c r="E267" s="7" t="s">
        <v>457</v>
      </c>
      <c r="F267" s="102" t="s">
        <v>346</v>
      </c>
      <c r="G267" s="32">
        <f>G18+G32+G33+G52+G56+G67+G115+G137+G163+G172+G213+G215+G241+G247+G256</f>
        <v>5642307</v>
      </c>
      <c r="H267" s="32">
        <f>H18+H32+H33+H52+H56+H67+H115+H137+H163+H172+H213+H215+H241+H247+H256</f>
        <v>5642307</v>
      </c>
      <c r="I267" s="32">
        <f>I18+I32+I33+I52+I56+I67+I115+I137+I163+I172+I213+I215+I241+I247+I256</f>
        <v>0</v>
      </c>
      <c r="J267" s="32">
        <f>J18+J32+J33+J52+J56+J67+J115+J137+J163+J172+J213+J215+J241+J247+J256</f>
        <v>0</v>
      </c>
    </row>
    <row r="268" spans="1:10" ht="177" customHeight="1" hidden="1">
      <c r="A268" s="60"/>
      <c r="B268" s="50"/>
      <c r="C268" s="50"/>
      <c r="D268" s="7"/>
      <c r="E268" s="7" t="s">
        <v>443</v>
      </c>
      <c r="F268" s="102" t="str">
        <f>F19</f>
        <v>Проєкт</v>
      </c>
      <c r="G268" s="15">
        <f>G19</f>
        <v>0</v>
      </c>
      <c r="H268" s="15">
        <f>H19</f>
        <v>0</v>
      </c>
      <c r="I268" s="15">
        <f>I19</f>
        <v>0</v>
      </c>
      <c r="J268" s="15">
        <f>J19</f>
        <v>0</v>
      </c>
    </row>
    <row r="269" spans="1:10" ht="144.75" customHeight="1">
      <c r="A269" s="60"/>
      <c r="B269" s="50"/>
      <c r="C269" s="50"/>
      <c r="D269" s="56"/>
      <c r="E269" s="7" t="s">
        <v>454</v>
      </c>
      <c r="F269" s="65" t="s">
        <v>355</v>
      </c>
      <c r="G269" s="32">
        <f>G22+G24+G68+G71+G74+G76+G77+G81+G82+G83+G84+G85+G86+G87+G92+G99+G108+G110+G79+G93+G80+G91+G90+G75+G78+G88+G89+G101+G109</f>
        <v>1222481543.41</v>
      </c>
      <c r="H269" s="32">
        <f>H22+H24+H68+H71+H74+H76+H77+H81+H82+H83+H84+H85+H86+H87+H92+H99+H108+H110+H79+H93+H80+H91+H90+H75+H78+H88+H89+H101+H109</f>
        <v>1132070995.23</v>
      </c>
      <c r="I269" s="32">
        <f>I22+I24+I68+I71+I74+I76+I77+I81+I82+I83+I84+I85+I86+I87+I92+I99+I108+I110+I79+I93+I80+I91+I90+I75+I78+I88+I89+I101+I109</f>
        <v>90410548.18</v>
      </c>
      <c r="J269" s="32">
        <f>J22+J24+J68+J71+J74+J76+J77+J81+J82+J83+J84+J85+J86+J87+J92+J99+J108+J110+J79+J93+J80+J91+J90+J75+J78+J88+J89+J101+J109</f>
        <v>50027098.18</v>
      </c>
    </row>
    <row r="270" spans="1:10" ht="145.5" customHeight="1">
      <c r="A270" s="60"/>
      <c r="B270" s="50"/>
      <c r="C270" s="50"/>
      <c r="D270" s="56"/>
      <c r="E270" s="9" t="s">
        <v>446</v>
      </c>
      <c r="F270" s="65" t="s">
        <v>496</v>
      </c>
      <c r="G270" s="32">
        <f>G116+G118+G119+G121+G123+G124+G126+G127+G129+G135+G125+G130</f>
        <v>206601411.82</v>
      </c>
      <c r="H270" s="32">
        <f>H116+H118+H119+H121+H123+H124+H126+H127+H129+H135+H125+H130</f>
        <v>87806607.4</v>
      </c>
      <c r="I270" s="32">
        <f>I116+I118+I119+I121+I123+I124+I126+I127+I129+I135+I125+I130</f>
        <v>118794804.41999999</v>
      </c>
      <c r="J270" s="32">
        <f>J116+J118+J119+J121+J123+J124+J126+J127+J129+J135+J125+J130</f>
        <v>118794804.41999999</v>
      </c>
    </row>
    <row r="271" spans="1:10" ht="189.75" customHeight="1">
      <c r="A271" s="60"/>
      <c r="B271" s="50"/>
      <c r="C271" s="50"/>
      <c r="D271" s="56"/>
      <c r="E271" s="7" t="s">
        <v>464</v>
      </c>
      <c r="F271" s="98" t="s">
        <v>532</v>
      </c>
      <c r="G271" s="32">
        <f>G173+G175+G176+G179+G180+G181+G182+G184+G187+G189+G192+G194+G195+G197+G199+G202+G203+G205+G207+G209+G211+G216+G233+G242+G244+G198+G200+G210</f>
        <v>458710111.63</v>
      </c>
      <c r="H271" s="32">
        <f>H173+H175+H176+H179+H180+H181+H182+H184+H187+H189+H192+H194+H195+H197+H199+H202+H203+H205+H207+H209+H211+H216+H233+H242+H244+H198+H200+H210</f>
        <v>308975184.9</v>
      </c>
      <c r="I271" s="32">
        <f>I173+I175+I176+I179+I180+I181+I182+I184+I187+I189+I192+I194+I195+I197+I199+I202+I203+I205+I207+I209+I211+I216+I233+I242+I244+I198+I200+I210</f>
        <v>149734926.73</v>
      </c>
      <c r="J271" s="32">
        <f>J173+J175+J176+J179+J180+J181+J182+J184+J187+J189+J192+J194+J195+J197+J199+J202+J203+J205+J207+J209+J211+J216+J233+J242+J244+J198+J200+J210</f>
        <v>145484453.16</v>
      </c>
    </row>
    <row r="272" spans="1:10" ht="240.75" customHeight="1">
      <c r="A272" s="60"/>
      <c r="B272" s="50"/>
      <c r="C272" s="50"/>
      <c r="D272" s="56"/>
      <c r="E272" s="9" t="s">
        <v>474</v>
      </c>
      <c r="F272" s="98" t="s">
        <v>533</v>
      </c>
      <c r="G272" s="32">
        <f>G248+G251+G252+G253</f>
        <v>1303000</v>
      </c>
      <c r="H272" s="32">
        <f>H248+H251+H252+H253</f>
        <v>1238000</v>
      </c>
      <c r="I272" s="32">
        <f>I248+I251+I252+I253</f>
        <v>65000</v>
      </c>
      <c r="J272" s="32">
        <f>J248+J251+J252+J253</f>
        <v>65000</v>
      </c>
    </row>
    <row r="273" spans="1:10" ht="138.75" customHeight="1">
      <c r="A273" s="60"/>
      <c r="B273" s="50"/>
      <c r="C273" s="50"/>
      <c r="D273" s="56"/>
      <c r="E273" s="7" t="s">
        <v>400</v>
      </c>
      <c r="F273" s="102" t="s">
        <v>359</v>
      </c>
      <c r="G273" s="32">
        <f>G54+G63</f>
        <v>2102455</v>
      </c>
      <c r="H273" s="32">
        <f>H54+H59+H63</f>
        <v>1302455</v>
      </c>
      <c r="I273" s="32">
        <f>I54+I59+I63</f>
        <v>800000</v>
      </c>
      <c r="J273" s="32">
        <f>J54+J59+J63</f>
        <v>800000</v>
      </c>
    </row>
    <row r="274" spans="1:10" ht="147" customHeight="1">
      <c r="A274" s="60"/>
      <c r="B274" s="50"/>
      <c r="C274" s="50"/>
      <c r="D274" s="56"/>
      <c r="E274" s="7" t="s">
        <v>450</v>
      </c>
      <c r="F274" s="102" t="s">
        <v>417</v>
      </c>
      <c r="G274" s="32">
        <f>G41+G42+G44+G45+G49+G43</f>
        <v>80237096</v>
      </c>
      <c r="H274" s="32">
        <f>H41+H42+H44+H45+H49+H43</f>
        <v>61239196</v>
      </c>
      <c r="I274" s="32">
        <f>I41+I42+I44+I45+I49+I43</f>
        <v>18997900</v>
      </c>
      <c r="J274" s="32">
        <f>J41+J42+J44+J45+J49+J43</f>
        <v>18997900</v>
      </c>
    </row>
    <row r="275" spans="1:10" ht="186.75" customHeight="1">
      <c r="A275" s="60"/>
      <c r="B275" s="50"/>
      <c r="C275" s="50"/>
      <c r="D275" s="56"/>
      <c r="E275" s="7" t="s">
        <v>453</v>
      </c>
      <c r="F275" s="65" t="s">
        <v>463</v>
      </c>
      <c r="G275" s="32">
        <f>G46+G201</f>
        <v>10400000</v>
      </c>
      <c r="H275" s="32">
        <f>H46+H201</f>
        <v>7250000</v>
      </c>
      <c r="I275" s="32">
        <f>I46+I201</f>
        <v>3150000</v>
      </c>
      <c r="J275" s="32">
        <f>J46+J201</f>
        <v>3150000</v>
      </c>
    </row>
    <row r="276" spans="1:10" ht="132.75" customHeight="1">
      <c r="A276" s="60"/>
      <c r="B276" s="50"/>
      <c r="C276" s="50"/>
      <c r="D276" s="56"/>
      <c r="E276" s="7" t="s">
        <v>441</v>
      </c>
      <c r="F276" s="102" t="s">
        <v>348</v>
      </c>
      <c r="G276" s="32">
        <f>G29+G69+G72+G139+G140+G141+G142+G143+G144+G145+G146+G148+G150+G151+G153+G156+G95</f>
        <v>79827478.55</v>
      </c>
      <c r="H276" s="32">
        <f>H29+H69+H72+H139+H140+H141+H142+H143+H144+H145+H146+H148+H150+H151+H153+H156+H95</f>
        <v>79770478.55</v>
      </c>
      <c r="I276" s="32">
        <f>I29+I69+I72+I139+I140+I141+I142+I143+I144+I145+I146+I148+I150+I151+I153+I156+I95</f>
        <v>57000</v>
      </c>
      <c r="J276" s="32">
        <f>J29+J69+J72+J139+J140+J141+J142+J143+J144+J145+J146+J148+J150+J151+J153+J156+J95</f>
        <v>57000</v>
      </c>
    </row>
    <row r="277" spans="1:10" ht="148.5" customHeight="1">
      <c r="A277" s="60"/>
      <c r="B277" s="50"/>
      <c r="C277" s="50"/>
      <c r="D277" s="56"/>
      <c r="E277" s="7" t="s">
        <v>456</v>
      </c>
      <c r="F277" s="102" t="s">
        <v>368</v>
      </c>
      <c r="G277" s="33">
        <f>G21</f>
        <v>100000</v>
      </c>
      <c r="H277" s="33">
        <f>H21</f>
        <v>100000</v>
      </c>
      <c r="I277" s="33">
        <f>I21</f>
        <v>0</v>
      </c>
      <c r="J277" s="33">
        <f>J21</f>
        <v>0</v>
      </c>
    </row>
    <row r="278" spans="1:10" ht="143.25" customHeight="1">
      <c r="A278" s="60"/>
      <c r="B278" s="50"/>
      <c r="C278" s="50"/>
      <c r="D278" s="56"/>
      <c r="E278" s="7" t="s">
        <v>461</v>
      </c>
      <c r="F278" s="65" t="s">
        <v>357</v>
      </c>
      <c r="G278" s="33">
        <f>G164+G165+G166+G167+G168</f>
        <v>2968687</v>
      </c>
      <c r="H278" s="33">
        <f>H164+H165+H166+H167+H168</f>
        <v>2171187</v>
      </c>
      <c r="I278" s="33">
        <f>I164+I165+I166+I167+I168</f>
        <v>797500</v>
      </c>
      <c r="J278" s="33">
        <f>J164+J165+J166+J167+J168</f>
        <v>797500</v>
      </c>
    </row>
    <row r="279" spans="1:10" ht="141.75" customHeight="1">
      <c r="A279" s="60"/>
      <c r="B279" s="50"/>
      <c r="C279" s="50"/>
      <c r="D279" s="56"/>
      <c r="E279" s="7" t="s">
        <v>471</v>
      </c>
      <c r="F279" s="102" t="s">
        <v>431</v>
      </c>
      <c r="G279" s="32">
        <f>G25+G28</f>
        <v>1668992</v>
      </c>
      <c r="H279" s="32">
        <f>H25+H28</f>
        <v>1668992</v>
      </c>
      <c r="I279" s="32">
        <f>I25+I28</f>
        <v>0</v>
      </c>
      <c r="J279" s="32">
        <f>J25+J28</f>
        <v>0</v>
      </c>
    </row>
    <row r="280" spans="1:10" s="37" customFormat="1" ht="147.75" customHeight="1">
      <c r="A280" s="60"/>
      <c r="B280" s="51"/>
      <c r="C280" s="50"/>
      <c r="D280" s="57"/>
      <c r="E280" s="7" t="s">
        <v>472</v>
      </c>
      <c r="F280" s="102" t="s">
        <v>473</v>
      </c>
      <c r="G280" s="32">
        <f>G97+G159+G160+G161+G218</f>
        <v>271680</v>
      </c>
      <c r="H280" s="32">
        <f>H97+H159+H160+H161+H218</f>
        <v>238480</v>
      </c>
      <c r="I280" s="32">
        <f>I97+I159+I160+I161+I218</f>
        <v>33200</v>
      </c>
      <c r="J280" s="32">
        <f>J97+J159+J160+J161+J218</f>
        <v>33200</v>
      </c>
    </row>
    <row r="281" spans="1:10" ht="248.25" customHeight="1">
      <c r="A281" s="60"/>
      <c r="B281" s="50"/>
      <c r="C281" s="50"/>
      <c r="D281" s="56"/>
      <c r="E281" s="7" t="s">
        <v>460</v>
      </c>
      <c r="F281" s="102" t="s">
        <v>389</v>
      </c>
      <c r="G281" s="32">
        <f>G53+G206</f>
        <v>2359245.87</v>
      </c>
      <c r="H281" s="32">
        <f>H53+H206</f>
        <v>960981.21</v>
      </c>
      <c r="I281" s="32">
        <f>I53+I206</f>
        <v>1398264.66</v>
      </c>
      <c r="J281" s="32">
        <f>J53+J206</f>
        <v>1398264.66</v>
      </c>
    </row>
    <row r="282" spans="1:10" ht="113.25" customHeight="1">
      <c r="A282" s="60"/>
      <c r="B282" s="50"/>
      <c r="C282" s="50"/>
      <c r="D282" s="56"/>
      <c r="E282" s="7" t="s">
        <v>416</v>
      </c>
      <c r="F282" s="102" t="s">
        <v>356</v>
      </c>
      <c r="G282" s="32">
        <f>G23+G26+G27+G31+G94</f>
        <v>4051250</v>
      </c>
      <c r="H282" s="32">
        <f>H23+H26+H27+H31+H94</f>
        <v>4051250</v>
      </c>
      <c r="I282" s="32">
        <f>I23+I26+I27+I31+I94</f>
        <v>0</v>
      </c>
      <c r="J282" s="32">
        <f>J23+J26+J27+J31+J94</f>
        <v>0</v>
      </c>
    </row>
    <row r="283" spans="1:10" ht="256.5" customHeight="1">
      <c r="A283" s="60"/>
      <c r="B283" s="50"/>
      <c r="C283" s="50"/>
      <c r="D283" s="56"/>
      <c r="E283" s="7" t="s">
        <v>455</v>
      </c>
      <c r="F283" s="102" t="s">
        <v>399</v>
      </c>
      <c r="G283" s="32">
        <f>G20</f>
        <v>296000</v>
      </c>
      <c r="H283" s="32">
        <f>H20</f>
        <v>296000</v>
      </c>
      <c r="I283" s="32">
        <f>I20</f>
        <v>0</v>
      </c>
      <c r="J283" s="32">
        <f>J20</f>
        <v>0</v>
      </c>
    </row>
    <row r="284" spans="1:10" ht="186" customHeight="1">
      <c r="A284" s="60"/>
      <c r="B284" s="50"/>
      <c r="C284" s="50"/>
      <c r="D284" s="56"/>
      <c r="E284" s="9" t="s">
        <v>465</v>
      </c>
      <c r="F284" s="65" t="s">
        <v>499</v>
      </c>
      <c r="G284" s="32">
        <f>G50+G62+G111+G152+G185+G217+G220+G221+G222+G223+G224+G225+G226+G228+G229+G231+G232+G234+G236+G249+G258+G259+G261+G262+G263+G264+G265+G57</f>
        <v>58464684.37</v>
      </c>
      <c r="H284" s="32">
        <f>H50+H62+H111+H152+H185+H217+H220+H221+H222+H223+H224+H225+H226+H228+H229+H231+H232+H234+H236+H249+H258+H259+H261+H262+H263+H264+H265+H57</f>
        <v>5269086.970000001</v>
      </c>
      <c r="I284" s="32">
        <f>I50+I62+I111+I152+I185+I217+I220+I221+I222+I223+I224+I225+I226+I228+I229+I231+I232+I234+I236+I249+I258+I259+I261+I262+I263+I264+I265+I57</f>
        <v>53195597.4</v>
      </c>
      <c r="J284" s="32">
        <f>J50+J62+J111+J152+J185+J217+J220+J221+J222+J223+J224+J225+J226+J228+J229+J231+J232+J234+J236+J249+J258+J259+J261+J262+J263+J264+J265+J57</f>
        <v>53195597.4</v>
      </c>
    </row>
    <row r="285" spans="1:10" ht="132.75" customHeight="1" hidden="1">
      <c r="A285" s="60"/>
      <c r="B285" s="50"/>
      <c r="C285" s="50"/>
      <c r="D285" s="56"/>
      <c r="E285" s="7" t="s">
        <v>462</v>
      </c>
      <c r="F285" s="65" t="s">
        <v>418</v>
      </c>
      <c r="G285" s="32">
        <f>G174</f>
        <v>0</v>
      </c>
      <c r="H285" s="32">
        <f>H174</f>
        <v>0</v>
      </c>
      <c r="I285" s="32">
        <f>I174</f>
        <v>0</v>
      </c>
      <c r="J285" s="32">
        <f>J174</f>
        <v>0</v>
      </c>
    </row>
    <row r="286" spans="1:10" ht="333" customHeight="1">
      <c r="A286" s="60"/>
      <c r="B286" s="50"/>
      <c r="C286" s="50"/>
      <c r="D286" s="56"/>
      <c r="E286" s="9" t="s">
        <v>449</v>
      </c>
      <c r="F286" s="71" t="s">
        <v>448</v>
      </c>
      <c r="G286" s="32">
        <f>G219+G238+G239</f>
        <v>2057040.0099999998</v>
      </c>
      <c r="H286" s="32">
        <f>H219+H238+H239</f>
        <v>1500000</v>
      </c>
      <c r="I286" s="32">
        <f>I219+I238+I239</f>
        <v>557040.0099999998</v>
      </c>
      <c r="J286" s="32">
        <f>J219+J238+J239</f>
        <v>0</v>
      </c>
    </row>
    <row r="287" spans="1:10" ht="330" customHeight="1">
      <c r="A287" s="60"/>
      <c r="B287" s="50"/>
      <c r="C287" s="50"/>
      <c r="D287" s="56"/>
      <c r="E287" s="7" t="s">
        <v>435</v>
      </c>
      <c r="F287" s="65" t="s">
        <v>419</v>
      </c>
      <c r="G287" s="32">
        <f>G186</f>
        <v>614964</v>
      </c>
      <c r="H287" s="32">
        <f>H186</f>
        <v>614964</v>
      </c>
      <c r="I287" s="32">
        <f>I186</f>
        <v>0</v>
      </c>
      <c r="J287" s="32">
        <f>J186</f>
        <v>0</v>
      </c>
    </row>
    <row r="288" spans="1:10" ht="141.75" customHeight="1">
      <c r="A288" s="60"/>
      <c r="B288" s="50"/>
      <c r="C288" s="50"/>
      <c r="D288" s="56"/>
      <c r="E288" s="9" t="s">
        <v>451</v>
      </c>
      <c r="F288" s="65" t="s">
        <v>347</v>
      </c>
      <c r="G288" s="32">
        <f>G55+G107+G134+G170+G177+G183+G188+G190+G193+G196+G204+G208+G227+G260+G230</f>
        <v>68632030</v>
      </c>
      <c r="H288" s="32">
        <f>H55+H107+H134+H170+H177+H183+H188+H190+H193+H196+H204+H208+H227+H260+H230</f>
        <v>0</v>
      </c>
      <c r="I288" s="32">
        <f>I55+I107+I134+I170+I177+I183+I188+I190+I193+I196+I204+I208+I227+I260+I230</f>
        <v>68632030</v>
      </c>
      <c r="J288" s="32">
        <f>J55+J107+J134+J170+J177+J183+J188+J190+J193+J196+J204+J208+J227+J260+J230</f>
        <v>64305430</v>
      </c>
    </row>
    <row r="289" spans="1:10" ht="151.5" customHeight="1">
      <c r="A289" s="60"/>
      <c r="B289" s="50"/>
      <c r="C289" s="50"/>
      <c r="D289" s="56"/>
      <c r="E289" s="7" t="str">
        <f>E154</f>
        <v>Програма Сумської міської територіальної громади «Соціальна підтримка захисників України та членів їх сімей» на 2020-2022 роки»</v>
      </c>
      <c r="F289" s="102" t="s">
        <v>407</v>
      </c>
      <c r="G289" s="32">
        <f>G30+G70+G112+G117+G120+G122+G128+G147+G149+G154+G157+G73+G96</f>
        <v>36015016</v>
      </c>
      <c r="H289" s="32">
        <f>H30+H70+H112+H117+H120+H122+H128+H147+H149+H154+H157+H73+H96</f>
        <v>36015016</v>
      </c>
      <c r="I289" s="32">
        <f>I30+I70+I112+I117+I120+I122+I128+I147+I149+I154+I157+I73+I96</f>
        <v>0</v>
      </c>
      <c r="J289" s="32">
        <f>J30+J70+J112+J117+J120+J122+J128+J147+J149+J154+J157+J73+J96</f>
        <v>0</v>
      </c>
    </row>
    <row r="290" spans="1:10" ht="163.5" customHeight="1">
      <c r="A290" s="60"/>
      <c r="B290" s="50"/>
      <c r="C290" s="50"/>
      <c r="D290" s="56"/>
      <c r="E290" s="7" t="s">
        <v>440</v>
      </c>
      <c r="F290" s="65" t="s">
        <v>466</v>
      </c>
      <c r="G290" s="32">
        <f>G48+G51+G103+G105+G132+G133+G169+G235+G257+G106+G100+G131</f>
        <v>171843716.12</v>
      </c>
      <c r="H290" s="32">
        <f>H48+H51+H103+H105+H132+H133+H169+H235+H257+H106+H100+H131</f>
        <v>2326384.55</v>
      </c>
      <c r="I290" s="32">
        <f>I48+I51+I103+I105+I132+I133+I169+I235+I257+I106+I100+I131</f>
        <v>169517331.57</v>
      </c>
      <c r="J290" s="32">
        <f>J48+J51+J103+J105+J132+J133+J169+J235+J257+J106+J100+J131</f>
        <v>157413397.57</v>
      </c>
    </row>
    <row r="291" spans="1:10" ht="232.5" customHeight="1">
      <c r="A291" s="60"/>
      <c r="B291" s="50"/>
      <c r="C291" s="50"/>
      <c r="D291" s="56"/>
      <c r="E291" s="7" t="s">
        <v>468</v>
      </c>
      <c r="F291" s="65" t="s">
        <v>509</v>
      </c>
      <c r="G291" s="32">
        <f>G243+G245</f>
        <v>4633209.3</v>
      </c>
      <c r="H291" s="32">
        <f>H243+H245</f>
        <v>2260266</v>
      </c>
      <c r="I291" s="32">
        <f>I243+I245</f>
        <v>2372943.3</v>
      </c>
      <c r="J291" s="32">
        <f>J243+J245</f>
        <v>0</v>
      </c>
    </row>
    <row r="292" spans="1:10" ht="142.5" customHeight="1">
      <c r="A292" s="60"/>
      <c r="B292" s="50"/>
      <c r="C292" s="50"/>
      <c r="D292" s="56"/>
      <c r="E292" s="7" t="s">
        <v>458</v>
      </c>
      <c r="F292" s="102" t="s">
        <v>358</v>
      </c>
      <c r="G292" s="32">
        <f>G34+G35+G36+G37+G38+G39+G40+G98</f>
        <v>75604733</v>
      </c>
      <c r="H292" s="32">
        <f>H34+H35+H36+H37+H38+H39+H40+H98</f>
        <v>63498939</v>
      </c>
      <c r="I292" s="32">
        <f>I34+I35+I36+I37+I38+I39+I40+I98</f>
        <v>12105794</v>
      </c>
      <c r="J292" s="32">
        <f>J34+J35+J36+J37+J38+J39+J40+J98</f>
        <v>11892800</v>
      </c>
    </row>
    <row r="293" spans="1:10" ht="152.25" customHeight="1">
      <c r="A293" s="60"/>
      <c r="B293" s="50"/>
      <c r="C293" s="50"/>
      <c r="D293" s="56"/>
      <c r="E293" s="9" t="s">
        <v>397</v>
      </c>
      <c r="F293" s="65" t="s">
        <v>398</v>
      </c>
      <c r="G293" s="32">
        <f>G178</f>
        <v>33631030</v>
      </c>
      <c r="H293" s="32">
        <f>H178</f>
        <v>115980</v>
      </c>
      <c r="I293" s="32">
        <f>I178</f>
        <v>33515050</v>
      </c>
      <c r="J293" s="32">
        <f>J178</f>
        <v>33465050</v>
      </c>
    </row>
    <row r="294" spans="1:10" ht="148.5" customHeight="1">
      <c r="A294" s="60"/>
      <c r="B294" s="50"/>
      <c r="C294" s="50"/>
      <c r="D294" s="56"/>
      <c r="E294" s="7" t="s">
        <v>459</v>
      </c>
      <c r="F294" s="65" t="s">
        <v>467</v>
      </c>
      <c r="G294" s="32">
        <f>G47+G250+G254</f>
        <v>475000</v>
      </c>
      <c r="H294" s="32">
        <f>H47+H250+H254</f>
        <v>475000</v>
      </c>
      <c r="I294" s="32">
        <f>I47+I250+I254</f>
        <v>0</v>
      </c>
      <c r="J294" s="32">
        <f>J47+J250+J254</f>
        <v>0</v>
      </c>
    </row>
    <row r="295" ht="38.25" customHeight="1" hidden="1"/>
    <row r="296" ht="38.25" customHeight="1" hidden="1"/>
    <row r="297" ht="38.25" customHeight="1" hidden="1"/>
    <row r="298" spans="1:10" s="35" customFormat="1" ht="43.5" customHeight="1" hidden="1">
      <c r="A298" s="52"/>
      <c r="B298" s="52"/>
      <c r="C298" s="52"/>
      <c r="D298" s="58"/>
      <c r="E298" s="34"/>
      <c r="F298" s="110"/>
      <c r="G298" s="36" t="e">
        <f>G266-#REF!</f>
        <v>#REF!</v>
      </c>
      <c r="H298" s="36" t="e">
        <f>H266-#REF!</f>
        <v>#REF!</v>
      </c>
      <c r="I298" s="36" t="e">
        <f>I266-#REF!</f>
        <v>#REF!</v>
      </c>
      <c r="J298" s="36" t="e">
        <f>J266-#REF!</f>
        <v>#REF!</v>
      </c>
    </row>
    <row r="299" ht="38.25" customHeight="1" hidden="1"/>
    <row r="300" spans="1:10" ht="377.25" customHeight="1">
      <c r="A300" s="50"/>
      <c r="B300" s="50"/>
      <c r="C300" s="50"/>
      <c r="D300" s="56"/>
      <c r="E300" s="65" t="s">
        <v>535</v>
      </c>
      <c r="F300" s="65" t="s">
        <v>548</v>
      </c>
      <c r="G300" s="32">
        <f>G64</f>
        <v>610000</v>
      </c>
      <c r="H300" s="32">
        <f>H64</f>
        <v>610000</v>
      </c>
      <c r="I300" s="32">
        <f>I64</f>
        <v>0</v>
      </c>
      <c r="J300" s="32">
        <f>J64</f>
        <v>0</v>
      </c>
    </row>
    <row r="301" spans="1:10" s="3" customFormat="1" ht="146.25" customHeight="1">
      <c r="A301" s="50"/>
      <c r="B301" s="50"/>
      <c r="C301" s="50"/>
      <c r="D301" s="56"/>
      <c r="E301" s="9" t="s">
        <v>445</v>
      </c>
      <c r="F301" s="102" t="s">
        <v>444</v>
      </c>
      <c r="G301" s="23">
        <f>G155</f>
        <v>300000</v>
      </c>
      <c r="H301" s="23">
        <f>H155</f>
        <v>300000</v>
      </c>
      <c r="I301" s="23">
        <f>I155</f>
        <v>0</v>
      </c>
      <c r="J301" s="23">
        <f>J155</f>
        <v>0</v>
      </c>
    </row>
    <row r="302" spans="1:10" s="3" customFormat="1" ht="219" customHeight="1">
      <c r="A302" s="50"/>
      <c r="B302" s="50"/>
      <c r="C302" s="50"/>
      <c r="D302" s="56"/>
      <c r="E302" s="7" t="s">
        <v>512</v>
      </c>
      <c r="F302" s="102" t="s">
        <v>513</v>
      </c>
      <c r="G302" s="32">
        <f>G138</f>
        <v>39500</v>
      </c>
      <c r="H302" s="32">
        <f>H138</f>
        <v>39500</v>
      </c>
      <c r="I302" s="32">
        <f>I138</f>
        <v>0</v>
      </c>
      <c r="J302" s="32">
        <f>J138</f>
        <v>0</v>
      </c>
    </row>
    <row r="303" spans="1:10" ht="70.5" customHeight="1">
      <c r="A303" s="53"/>
      <c r="B303" s="53"/>
      <c r="C303" s="53"/>
      <c r="D303" s="59"/>
      <c r="E303" s="43"/>
      <c r="F303" s="111"/>
      <c r="G303" s="83"/>
      <c r="H303" s="83"/>
      <c r="I303" s="83"/>
      <c r="J303" s="83"/>
    </row>
    <row r="304" spans="1:10" s="101" customFormat="1" ht="65.25" customHeight="1">
      <c r="A304" s="53"/>
      <c r="B304" s="53"/>
      <c r="C304" s="53"/>
      <c r="D304" s="53"/>
      <c r="E304" s="99"/>
      <c r="F304" s="112"/>
      <c r="G304" s="100"/>
      <c r="H304" s="100"/>
      <c r="I304" s="100"/>
      <c r="J304" s="100"/>
    </row>
    <row r="305" spans="1:10" s="101" customFormat="1" ht="60" customHeight="1">
      <c r="A305" s="53"/>
      <c r="B305" s="53"/>
      <c r="C305" s="53"/>
      <c r="D305" s="53"/>
      <c r="E305" s="99"/>
      <c r="F305" s="113"/>
      <c r="G305" s="100"/>
      <c r="H305" s="100"/>
      <c r="I305" s="100"/>
      <c r="J305" s="100"/>
    </row>
    <row r="306" spans="1:10" ht="60" customHeight="1">
      <c r="A306" s="53"/>
      <c r="B306" s="53"/>
      <c r="C306" s="53"/>
      <c r="D306" s="59"/>
      <c r="E306" s="43"/>
      <c r="F306" s="111"/>
      <c r="G306" s="44"/>
      <c r="H306" s="44"/>
      <c r="I306" s="44"/>
      <c r="J306" s="44"/>
    </row>
    <row r="307" spans="1:10" ht="60" customHeight="1">
      <c r="A307" s="53"/>
      <c r="B307" s="53"/>
      <c r="C307" s="53"/>
      <c r="D307" s="59"/>
      <c r="E307" s="43"/>
      <c r="F307" s="111"/>
      <c r="G307" s="44"/>
      <c r="H307" s="44"/>
      <c r="I307" s="44"/>
      <c r="J307" s="44"/>
    </row>
    <row r="308" spans="1:10" s="93" customFormat="1" ht="133.5" customHeight="1">
      <c r="A308" s="140" t="s">
        <v>581</v>
      </c>
      <c r="B308" s="140"/>
      <c r="C308" s="140"/>
      <c r="D308" s="140"/>
      <c r="E308" s="140"/>
      <c r="F308" s="114"/>
      <c r="G308" s="120"/>
      <c r="H308" s="120"/>
      <c r="I308" s="91" t="s">
        <v>580</v>
      </c>
      <c r="J308" s="92"/>
    </row>
    <row r="309" spans="1:10" s="82" customFormat="1" ht="97.5" customHeight="1">
      <c r="A309" s="87" t="s">
        <v>579</v>
      </c>
      <c r="B309" s="88"/>
      <c r="C309" s="88"/>
      <c r="D309" s="89"/>
      <c r="E309" s="87"/>
      <c r="F309" s="115"/>
      <c r="G309" s="87"/>
      <c r="H309" s="90"/>
      <c r="I309" s="90"/>
      <c r="J309" s="90"/>
    </row>
    <row r="310" spans="1:10" ht="102.75" customHeight="1">
      <c r="A310" s="150" t="s">
        <v>470</v>
      </c>
      <c r="B310" s="150"/>
      <c r="G310" s="44"/>
      <c r="H310" s="44"/>
      <c r="I310" s="44"/>
      <c r="J310" s="44"/>
    </row>
    <row r="311" spans="7:10" ht="57.75" customHeight="1">
      <c r="G311" s="44"/>
      <c r="H311" s="44"/>
      <c r="I311" s="44"/>
      <c r="J311" s="44"/>
    </row>
  </sheetData>
  <sheetProtection/>
  <mergeCells count="138">
    <mergeCell ref="G1:J1"/>
    <mergeCell ref="A11:J11"/>
    <mergeCell ref="I15:J15"/>
    <mergeCell ref="G15:G16"/>
    <mergeCell ref="F15:F16"/>
    <mergeCell ref="D15:D16"/>
    <mergeCell ref="A15:A16"/>
    <mergeCell ref="H15:H16"/>
    <mergeCell ref="A23:A24"/>
    <mergeCell ref="A229:A230"/>
    <mergeCell ref="B229:B230"/>
    <mergeCell ref="C229:C230"/>
    <mergeCell ref="D229:D230"/>
    <mergeCell ref="B62:B65"/>
    <mergeCell ref="A29:A30"/>
    <mergeCell ref="D62:D65"/>
    <mergeCell ref="A68:A70"/>
    <mergeCell ref="D29:D30"/>
    <mergeCell ref="A310:B310"/>
    <mergeCell ref="A153:A155"/>
    <mergeCell ref="E15:E16"/>
    <mergeCell ref="B29:B30"/>
    <mergeCell ref="C15:C16"/>
    <mergeCell ref="A100:A103"/>
    <mergeCell ref="A94:A96"/>
    <mergeCell ref="B15:B16"/>
    <mergeCell ref="D119:D120"/>
    <mergeCell ref="D100:D103"/>
    <mergeCell ref="A20:A21"/>
    <mergeCell ref="D20:D21"/>
    <mergeCell ref="D50:D51"/>
    <mergeCell ref="C148:C149"/>
    <mergeCell ref="D94:D96"/>
    <mergeCell ref="D116:D117"/>
    <mergeCell ref="C100:C103"/>
    <mergeCell ref="B59:B61"/>
    <mergeCell ref="B23:B24"/>
    <mergeCell ref="D23:D24"/>
    <mergeCell ref="D148:D149"/>
    <mergeCell ref="D127:D128"/>
    <mergeCell ref="A110:A111"/>
    <mergeCell ref="B127:B128"/>
    <mergeCell ref="D121:D122"/>
    <mergeCell ref="C127:C128"/>
    <mergeCell ref="A127:A128"/>
    <mergeCell ref="A148:A149"/>
    <mergeCell ref="A119:A120"/>
    <mergeCell ref="D110:D111"/>
    <mergeCell ref="B100:B103"/>
    <mergeCell ref="B110:B111"/>
    <mergeCell ref="C110:C111"/>
    <mergeCell ref="C119:C120"/>
    <mergeCell ref="C121:C122"/>
    <mergeCell ref="B94:B96"/>
    <mergeCell ref="B116:B117"/>
    <mergeCell ref="B119:B120"/>
    <mergeCell ref="C116:C117"/>
    <mergeCell ref="C94:C96"/>
    <mergeCell ref="C62:C65"/>
    <mergeCell ref="D71:D73"/>
    <mergeCell ref="B20:B21"/>
    <mergeCell ref="D59:D61"/>
    <mergeCell ref="C20:C21"/>
    <mergeCell ref="C23:C24"/>
    <mergeCell ref="C71:C73"/>
    <mergeCell ref="C29:C30"/>
    <mergeCell ref="D68:D70"/>
    <mergeCell ref="C68:C70"/>
    <mergeCell ref="C184:C186"/>
    <mergeCell ref="A71:A73"/>
    <mergeCell ref="A50:A51"/>
    <mergeCell ref="A59:A61"/>
    <mergeCell ref="C50:C51"/>
    <mergeCell ref="C59:C61"/>
    <mergeCell ref="A62:A65"/>
    <mergeCell ref="B50:B51"/>
    <mergeCell ref="B71:B73"/>
    <mergeCell ref="B68:B70"/>
    <mergeCell ref="B182:B183"/>
    <mergeCell ref="A156:A157"/>
    <mergeCell ref="A187:A188"/>
    <mergeCell ref="C182:C183"/>
    <mergeCell ref="A116:A117"/>
    <mergeCell ref="A173:A174"/>
    <mergeCell ref="B156:B157"/>
    <mergeCell ref="B173:B174"/>
    <mergeCell ref="A184:A186"/>
    <mergeCell ref="A182:A183"/>
    <mergeCell ref="C146:C147"/>
    <mergeCell ref="A195:A196"/>
    <mergeCell ref="C187:C188"/>
    <mergeCell ref="B176:B177"/>
    <mergeCell ref="B195:B196"/>
    <mergeCell ref="C195:C196"/>
    <mergeCell ref="B189:B191"/>
    <mergeCell ref="C189:C191"/>
    <mergeCell ref="B187:B188"/>
    <mergeCell ref="B184:B186"/>
    <mergeCell ref="B244:B245"/>
    <mergeCell ref="D176:D177"/>
    <mergeCell ref="C156:C157"/>
    <mergeCell ref="A121:A122"/>
    <mergeCell ref="C176:C177"/>
    <mergeCell ref="A146:A147"/>
    <mergeCell ref="B146:B147"/>
    <mergeCell ref="B148:B149"/>
    <mergeCell ref="B121:B122"/>
    <mergeCell ref="D146:D147"/>
    <mergeCell ref="A176:A177"/>
    <mergeCell ref="A308:E308"/>
    <mergeCell ref="B266:E266"/>
    <mergeCell ref="B203:B204"/>
    <mergeCell ref="C222:C223"/>
    <mergeCell ref="A226:A227"/>
    <mergeCell ref="B226:B227"/>
    <mergeCell ref="C226:C227"/>
    <mergeCell ref="A222:A223"/>
    <mergeCell ref="A244:A245"/>
    <mergeCell ref="D182:D183"/>
    <mergeCell ref="D173:D174"/>
    <mergeCell ref="D244:D245"/>
    <mergeCell ref="A203:A204"/>
    <mergeCell ref="C244:C245"/>
    <mergeCell ref="D195:D196"/>
    <mergeCell ref="C203:C204"/>
    <mergeCell ref="D203:D204"/>
    <mergeCell ref="B222:B223"/>
    <mergeCell ref="D187:D188"/>
    <mergeCell ref="D184:D186"/>
    <mergeCell ref="A189:A191"/>
    <mergeCell ref="A12:J12"/>
    <mergeCell ref="A13:J13"/>
    <mergeCell ref="D189:D191"/>
    <mergeCell ref="D153:D155"/>
    <mergeCell ref="D156:D157"/>
    <mergeCell ref="C153:C155"/>
    <mergeCell ref="B153:B155"/>
    <mergeCell ref="C173:C174"/>
  </mergeCells>
  <printOptions horizontalCentered="1"/>
  <pageMargins left="0" right="0" top="0.7086614173228347" bottom="0.7874015748031497" header="0.5905511811023623" footer="0.31496062992125984"/>
  <pageSetup firstPageNumber="1" useFirstPageNumber="1" fitToHeight="100" fitToWidth="1" horizontalDpi="600" verticalDpi="600" orientation="landscape" paperSize="9" scale="20" r:id="rId1"/>
  <headerFooter scaleWithDoc="0" alignWithMargins="0">
    <oddHeader>&amp;R
</oddHeader>
    <oddFooter>&amp;R&amp;9Сторінка &amp;P</oddFooter>
  </headerFooter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2021-09-30T13:06:02Z</cp:lastPrinted>
  <dcterms:created xsi:type="dcterms:W3CDTF">2014-01-17T10:52:16Z</dcterms:created>
  <dcterms:modified xsi:type="dcterms:W3CDTF">2021-09-30T13:08:48Z</dcterms:modified>
  <cp:category/>
  <cp:version/>
  <cp:contentType/>
  <cp:contentStatus/>
</cp:coreProperties>
</file>