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грудень\чергова 26.01.2021\Доопрацьовано\"/>
    </mc:Choice>
  </mc:AlternateContent>
  <bookViews>
    <workbookView xWindow="0" yWindow="0" windowWidth="28800" windowHeight="11835" tabRatio="495" activeTab="1"/>
  </bookViews>
  <sheets>
    <sheet name="дод 3" sheetId="1" r:id="rId1"/>
    <sheet name="дод 7" sheetId="3" r:id="rId2"/>
  </sheets>
  <definedNames>
    <definedName name="_xlnm.Print_Titles" localSheetId="0">'дод 3'!$14:$16</definedName>
    <definedName name="_xlnm.Print_Titles" localSheetId="1">'дод 7'!$14:$16</definedName>
    <definedName name="_xlnm.Print_Area" localSheetId="0">'дод 3'!$A$1:$P$346</definedName>
    <definedName name="_xlnm.Print_Area" localSheetId="1">'дод 7'!$A$1:$O$273</definedName>
  </definedNames>
  <calcPr calcId="162913"/>
</workbook>
</file>

<file path=xl/calcChain.xml><?xml version="1.0" encoding="utf-8"?>
<calcChain xmlns="http://schemas.openxmlformats.org/spreadsheetml/2006/main">
  <c r="O159" i="1" l="1"/>
  <c r="O158" i="1"/>
  <c r="K159" i="1"/>
  <c r="K158" i="1"/>
  <c r="O241" i="1" l="1"/>
  <c r="K241" i="1"/>
  <c r="I262" i="1"/>
  <c r="F262" i="1"/>
  <c r="O248" i="1"/>
  <c r="K248" i="1"/>
  <c r="H241" i="1"/>
  <c r="F241" i="1"/>
  <c r="F201" i="1"/>
  <c r="F175" i="1"/>
  <c r="K138" i="1" l="1"/>
  <c r="F38" i="1"/>
  <c r="O38" i="1"/>
  <c r="K38" i="1"/>
  <c r="O157" i="1"/>
  <c r="K157" i="1"/>
  <c r="F138" i="1"/>
  <c r="O160" i="1"/>
  <c r="K160" i="1"/>
  <c r="O155" i="1"/>
  <c r="K155" i="1"/>
  <c r="G56" i="1"/>
  <c r="F56" i="1"/>
  <c r="F33" i="1"/>
  <c r="O212" i="1"/>
  <c r="O211" i="1"/>
  <c r="K212" i="1"/>
  <c r="K211" i="1"/>
  <c r="F152" i="1"/>
  <c r="F150" i="1"/>
  <c r="O107" i="1"/>
  <c r="O106" i="1"/>
  <c r="K107" i="1"/>
  <c r="K106" i="1"/>
  <c r="F107" i="1"/>
  <c r="G107" i="1"/>
  <c r="G106" i="1"/>
  <c r="F106" i="1"/>
  <c r="N87" i="3"/>
  <c r="M87" i="3"/>
  <c r="L87" i="3"/>
  <c r="K87" i="3"/>
  <c r="J87" i="3"/>
  <c r="H87" i="3"/>
  <c r="G87" i="3"/>
  <c r="F87" i="3"/>
  <c r="E87" i="3"/>
  <c r="O132" i="1"/>
  <c r="N132" i="1"/>
  <c r="M132" i="1"/>
  <c r="L132" i="1"/>
  <c r="K132" i="1"/>
  <c r="I132" i="1"/>
  <c r="H132" i="1"/>
  <c r="G132" i="1"/>
  <c r="F132" i="1"/>
  <c r="E141" i="1"/>
  <c r="D87" i="3" s="1"/>
  <c r="J141" i="1"/>
  <c r="O142" i="1"/>
  <c r="K142" i="1"/>
  <c r="O138" i="1"/>
  <c r="N166" i="3"/>
  <c r="N158" i="3" s="1"/>
  <c r="M166" i="3"/>
  <c r="M158" i="3" s="1"/>
  <c r="L166" i="3"/>
  <c r="L158" i="3" s="1"/>
  <c r="K166" i="3"/>
  <c r="J166" i="3"/>
  <c r="J158" i="3" s="1"/>
  <c r="H166" i="3"/>
  <c r="H158" i="3" s="1"/>
  <c r="G166" i="3"/>
  <c r="G158" i="3" s="1"/>
  <c r="F166" i="3"/>
  <c r="F158" i="3" s="1"/>
  <c r="E166" i="3"/>
  <c r="E158" i="3" s="1"/>
  <c r="N165" i="3"/>
  <c r="M165" i="3"/>
  <c r="L165" i="3"/>
  <c r="K165" i="3"/>
  <c r="J165" i="3"/>
  <c r="H165" i="3"/>
  <c r="G165" i="3"/>
  <c r="F165" i="3"/>
  <c r="E165" i="3"/>
  <c r="O319" i="1"/>
  <c r="N319" i="1"/>
  <c r="M319" i="1"/>
  <c r="L319" i="1"/>
  <c r="K319" i="1"/>
  <c r="I319" i="1"/>
  <c r="H319" i="1"/>
  <c r="G319" i="1"/>
  <c r="F319" i="1"/>
  <c r="O318" i="1"/>
  <c r="N318" i="1"/>
  <c r="M318" i="1"/>
  <c r="K318" i="1"/>
  <c r="I318" i="1"/>
  <c r="J322" i="1"/>
  <c r="I166" i="3" s="1"/>
  <c r="E322" i="1"/>
  <c r="E319" i="1" s="1"/>
  <c r="J321" i="1"/>
  <c r="I165" i="3" s="1"/>
  <c r="E321" i="1"/>
  <c r="K158" i="3"/>
  <c r="N225" i="1"/>
  <c r="M225" i="1"/>
  <c r="O230" i="1"/>
  <c r="N230" i="1"/>
  <c r="M230" i="1"/>
  <c r="L230" i="1"/>
  <c r="K230" i="1"/>
  <c r="I230" i="1"/>
  <c r="H230" i="1"/>
  <c r="G230" i="1"/>
  <c r="F230" i="1"/>
  <c r="J243" i="1"/>
  <c r="J242" i="1"/>
  <c r="E243" i="1"/>
  <c r="P243" i="1" s="1"/>
  <c r="E242" i="1"/>
  <c r="P242" i="1" s="1"/>
  <c r="P141" i="1" l="1"/>
  <c r="O87" i="3" s="1"/>
  <c r="D165" i="3"/>
  <c r="D166" i="3"/>
  <c r="D158" i="3" s="1"/>
  <c r="I87" i="3"/>
  <c r="I158" i="3"/>
  <c r="J319" i="1"/>
  <c r="P321" i="1"/>
  <c r="P322" i="1"/>
  <c r="J230" i="1"/>
  <c r="P230" i="1"/>
  <c r="E230" i="1"/>
  <c r="F246" i="1"/>
  <c r="I246" i="1"/>
  <c r="O166" i="3" l="1"/>
  <c r="O158" i="3" s="1"/>
  <c r="P319" i="1"/>
  <c r="O165" i="3"/>
  <c r="G109" i="1"/>
  <c r="F109" i="1"/>
  <c r="N187" i="3"/>
  <c r="N181" i="3" s="1"/>
  <c r="N174" i="3" s="1"/>
  <c r="M187" i="3"/>
  <c r="M181" i="3" s="1"/>
  <c r="M174" i="3" s="1"/>
  <c r="L187" i="3"/>
  <c r="L181" i="3" s="1"/>
  <c r="L174" i="3" s="1"/>
  <c r="K187" i="3"/>
  <c r="K181" i="3" s="1"/>
  <c r="K174" i="3" s="1"/>
  <c r="J187" i="3"/>
  <c r="J181" i="3" s="1"/>
  <c r="J174" i="3" s="1"/>
  <c r="H187" i="3"/>
  <c r="H181" i="3" s="1"/>
  <c r="H174" i="3" s="1"/>
  <c r="G187" i="3"/>
  <c r="G181" i="3" s="1"/>
  <c r="G174" i="3" s="1"/>
  <c r="F187" i="3"/>
  <c r="F181" i="3" s="1"/>
  <c r="F174" i="3" s="1"/>
  <c r="E187" i="3"/>
  <c r="E181" i="3" s="1"/>
  <c r="E174" i="3" s="1"/>
  <c r="O118" i="1"/>
  <c r="K118" i="1"/>
  <c r="O116" i="1"/>
  <c r="K116" i="1"/>
  <c r="O236" i="1"/>
  <c r="K236" i="1"/>
  <c r="F79" i="1"/>
  <c r="H31" i="1" l="1"/>
  <c r="F31" i="1"/>
  <c r="H28" i="1"/>
  <c r="F28" i="1"/>
  <c r="F160" i="1"/>
  <c r="O287" i="1"/>
  <c r="K287" i="1"/>
  <c r="O286" i="1"/>
  <c r="K286" i="1"/>
  <c r="O284" i="1"/>
  <c r="K284" i="1"/>
  <c r="E328" i="1"/>
  <c r="O308" i="1"/>
  <c r="K308" i="1"/>
  <c r="O279" i="1"/>
  <c r="K279" i="1"/>
  <c r="H153" i="1"/>
  <c r="F153" i="1"/>
  <c r="O282" i="1"/>
  <c r="K282" i="1"/>
  <c r="O283" i="1"/>
  <c r="K283" i="1"/>
  <c r="H298" i="1"/>
  <c r="H273" i="1"/>
  <c r="I240" i="1"/>
  <c r="I225" i="1" s="1"/>
  <c r="F237" i="1"/>
  <c r="G218" i="1"/>
  <c r="H183" i="1"/>
  <c r="F183" i="1"/>
  <c r="O203" i="1"/>
  <c r="K203" i="1"/>
  <c r="F148" i="1"/>
  <c r="F113" i="1"/>
  <c r="F114" i="1"/>
  <c r="H55" i="1"/>
  <c r="G38" i="1"/>
  <c r="G40" i="1"/>
  <c r="F125" i="1"/>
  <c r="F142" i="1"/>
  <c r="O245" i="1"/>
  <c r="O244" i="1"/>
  <c r="K245" i="1"/>
  <c r="K244" i="1"/>
  <c r="L257" i="1"/>
  <c r="L256" i="1"/>
  <c r="O134" i="1"/>
  <c r="N134" i="1"/>
  <c r="M134" i="1"/>
  <c r="L134" i="1"/>
  <c r="K134" i="1"/>
  <c r="I134" i="1"/>
  <c r="H134" i="1"/>
  <c r="G134" i="1"/>
  <c r="F134" i="1"/>
  <c r="J156" i="1"/>
  <c r="I187" i="3" s="1"/>
  <c r="I181" i="3" s="1"/>
  <c r="I174" i="3" s="1"/>
  <c r="G108" i="1"/>
  <c r="F108" i="1"/>
  <c r="O253" i="1"/>
  <c r="K253" i="1"/>
  <c r="O252" i="1"/>
  <c r="K252" i="1"/>
  <c r="O119" i="1"/>
  <c r="K119" i="1"/>
  <c r="E156" i="1"/>
  <c r="D187" i="3" s="1"/>
  <c r="D181" i="3" s="1"/>
  <c r="D174" i="3" s="1"/>
  <c r="J134" i="1" l="1"/>
  <c r="P156" i="1"/>
  <c r="E134" i="1"/>
  <c r="F76" i="1"/>
  <c r="O187" i="3" l="1"/>
  <c r="O181" i="3" s="1"/>
  <c r="O174" i="3" s="1"/>
  <c r="P134" i="1"/>
  <c r="K238" i="1"/>
  <c r="F135" i="1" l="1"/>
  <c r="O39" i="1" l="1"/>
  <c r="K39" i="1"/>
  <c r="F55" i="1" l="1"/>
  <c r="F49" i="1" l="1"/>
  <c r="O238" i="1"/>
  <c r="F29" i="1"/>
  <c r="O163" i="1" l="1"/>
  <c r="K163" i="1"/>
  <c r="O42" i="1" l="1"/>
  <c r="K42" i="1"/>
  <c r="O120" i="1"/>
  <c r="K120" i="1"/>
  <c r="F41" i="1" l="1"/>
  <c r="H38" i="1"/>
  <c r="F324" i="1"/>
  <c r="F48" i="1"/>
  <c r="H305" i="1"/>
  <c r="O288" i="1"/>
  <c r="K288" i="1"/>
  <c r="O247" i="1"/>
  <c r="K247" i="1"/>
  <c r="O263" i="1"/>
  <c r="K263" i="1"/>
  <c r="F235" i="1"/>
  <c r="G298" i="1"/>
  <c r="H219" i="1"/>
  <c r="F219" i="1"/>
  <c r="H216" i="1"/>
  <c r="F216" i="1"/>
  <c r="H215" i="1"/>
  <c r="F215" i="1"/>
  <c r="H217" i="1"/>
  <c r="G217" i="1"/>
  <c r="F217" i="1"/>
  <c r="F218" i="1"/>
  <c r="G219" i="1"/>
  <c r="G208" i="1"/>
  <c r="F189" i="1"/>
  <c r="F184" i="1"/>
  <c r="F190" i="1"/>
  <c r="H114" i="1"/>
  <c r="H95" i="1"/>
  <c r="F95" i="1"/>
  <c r="H94" i="1"/>
  <c r="F94" i="1"/>
  <c r="H81" i="1"/>
  <c r="F81" i="1"/>
  <c r="H80" i="1"/>
  <c r="F80" i="1"/>
  <c r="H79" i="1"/>
  <c r="H78" i="1"/>
  <c r="G78" i="1"/>
  <c r="F78" i="1"/>
  <c r="O78" i="1"/>
  <c r="K78" i="1"/>
  <c r="O104" i="1"/>
  <c r="K104" i="1"/>
  <c r="F104" i="1"/>
  <c r="O49" i="1"/>
  <c r="K49" i="1"/>
  <c r="F39" i="1"/>
  <c r="G33" i="1"/>
  <c r="G31" i="1"/>
  <c r="H21" i="1"/>
  <c r="G21" i="1"/>
  <c r="M197" i="3" l="1"/>
  <c r="L197" i="3"/>
  <c r="K197" i="3"/>
  <c r="H197" i="3"/>
  <c r="G197" i="3"/>
  <c r="F197" i="3"/>
  <c r="E197" i="3"/>
  <c r="M196" i="3"/>
  <c r="L196" i="3"/>
  <c r="K196" i="3"/>
  <c r="H196" i="3"/>
  <c r="G196" i="3"/>
  <c r="F196" i="3"/>
  <c r="E196" i="3"/>
  <c r="O276" i="1"/>
  <c r="N276" i="1"/>
  <c r="M276" i="1"/>
  <c r="L276" i="1"/>
  <c r="K276" i="1"/>
  <c r="I276" i="1"/>
  <c r="H276" i="1"/>
  <c r="G276" i="1"/>
  <c r="F276" i="1"/>
  <c r="E290" i="1"/>
  <c r="E276" i="1" s="1"/>
  <c r="J290" i="1"/>
  <c r="N196" i="3"/>
  <c r="J196" i="3"/>
  <c r="N197" i="3"/>
  <c r="O90" i="1"/>
  <c r="K90" i="1"/>
  <c r="O89" i="1"/>
  <c r="K89" i="1"/>
  <c r="F176" i="1"/>
  <c r="F90" i="1"/>
  <c r="F89" i="1"/>
  <c r="J197" i="3" l="1"/>
  <c r="P290" i="1"/>
  <c r="P276" i="1" s="1"/>
  <c r="J276" i="1"/>
  <c r="F260" i="3" l="1"/>
  <c r="G260" i="3"/>
  <c r="H260" i="3"/>
  <c r="K260" i="3"/>
  <c r="L260" i="3"/>
  <c r="M260" i="3"/>
  <c r="L18" i="1"/>
  <c r="M18" i="1"/>
  <c r="N18" i="1"/>
  <c r="J60" i="1"/>
  <c r="J61" i="1"/>
  <c r="E61" i="1"/>
  <c r="J246" i="1"/>
  <c r="P61" i="1" l="1"/>
  <c r="O285" i="1"/>
  <c r="K285" i="1"/>
  <c r="H320" i="1" l="1"/>
  <c r="H318" i="1" s="1"/>
  <c r="F320" i="1"/>
  <c r="H308" i="1"/>
  <c r="F308" i="1"/>
  <c r="F298" i="1"/>
  <c r="F273" i="1"/>
  <c r="H233" i="1"/>
  <c r="H225" i="1" s="1"/>
  <c r="F233" i="1"/>
  <c r="H208" i="1"/>
  <c r="F208" i="1"/>
  <c r="H200" i="1"/>
  <c r="F200" i="1"/>
  <c r="H171" i="1"/>
  <c r="F171" i="1"/>
  <c r="H137" i="1"/>
  <c r="H100" i="1"/>
  <c r="F100" i="1"/>
  <c r="H97" i="1"/>
  <c r="F97" i="1"/>
  <c r="H58" i="1"/>
  <c r="F58" i="1"/>
  <c r="H40" i="1"/>
  <c r="F40" i="1"/>
  <c r="H34" i="1"/>
  <c r="F34" i="1"/>
  <c r="H33" i="1"/>
  <c r="F21" i="1"/>
  <c r="O62" i="1"/>
  <c r="K62" i="1"/>
  <c r="O292" i="1"/>
  <c r="K292" i="1"/>
  <c r="G278" i="1"/>
  <c r="F278" i="1"/>
  <c r="F204" i="1"/>
  <c r="F177" i="1"/>
  <c r="F173" i="1"/>
  <c r="O154" i="1"/>
  <c r="K154" i="1"/>
  <c r="F126" i="1"/>
  <c r="F327" i="1"/>
  <c r="F323" i="1"/>
  <c r="F292" i="1"/>
  <c r="F269" i="1"/>
  <c r="F22" i="1"/>
  <c r="F318" i="1" l="1"/>
  <c r="H18" i="1"/>
  <c r="F178" i="1" l="1"/>
  <c r="I46" i="1"/>
  <c r="I18" i="1" s="1"/>
  <c r="F27" i="1"/>
  <c r="F26" i="1"/>
  <c r="G171" i="1"/>
  <c r="F234" i="1"/>
  <c r="F313" i="1"/>
  <c r="F310" i="1"/>
  <c r="G308" i="1"/>
  <c r="G320" i="1"/>
  <c r="G318" i="1" s="1"/>
  <c r="F174" i="1"/>
  <c r="G183" i="1"/>
  <c r="O200" i="1"/>
  <c r="K200" i="1"/>
  <c r="G200" i="1"/>
  <c r="F120" i="1"/>
  <c r="O101" i="1" l="1"/>
  <c r="K101" i="1"/>
  <c r="O100" i="1"/>
  <c r="K100" i="1"/>
  <c r="F88" i="1"/>
  <c r="G88" i="1"/>
  <c r="G87" i="1"/>
  <c r="F87" i="1"/>
  <c r="G86" i="1"/>
  <c r="F86" i="1"/>
  <c r="G85" i="1"/>
  <c r="F85" i="1"/>
  <c r="G83" i="1"/>
  <c r="F83" i="1"/>
  <c r="G82" i="1"/>
  <c r="F82" i="1"/>
  <c r="G100" i="1"/>
  <c r="G77" i="1"/>
  <c r="G97" i="1"/>
  <c r="G94" i="1"/>
  <c r="G79" i="1"/>
  <c r="F60" i="1"/>
  <c r="F54" i="1"/>
  <c r="F35" i="1"/>
  <c r="O18" i="1"/>
  <c r="K18" i="1"/>
  <c r="G34" i="1"/>
  <c r="G18" i="1" s="1"/>
  <c r="F18" i="1" l="1"/>
  <c r="G110" i="1"/>
  <c r="G111" i="1"/>
  <c r="F110" i="1"/>
  <c r="F111" i="1"/>
  <c r="E167" i="3" l="1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F229" i="1"/>
  <c r="G229" i="1"/>
  <c r="H229" i="1"/>
  <c r="I229" i="1"/>
  <c r="K229" i="1"/>
  <c r="L229" i="1"/>
  <c r="M229" i="1"/>
  <c r="N229" i="1"/>
  <c r="O229" i="1"/>
  <c r="J245" i="1" l="1"/>
  <c r="E245" i="1"/>
  <c r="J244" i="1"/>
  <c r="E244" i="1"/>
  <c r="P245" i="1" l="1"/>
  <c r="P244" i="1"/>
  <c r="E229" i="1"/>
  <c r="P229" i="1"/>
  <c r="J229" i="1"/>
  <c r="G273" i="1"/>
  <c r="F220" i="1" l="1"/>
  <c r="L268" i="1" l="1"/>
  <c r="I310" i="1" l="1"/>
  <c r="G233" i="1"/>
  <c r="G225" i="1" s="1"/>
  <c r="F291" i="1"/>
  <c r="O240" i="1"/>
  <c r="K240" i="1"/>
  <c r="O201" i="1"/>
  <c r="K201" i="1"/>
  <c r="O171" i="1"/>
  <c r="K171" i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O65" i="1"/>
  <c r="N65" i="1"/>
  <c r="M65" i="1"/>
  <c r="L65" i="1"/>
  <c r="K65" i="1"/>
  <c r="I65" i="1"/>
  <c r="H65" i="1"/>
  <c r="G65" i="1"/>
  <c r="F65" i="1"/>
  <c r="O64" i="1"/>
  <c r="N64" i="1"/>
  <c r="M64" i="1"/>
  <c r="L64" i="1"/>
  <c r="K64" i="1"/>
  <c r="I64" i="1"/>
  <c r="H64" i="1"/>
  <c r="G64" i="1"/>
  <c r="F64" i="1"/>
  <c r="J88" i="1"/>
  <c r="I54" i="3" s="1"/>
  <c r="J87" i="1"/>
  <c r="I53" i="3" s="1"/>
  <c r="E88" i="1"/>
  <c r="E87" i="1"/>
  <c r="J81" i="1"/>
  <c r="I47" i="3" s="1"/>
  <c r="E81" i="1"/>
  <c r="P81" i="1" l="1"/>
  <c r="O47" i="3" s="1"/>
  <c r="P88" i="1"/>
  <c r="O54" i="3" s="1"/>
  <c r="P87" i="1"/>
  <c r="O53" i="3" s="1"/>
  <c r="D47" i="3"/>
  <c r="D53" i="3"/>
  <c r="D54" i="3"/>
  <c r="N216" i="3"/>
  <c r="N204" i="3" s="1"/>
  <c r="M216" i="3"/>
  <c r="M204" i="3" s="1"/>
  <c r="L216" i="3"/>
  <c r="L204" i="3" s="1"/>
  <c r="K216" i="3"/>
  <c r="K204" i="3" s="1"/>
  <c r="J216" i="3"/>
  <c r="J204" i="3" s="1"/>
  <c r="H216" i="3"/>
  <c r="H204" i="3" s="1"/>
  <c r="G216" i="3"/>
  <c r="G204" i="3" s="1"/>
  <c r="F216" i="3"/>
  <c r="F204" i="3" s="1"/>
  <c r="E216" i="3"/>
  <c r="E204" i="3" s="1"/>
  <c r="N215" i="3"/>
  <c r="M215" i="3"/>
  <c r="L215" i="3"/>
  <c r="K215" i="3"/>
  <c r="J215" i="3"/>
  <c r="H215" i="3"/>
  <c r="G215" i="3"/>
  <c r="F215" i="3"/>
  <c r="E215" i="3"/>
  <c r="N199" i="3"/>
  <c r="M199" i="3"/>
  <c r="L199" i="3"/>
  <c r="K199" i="3"/>
  <c r="J199" i="3"/>
  <c r="H199" i="3"/>
  <c r="G199" i="3"/>
  <c r="F199" i="3"/>
  <c r="E199" i="3"/>
  <c r="N198" i="3"/>
  <c r="M198" i="3"/>
  <c r="L198" i="3"/>
  <c r="K198" i="3"/>
  <c r="J198" i="3"/>
  <c r="H198" i="3"/>
  <c r="G198" i="3"/>
  <c r="F198" i="3"/>
  <c r="E198" i="3"/>
  <c r="O135" i="1" l="1"/>
  <c r="N135" i="1"/>
  <c r="M135" i="1"/>
  <c r="L135" i="1"/>
  <c r="K135" i="1"/>
  <c r="I135" i="1"/>
  <c r="H135" i="1"/>
  <c r="G135" i="1"/>
  <c r="N88" i="3"/>
  <c r="M88" i="3"/>
  <c r="L88" i="3"/>
  <c r="K88" i="3"/>
  <c r="J88" i="3"/>
  <c r="H88" i="3"/>
  <c r="G88" i="3"/>
  <c r="F88" i="3"/>
  <c r="E88" i="3"/>
  <c r="N185" i="3"/>
  <c r="M185" i="3"/>
  <c r="L185" i="3"/>
  <c r="K185" i="3"/>
  <c r="J185" i="3"/>
  <c r="J182" i="3" s="1"/>
  <c r="H185" i="3"/>
  <c r="G185" i="3"/>
  <c r="F185" i="3"/>
  <c r="E185" i="3"/>
  <c r="N72" i="3"/>
  <c r="N35" i="3" s="1"/>
  <c r="M72" i="3"/>
  <c r="M35" i="3" s="1"/>
  <c r="L72" i="3"/>
  <c r="L35" i="3" s="1"/>
  <c r="K72" i="3"/>
  <c r="K35" i="3" s="1"/>
  <c r="J72" i="3"/>
  <c r="J35" i="3" s="1"/>
  <c r="H72" i="3"/>
  <c r="H35" i="3" s="1"/>
  <c r="G72" i="3"/>
  <c r="G35" i="3" s="1"/>
  <c r="F72" i="3"/>
  <c r="F35" i="3" s="1"/>
  <c r="E72" i="3"/>
  <c r="E35" i="3" s="1"/>
  <c r="O231" i="1"/>
  <c r="N231" i="1"/>
  <c r="M231" i="1"/>
  <c r="L231" i="1"/>
  <c r="K231" i="1"/>
  <c r="I231" i="1"/>
  <c r="H231" i="1"/>
  <c r="G231" i="1"/>
  <c r="F231" i="1"/>
  <c r="J255" i="1"/>
  <c r="I199" i="3" s="1"/>
  <c r="J254" i="1"/>
  <c r="I198" i="3" s="1"/>
  <c r="E255" i="1"/>
  <c r="E254" i="1"/>
  <c r="D198" i="3" s="1"/>
  <c r="J260" i="1"/>
  <c r="I216" i="3" s="1"/>
  <c r="I204" i="3" s="1"/>
  <c r="E260" i="1"/>
  <c r="D216" i="3" s="1"/>
  <c r="D204" i="3" s="1"/>
  <c r="J259" i="1"/>
  <c r="I215" i="3" s="1"/>
  <c r="E259" i="1"/>
  <c r="D215" i="3" s="1"/>
  <c r="O76" i="1"/>
  <c r="N76" i="1"/>
  <c r="M76" i="1"/>
  <c r="L76" i="1"/>
  <c r="K76" i="1"/>
  <c r="I76" i="1"/>
  <c r="H76" i="1"/>
  <c r="G76" i="1"/>
  <c r="E117" i="1"/>
  <c r="D185" i="3" s="1"/>
  <c r="J117" i="1"/>
  <c r="I185" i="3" s="1"/>
  <c r="J105" i="1"/>
  <c r="I72" i="3" s="1"/>
  <c r="I35" i="3" s="1"/>
  <c r="E105" i="1"/>
  <c r="D72" i="3" s="1"/>
  <c r="D35" i="3" s="1"/>
  <c r="E231" i="1" l="1"/>
  <c r="D199" i="3"/>
  <c r="D182" i="3" s="1"/>
  <c r="D175" i="3" s="1"/>
  <c r="F182" i="3"/>
  <c r="F175" i="3" s="1"/>
  <c r="H182" i="3"/>
  <c r="H175" i="3" s="1"/>
  <c r="K182" i="3"/>
  <c r="K175" i="3" s="1"/>
  <c r="M182" i="3"/>
  <c r="M175" i="3" s="1"/>
  <c r="I182" i="3"/>
  <c r="I175" i="3" s="1"/>
  <c r="E182" i="3"/>
  <c r="E175" i="3" s="1"/>
  <c r="G182" i="3"/>
  <c r="G175" i="3" s="1"/>
  <c r="J175" i="3"/>
  <c r="L182" i="3"/>
  <c r="L175" i="3" s="1"/>
  <c r="N182" i="3"/>
  <c r="N175" i="3" s="1"/>
  <c r="P255" i="1"/>
  <c r="O199" i="3" s="1"/>
  <c r="J231" i="1"/>
  <c r="P259" i="1"/>
  <c r="O215" i="3" s="1"/>
  <c r="P260" i="1"/>
  <c r="O216" i="3" s="1"/>
  <c r="O204" i="3" s="1"/>
  <c r="P254" i="1"/>
  <c r="O198" i="3" s="1"/>
  <c r="P117" i="1"/>
  <c r="O185" i="3" s="1"/>
  <c r="P105" i="1"/>
  <c r="O72" i="3" s="1"/>
  <c r="O35" i="3" s="1"/>
  <c r="O182" i="3" l="1"/>
  <c r="O175" i="3" s="1"/>
  <c r="P231" i="1"/>
  <c r="F210" i="1"/>
  <c r="O170" i="1" l="1"/>
  <c r="N170" i="1"/>
  <c r="M170" i="1"/>
  <c r="L170" i="1"/>
  <c r="K170" i="1"/>
  <c r="I170" i="1"/>
  <c r="H170" i="1"/>
  <c r="G170" i="1"/>
  <c r="F170" i="1"/>
  <c r="O169" i="1"/>
  <c r="N169" i="1"/>
  <c r="M169" i="1"/>
  <c r="L169" i="1"/>
  <c r="K169" i="1"/>
  <c r="I169" i="1"/>
  <c r="H169" i="1"/>
  <c r="G169" i="1"/>
  <c r="F169" i="1"/>
  <c r="O168" i="1"/>
  <c r="N168" i="1"/>
  <c r="M168" i="1"/>
  <c r="L168" i="1"/>
  <c r="K168" i="1"/>
  <c r="I168" i="1"/>
  <c r="H168" i="1"/>
  <c r="G168" i="1"/>
  <c r="J125" i="1" l="1"/>
  <c r="E125" i="1"/>
  <c r="P125" i="1" l="1"/>
  <c r="N207" i="3" l="1"/>
  <c r="M207" i="3"/>
  <c r="L207" i="3"/>
  <c r="K207" i="3"/>
  <c r="J207" i="3"/>
  <c r="H207" i="3"/>
  <c r="G207" i="3"/>
  <c r="F207" i="3"/>
  <c r="E207" i="3"/>
  <c r="N258" i="3"/>
  <c r="M258" i="3"/>
  <c r="L258" i="3"/>
  <c r="K258" i="3"/>
  <c r="J258" i="3"/>
  <c r="H258" i="3"/>
  <c r="G258" i="3"/>
  <c r="F258" i="3"/>
  <c r="E258" i="3"/>
  <c r="M189" i="3"/>
  <c r="L189" i="3"/>
  <c r="K189" i="3"/>
  <c r="H189" i="3"/>
  <c r="G189" i="3"/>
  <c r="F189" i="3"/>
  <c r="E189" i="3"/>
  <c r="N165" i="1"/>
  <c r="M165" i="1"/>
  <c r="L165" i="1"/>
  <c r="I165" i="1"/>
  <c r="G165" i="1"/>
  <c r="F305" i="1" l="1"/>
  <c r="H218" i="1"/>
  <c r="H165" i="1"/>
  <c r="O270" i="1"/>
  <c r="N260" i="3" s="1"/>
  <c r="K270" i="1"/>
  <c r="J260" i="3" s="1"/>
  <c r="F270" i="1"/>
  <c r="J269" i="1"/>
  <c r="I258" i="3" s="1"/>
  <c r="E269" i="1"/>
  <c r="D258" i="3" s="1"/>
  <c r="N71" i="3"/>
  <c r="M71" i="3"/>
  <c r="L71" i="3"/>
  <c r="K71" i="3"/>
  <c r="J71" i="3"/>
  <c r="H71" i="3"/>
  <c r="G71" i="3"/>
  <c r="F71" i="3"/>
  <c r="E71" i="3"/>
  <c r="N68" i="3"/>
  <c r="M68" i="3"/>
  <c r="L68" i="3"/>
  <c r="K68" i="3"/>
  <c r="J68" i="3"/>
  <c r="H68" i="3"/>
  <c r="G68" i="3"/>
  <c r="F68" i="3"/>
  <c r="E68" i="3"/>
  <c r="J104" i="1"/>
  <c r="E104" i="1"/>
  <c r="D71" i="3" s="1"/>
  <c r="J101" i="1"/>
  <c r="I68" i="3" s="1"/>
  <c r="E101" i="1"/>
  <c r="D68" i="3" s="1"/>
  <c r="J46" i="1"/>
  <c r="I207" i="3" s="1"/>
  <c r="E46" i="1"/>
  <c r="D207" i="3" s="1"/>
  <c r="O74" i="1"/>
  <c r="N74" i="1"/>
  <c r="M74" i="1"/>
  <c r="L74" i="1"/>
  <c r="K74" i="1"/>
  <c r="I74" i="1"/>
  <c r="H74" i="1"/>
  <c r="G74" i="1"/>
  <c r="F74" i="1"/>
  <c r="O73" i="1"/>
  <c r="N73" i="1"/>
  <c r="M73" i="1"/>
  <c r="L73" i="1"/>
  <c r="K73" i="1"/>
  <c r="I73" i="1"/>
  <c r="H73" i="1"/>
  <c r="G73" i="1"/>
  <c r="F73" i="1"/>
  <c r="N152" i="3"/>
  <c r="N148" i="3" s="1"/>
  <c r="M152" i="3"/>
  <c r="M148" i="3" s="1"/>
  <c r="L152" i="3"/>
  <c r="L148" i="3" s="1"/>
  <c r="K152" i="3"/>
  <c r="K148" i="3" s="1"/>
  <c r="J152" i="3"/>
  <c r="J148" i="3" s="1"/>
  <c r="H152" i="3"/>
  <c r="H148" i="3" s="1"/>
  <c r="G152" i="3"/>
  <c r="G148" i="3" s="1"/>
  <c r="F152" i="3"/>
  <c r="F148" i="3" s="1"/>
  <c r="E152" i="3"/>
  <c r="E148" i="3" s="1"/>
  <c r="N136" i="3"/>
  <c r="N106" i="3" s="1"/>
  <c r="M136" i="3"/>
  <c r="M106" i="3" s="1"/>
  <c r="L136" i="3"/>
  <c r="L106" i="3" s="1"/>
  <c r="K136" i="3"/>
  <c r="K106" i="3" s="1"/>
  <c r="J136" i="3"/>
  <c r="J106" i="3" s="1"/>
  <c r="H136" i="3"/>
  <c r="H106" i="3" s="1"/>
  <c r="G136" i="3"/>
  <c r="G106" i="3" s="1"/>
  <c r="F136" i="3"/>
  <c r="F106" i="3" s="1"/>
  <c r="E136" i="3"/>
  <c r="E106" i="3" s="1"/>
  <c r="N135" i="3"/>
  <c r="M135" i="3"/>
  <c r="L135" i="3"/>
  <c r="K135" i="3"/>
  <c r="J135" i="3"/>
  <c r="H135" i="3"/>
  <c r="G135" i="3"/>
  <c r="F135" i="3"/>
  <c r="E135" i="3"/>
  <c r="N275" i="1"/>
  <c r="M275" i="1"/>
  <c r="L275" i="1"/>
  <c r="I275" i="1"/>
  <c r="H275" i="1"/>
  <c r="G275" i="1"/>
  <c r="J284" i="1"/>
  <c r="E284" i="1"/>
  <c r="O221" i="1"/>
  <c r="N189" i="3" s="1"/>
  <c r="K221" i="1"/>
  <c r="J189" i="3" s="1"/>
  <c r="E260" i="3" l="1"/>
  <c r="F225" i="1"/>
  <c r="P104" i="1"/>
  <c r="O71" i="3" s="1"/>
  <c r="P269" i="1"/>
  <c r="O258" i="3" s="1"/>
  <c r="P284" i="1"/>
  <c r="P46" i="1"/>
  <c r="O207" i="3" s="1"/>
  <c r="I71" i="3"/>
  <c r="P101" i="1"/>
  <c r="O68" i="3" s="1"/>
  <c r="F275" i="1"/>
  <c r="J197" i="1"/>
  <c r="E197" i="1"/>
  <c r="J196" i="1"/>
  <c r="I135" i="3" s="1"/>
  <c r="E196" i="1"/>
  <c r="J115" i="1"/>
  <c r="J76" i="1" s="1"/>
  <c r="E115" i="1"/>
  <c r="E76" i="1" s="1"/>
  <c r="N74" i="3"/>
  <c r="N34" i="3" s="1"/>
  <c r="M74" i="3"/>
  <c r="M34" i="3" s="1"/>
  <c r="L74" i="3"/>
  <c r="L34" i="3" s="1"/>
  <c r="K74" i="3"/>
  <c r="K34" i="3" s="1"/>
  <c r="J74" i="3"/>
  <c r="J34" i="3" s="1"/>
  <c r="H74" i="3"/>
  <c r="H34" i="3" s="1"/>
  <c r="G74" i="3"/>
  <c r="G34" i="3" s="1"/>
  <c r="F74" i="3"/>
  <c r="F34" i="3" s="1"/>
  <c r="E74" i="3"/>
  <c r="E34" i="3" s="1"/>
  <c r="N73" i="3"/>
  <c r="M73" i="3"/>
  <c r="L73" i="3"/>
  <c r="K73" i="3"/>
  <c r="J73" i="3"/>
  <c r="H73" i="3"/>
  <c r="G73" i="3"/>
  <c r="F73" i="3"/>
  <c r="E73" i="3"/>
  <c r="N70" i="3"/>
  <c r="N33" i="3" s="1"/>
  <c r="M70" i="3"/>
  <c r="M33" i="3" s="1"/>
  <c r="L70" i="3"/>
  <c r="L33" i="3" s="1"/>
  <c r="K70" i="3"/>
  <c r="K33" i="3" s="1"/>
  <c r="J70" i="3"/>
  <c r="J33" i="3" s="1"/>
  <c r="H70" i="3"/>
  <c r="H33" i="3" s="1"/>
  <c r="G70" i="3"/>
  <c r="G33" i="3" s="1"/>
  <c r="F70" i="3"/>
  <c r="F33" i="3" s="1"/>
  <c r="E70" i="3"/>
  <c r="E33" i="3" s="1"/>
  <c r="N69" i="3"/>
  <c r="M69" i="3"/>
  <c r="L69" i="3"/>
  <c r="K69" i="3"/>
  <c r="J69" i="3"/>
  <c r="H69" i="3"/>
  <c r="G69" i="3"/>
  <c r="F69" i="3"/>
  <c r="E69" i="3"/>
  <c r="E107" i="1"/>
  <c r="E106" i="1"/>
  <c r="D73" i="3" s="1"/>
  <c r="E103" i="1"/>
  <c r="E102" i="1"/>
  <c r="D69" i="3" s="1"/>
  <c r="J107" i="1"/>
  <c r="J106" i="1"/>
  <c r="P106" i="1" s="1"/>
  <c r="O73" i="3" s="1"/>
  <c r="J103" i="1"/>
  <c r="J102" i="1"/>
  <c r="P102" i="1" s="1"/>
  <c r="O69" i="3" s="1"/>
  <c r="D136" i="3" l="1"/>
  <c r="D106" i="3" s="1"/>
  <c r="E170" i="1"/>
  <c r="I136" i="3"/>
  <c r="I106" i="3" s="1"/>
  <c r="J170" i="1"/>
  <c r="I152" i="3"/>
  <c r="I148" i="3" s="1"/>
  <c r="P103" i="1"/>
  <c r="J74" i="1"/>
  <c r="P107" i="1"/>
  <c r="J73" i="1"/>
  <c r="D70" i="3"/>
  <c r="D33" i="3" s="1"/>
  <c r="E74" i="1"/>
  <c r="D74" i="3"/>
  <c r="D34" i="3" s="1"/>
  <c r="E73" i="1"/>
  <c r="P115" i="1"/>
  <c r="P76" i="1" s="1"/>
  <c r="D152" i="3"/>
  <c r="D148" i="3" s="1"/>
  <c r="P196" i="1"/>
  <c r="O135" i="3" s="1"/>
  <c r="D135" i="3"/>
  <c r="P197" i="1"/>
  <c r="I69" i="3"/>
  <c r="I73" i="3"/>
  <c r="I70" i="3"/>
  <c r="I33" i="3" s="1"/>
  <c r="I74" i="3"/>
  <c r="I34" i="3" s="1"/>
  <c r="O136" i="3" l="1"/>
  <c r="O106" i="3" s="1"/>
  <c r="P170" i="1"/>
  <c r="O152" i="3"/>
  <c r="O148" i="3" s="1"/>
  <c r="O74" i="3"/>
  <c r="O34" i="3" s="1"/>
  <c r="P73" i="1"/>
  <c r="O70" i="3"/>
  <c r="O33" i="3" s="1"/>
  <c r="P74" i="1"/>
  <c r="E252" i="3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E255" i="3"/>
  <c r="E253" i="3" s="1"/>
  <c r="F255" i="3"/>
  <c r="F253" i="3" s="1"/>
  <c r="G255" i="3"/>
  <c r="G253" i="3" s="1"/>
  <c r="H255" i="3"/>
  <c r="H253" i="3" s="1"/>
  <c r="J255" i="3"/>
  <c r="J253" i="3" s="1"/>
  <c r="K255" i="3"/>
  <c r="K253" i="3" s="1"/>
  <c r="L255" i="3"/>
  <c r="L253" i="3" s="1"/>
  <c r="M255" i="3"/>
  <c r="M253" i="3" s="1"/>
  <c r="N255" i="3"/>
  <c r="N253" i="3" s="1"/>
  <c r="E256" i="3"/>
  <c r="E254" i="3" s="1"/>
  <c r="E250" i="3" s="1"/>
  <c r="F256" i="3"/>
  <c r="F254" i="3" s="1"/>
  <c r="F250" i="3" s="1"/>
  <c r="G256" i="3"/>
  <c r="G254" i="3" s="1"/>
  <c r="G250" i="3" s="1"/>
  <c r="H256" i="3"/>
  <c r="H254" i="3" s="1"/>
  <c r="H250" i="3" s="1"/>
  <c r="J256" i="3"/>
  <c r="J254" i="3" s="1"/>
  <c r="J250" i="3" s="1"/>
  <c r="K256" i="3"/>
  <c r="K254" i="3" s="1"/>
  <c r="K250" i="3" s="1"/>
  <c r="L256" i="3"/>
  <c r="L254" i="3" s="1"/>
  <c r="L250" i="3" s="1"/>
  <c r="M256" i="3"/>
  <c r="M254" i="3" s="1"/>
  <c r="M250" i="3" s="1"/>
  <c r="N256" i="3"/>
  <c r="N254" i="3" s="1"/>
  <c r="N250" i="3" s="1"/>
  <c r="E259" i="3"/>
  <c r="F259" i="3"/>
  <c r="G259" i="3"/>
  <c r="H259" i="3"/>
  <c r="J259" i="3"/>
  <c r="K259" i="3"/>
  <c r="L259" i="3"/>
  <c r="M259" i="3"/>
  <c r="N259" i="3"/>
  <c r="F261" i="3"/>
  <c r="G261" i="3"/>
  <c r="H261" i="3"/>
  <c r="J261" i="3"/>
  <c r="K261" i="3"/>
  <c r="L261" i="3"/>
  <c r="M261" i="3"/>
  <c r="N261" i="3"/>
  <c r="L257" i="3" l="1"/>
  <c r="G257" i="3"/>
  <c r="G249" i="3" s="1"/>
  <c r="M257" i="3"/>
  <c r="K257" i="3"/>
  <c r="K249" i="3" s="1"/>
  <c r="H257" i="3"/>
  <c r="H249" i="3" s="1"/>
  <c r="F257" i="3"/>
  <c r="F249" i="3" s="1"/>
  <c r="L249" i="3"/>
  <c r="M249" i="3"/>
  <c r="L326" i="1" l="1"/>
  <c r="L318" i="1" s="1"/>
  <c r="E261" i="3"/>
  <c r="F209" i="1"/>
  <c r="N200" i="3" l="1"/>
  <c r="M200" i="3"/>
  <c r="L200" i="3"/>
  <c r="K200" i="3"/>
  <c r="J200" i="3"/>
  <c r="H200" i="3"/>
  <c r="G200" i="3"/>
  <c r="F200" i="3"/>
  <c r="O228" i="1"/>
  <c r="N228" i="1"/>
  <c r="M228" i="1"/>
  <c r="L228" i="1"/>
  <c r="K228" i="1"/>
  <c r="I228" i="1"/>
  <c r="H228" i="1"/>
  <c r="G228" i="1"/>
  <c r="F228" i="1"/>
  <c r="F301" i="1"/>
  <c r="E200" i="3" s="1"/>
  <c r="O300" i="1"/>
  <c r="O297" i="1" s="1"/>
  <c r="K300" i="1"/>
  <c r="K297" i="1" s="1"/>
  <c r="N297" i="1"/>
  <c r="M297" i="1"/>
  <c r="I297" i="1"/>
  <c r="H297" i="1"/>
  <c r="G297" i="1"/>
  <c r="J301" i="1"/>
  <c r="O133" i="1"/>
  <c r="N133" i="1"/>
  <c r="M133" i="1"/>
  <c r="L133" i="1"/>
  <c r="K133" i="1"/>
  <c r="I133" i="1"/>
  <c r="H133" i="1"/>
  <c r="G133" i="1"/>
  <c r="F133" i="1"/>
  <c r="O75" i="1"/>
  <c r="N75" i="1"/>
  <c r="M75" i="1"/>
  <c r="L75" i="1"/>
  <c r="K75" i="1"/>
  <c r="I75" i="1"/>
  <c r="H75" i="1"/>
  <c r="G75" i="1"/>
  <c r="F75" i="1"/>
  <c r="E119" i="1"/>
  <c r="E118" i="1"/>
  <c r="J119" i="1"/>
  <c r="J118" i="1"/>
  <c r="O217" i="1"/>
  <c r="K217" i="1"/>
  <c r="O237" i="1"/>
  <c r="K237" i="1"/>
  <c r="O165" i="1"/>
  <c r="K165" i="1"/>
  <c r="O273" i="1"/>
  <c r="K273" i="1"/>
  <c r="O218" i="1"/>
  <c r="K218" i="1"/>
  <c r="E75" i="1" l="1"/>
  <c r="P119" i="1"/>
  <c r="E301" i="1"/>
  <c r="P301" i="1" s="1"/>
  <c r="P118" i="1"/>
  <c r="F297" i="1"/>
  <c r="J75" i="1"/>
  <c r="P75" i="1" l="1"/>
  <c r="N257" i="3"/>
  <c r="N249" i="3" s="1"/>
  <c r="J257" i="3"/>
  <c r="J249" i="3" s="1"/>
  <c r="F72" i="1"/>
  <c r="M19" i="3"/>
  <c r="L19" i="3"/>
  <c r="K19" i="3"/>
  <c r="H19" i="3"/>
  <c r="F19" i="3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7" i="1"/>
  <c r="N67" i="1"/>
  <c r="M67" i="1"/>
  <c r="L67" i="1"/>
  <c r="K67" i="1"/>
  <c r="I67" i="1"/>
  <c r="H67" i="1"/>
  <c r="G67" i="1"/>
  <c r="F67" i="1"/>
  <c r="J90" i="1"/>
  <c r="I56" i="3" s="1"/>
  <c r="I26" i="3" s="1"/>
  <c r="E90" i="1"/>
  <c r="D56" i="3" s="1"/>
  <c r="D26" i="3" s="1"/>
  <c r="N21" i="3"/>
  <c r="M21" i="3"/>
  <c r="L21" i="3"/>
  <c r="K21" i="3"/>
  <c r="J21" i="3"/>
  <c r="H21" i="3"/>
  <c r="G21" i="3"/>
  <c r="F21" i="3"/>
  <c r="E21" i="3"/>
  <c r="J234" i="1"/>
  <c r="E234" i="1"/>
  <c r="G19" i="3"/>
  <c r="O209" i="1"/>
  <c r="K209" i="1"/>
  <c r="O208" i="1"/>
  <c r="K208" i="1"/>
  <c r="F165" i="1"/>
  <c r="O280" i="1"/>
  <c r="K206" i="1" l="1"/>
  <c r="O275" i="1"/>
  <c r="N19" i="3"/>
  <c r="J19" i="3"/>
  <c r="K275" i="1"/>
  <c r="P234" i="1"/>
  <c r="P90" i="1"/>
  <c r="E67" i="1"/>
  <c r="J67" i="1"/>
  <c r="L302" i="1"/>
  <c r="L297" i="1" s="1"/>
  <c r="O265" i="1"/>
  <c r="L265" i="1"/>
  <c r="L225" i="1" s="1"/>
  <c r="N213" i="3"/>
  <c r="M213" i="3"/>
  <c r="L213" i="3"/>
  <c r="K213" i="3"/>
  <c r="J213" i="3"/>
  <c r="H213" i="3"/>
  <c r="G213" i="3"/>
  <c r="F213" i="3"/>
  <c r="E213" i="3"/>
  <c r="N214" i="3"/>
  <c r="N203" i="3" s="1"/>
  <c r="M214" i="3"/>
  <c r="M203" i="3" s="1"/>
  <c r="L214" i="3"/>
  <c r="L203" i="3" s="1"/>
  <c r="K214" i="3"/>
  <c r="K203" i="3" s="1"/>
  <c r="J214" i="3"/>
  <c r="J203" i="3" s="1"/>
  <c r="H214" i="3"/>
  <c r="H203" i="3" s="1"/>
  <c r="G214" i="3"/>
  <c r="G203" i="3" s="1"/>
  <c r="F214" i="3"/>
  <c r="F203" i="3" s="1"/>
  <c r="E214" i="3"/>
  <c r="E203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2" i="1"/>
  <c r="M72" i="1"/>
  <c r="L72" i="1"/>
  <c r="I72" i="1"/>
  <c r="H72" i="1"/>
  <c r="G72" i="1"/>
  <c r="J124" i="1"/>
  <c r="I256" i="3" s="1"/>
  <c r="I254" i="3" s="1"/>
  <c r="I250" i="3" s="1"/>
  <c r="J123" i="1"/>
  <c r="I255" i="3" s="1"/>
  <c r="I253" i="3" s="1"/>
  <c r="E124" i="1"/>
  <c r="E123" i="1"/>
  <c r="J93" i="1"/>
  <c r="I59" i="3" s="1"/>
  <c r="J92" i="1"/>
  <c r="I58" i="3" s="1"/>
  <c r="E93" i="1"/>
  <c r="P93" i="1" s="1"/>
  <c r="O59" i="3" s="1"/>
  <c r="E92" i="1"/>
  <c r="P92" i="1" s="1"/>
  <c r="O58" i="3" s="1"/>
  <c r="O72" i="1"/>
  <c r="K72" i="1"/>
  <c r="P123" i="1" l="1"/>
  <c r="O255" i="3" s="1"/>
  <c r="O253" i="3" s="1"/>
  <c r="P124" i="1"/>
  <c r="O256" i="3" s="1"/>
  <c r="O254" i="3" s="1"/>
  <c r="O250" i="3" s="1"/>
  <c r="D256" i="3"/>
  <c r="D254" i="3" s="1"/>
  <c r="D250" i="3" s="1"/>
  <c r="D59" i="3"/>
  <c r="O56" i="3"/>
  <c r="O26" i="3" s="1"/>
  <c r="P67" i="1"/>
  <c r="D58" i="3"/>
  <c r="D255" i="3"/>
  <c r="D253" i="3" s="1"/>
  <c r="J172" i="1" l="1"/>
  <c r="E172" i="1" l="1"/>
  <c r="P172" i="1" s="1"/>
  <c r="E19" i="3" l="1"/>
  <c r="K128" i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1" i="1"/>
  <c r="J72" i="1" s="1"/>
  <c r="E91" i="1"/>
  <c r="E72" i="1" s="1"/>
  <c r="E257" i="3" l="1"/>
  <c r="E249" i="3" s="1"/>
  <c r="P91" i="1"/>
  <c r="P72" i="1" s="1"/>
  <c r="D57" i="3"/>
  <c r="D32" i="3" s="1"/>
  <c r="I57" i="3"/>
  <c r="I32" i="3" s="1"/>
  <c r="O249" i="1"/>
  <c r="O225" i="1" s="1"/>
  <c r="K249" i="1"/>
  <c r="K225" i="1" s="1"/>
  <c r="O57" i="3" l="1"/>
  <c r="O32" i="3" s="1"/>
  <c r="F202" i="1"/>
  <c r="F168" i="1" s="1"/>
  <c r="F309" i="1" l="1"/>
  <c r="N184" i="3" l="1"/>
  <c r="M184" i="3"/>
  <c r="L184" i="3"/>
  <c r="K184" i="3"/>
  <c r="J184" i="3"/>
  <c r="H184" i="3"/>
  <c r="G184" i="3"/>
  <c r="F184" i="3"/>
  <c r="E184" i="3"/>
  <c r="N55" i="3" l="1"/>
  <c r="M55" i="3"/>
  <c r="L55" i="3"/>
  <c r="K55" i="3"/>
  <c r="J55" i="3"/>
  <c r="H55" i="3"/>
  <c r="G55" i="3"/>
  <c r="F55" i="3"/>
  <c r="E55" i="3"/>
  <c r="J89" i="1"/>
  <c r="I55" i="3" s="1"/>
  <c r="E89" i="1"/>
  <c r="J295" i="1"/>
  <c r="I259" i="3" s="1"/>
  <c r="E295" i="1"/>
  <c r="D259" i="3" s="1"/>
  <c r="D55" i="3" l="1"/>
  <c r="P295" i="1"/>
  <c r="O259" i="3" s="1"/>
  <c r="P89" i="1"/>
  <c r="O55" i="3" s="1"/>
  <c r="J126" i="1"/>
  <c r="E126" i="1" l="1"/>
  <c r="N78" i="3"/>
  <c r="N31" i="3" s="1"/>
  <c r="M78" i="3"/>
  <c r="M31" i="3" s="1"/>
  <c r="L78" i="3"/>
  <c r="L31" i="3" s="1"/>
  <c r="K78" i="3"/>
  <c r="K31" i="3" s="1"/>
  <c r="J78" i="3"/>
  <c r="J31" i="3" s="1"/>
  <c r="H78" i="3"/>
  <c r="H31" i="3" s="1"/>
  <c r="G78" i="3"/>
  <c r="G31" i="3" s="1"/>
  <c r="F78" i="3"/>
  <c r="F31" i="3" s="1"/>
  <c r="E78" i="3"/>
  <c r="E31" i="3" s="1"/>
  <c r="N77" i="3"/>
  <c r="M77" i="3"/>
  <c r="L77" i="3"/>
  <c r="K77" i="3"/>
  <c r="J77" i="3"/>
  <c r="H77" i="3"/>
  <c r="G77" i="3"/>
  <c r="F77" i="3"/>
  <c r="E77" i="3"/>
  <c r="O71" i="1"/>
  <c r="N71" i="1"/>
  <c r="M71" i="1"/>
  <c r="L71" i="1"/>
  <c r="K71" i="1"/>
  <c r="I71" i="1"/>
  <c r="H71" i="1"/>
  <c r="G71" i="1"/>
  <c r="F71" i="1"/>
  <c r="J111" i="1"/>
  <c r="I78" i="3" s="1"/>
  <c r="I31" i="3" s="1"/>
  <c r="J110" i="1"/>
  <c r="I77" i="3" s="1"/>
  <c r="E111" i="1"/>
  <c r="P111" i="1" s="1"/>
  <c r="O78" i="3" s="1"/>
  <c r="O31" i="3" s="1"/>
  <c r="E110" i="1"/>
  <c r="P110" i="1" s="1"/>
  <c r="O77" i="3" s="1"/>
  <c r="D78" i="3" l="1"/>
  <c r="D31" i="3" s="1"/>
  <c r="E71" i="1"/>
  <c r="P126" i="1"/>
  <c r="D77" i="3"/>
  <c r="J71" i="1"/>
  <c r="P71" i="1"/>
  <c r="N244" i="3" l="1"/>
  <c r="M244" i="3"/>
  <c r="L244" i="3"/>
  <c r="K244" i="3"/>
  <c r="J244" i="3"/>
  <c r="H244" i="3"/>
  <c r="G244" i="3"/>
  <c r="F244" i="3"/>
  <c r="E244" i="3"/>
  <c r="M222" i="3"/>
  <c r="L222" i="3"/>
  <c r="K222" i="3"/>
  <c r="H222" i="3"/>
  <c r="G222" i="3"/>
  <c r="F222" i="3"/>
  <c r="N61" i="3"/>
  <c r="M61" i="3"/>
  <c r="L61" i="3"/>
  <c r="K61" i="3"/>
  <c r="J61" i="3"/>
  <c r="H61" i="3"/>
  <c r="G61" i="3"/>
  <c r="F61" i="3"/>
  <c r="E61" i="3"/>
  <c r="E216" i="1"/>
  <c r="J216" i="1"/>
  <c r="I61" i="3" s="1"/>
  <c r="D61" i="3" l="1"/>
  <c r="P216" i="1"/>
  <c r="O61" i="3" s="1"/>
  <c r="N232" i="3" l="1"/>
  <c r="M232" i="3"/>
  <c r="L232" i="3"/>
  <c r="K232" i="3"/>
  <c r="J232" i="3"/>
  <c r="H232" i="3"/>
  <c r="G232" i="3"/>
  <c r="F232" i="3"/>
  <c r="E232" i="3"/>
  <c r="E121" i="1"/>
  <c r="D232" i="3" s="1"/>
  <c r="J121" i="1"/>
  <c r="I232" i="3" s="1"/>
  <c r="N151" i="3"/>
  <c r="M151" i="3"/>
  <c r="L151" i="3"/>
  <c r="K151" i="3"/>
  <c r="J151" i="3"/>
  <c r="H151" i="3"/>
  <c r="G151" i="3"/>
  <c r="F151" i="3"/>
  <c r="E151" i="3"/>
  <c r="N140" i="3"/>
  <c r="M140" i="3"/>
  <c r="L140" i="3"/>
  <c r="K140" i="3"/>
  <c r="J140" i="3"/>
  <c r="H140" i="3"/>
  <c r="G140" i="3"/>
  <c r="F140" i="3"/>
  <c r="N122" i="3"/>
  <c r="M122" i="3"/>
  <c r="L122" i="3"/>
  <c r="K122" i="3"/>
  <c r="J122" i="3"/>
  <c r="H122" i="3"/>
  <c r="G122" i="3"/>
  <c r="F122" i="3"/>
  <c r="E122" i="3"/>
  <c r="N76" i="3"/>
  <c r="N29" i="3" s="1"/>
  <c r="M76" i="3"/>
  <c r="M29" i="3" s="1"/>
  <c r="L76" i="3"/>
  <c r="L29" i="3" s="1"/>
  <c r="K76" i="3"/>
  <c r="K29" i="3" s="1"/>
  <c r="J76" i="3"/>
  <c r="J29" i="3" s="1"/>
  <c r="H76" i="3"/>
  <c r="H29" i="3" s="1"/>
  <c r="G76" i="3"/>
  <c r="G29" i="3" s="1"/>
  <c r="F76" i="3"/>
  <c r="F29" i="3" s="1"/>
  <c r="E76" i="3"/>
  <c r="E29" i="3" s="1"/>
  <c r="N75" i="3"/>
  <c r="M75" i="3"/>
  <c r="L75" i="3"/>
  <c r="K75" i="3"/>
  <c r="J75" i="3"/>
  <c r="H75" i="3"/>
  <c r="G75" i="3"/>
  <c r="F75" i="3"/>
  <c r="E75" i="3"/>
  <c r="N67" i="3"/>
  <c r="M67" i="3"/>
  <c r="L67" i="3"/>
  <c r="K67" i="3"/>
  <c r="J67" i="3"/>
  <c r="H67" i="3"/>
  <c r="G67" i="3"/>
  <c r="F67" i="3"/>
  <c r="E67" i="3"/>
  <c r="B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L36" i="3"/>
  <c r="K36" i="3"/>
  <c r="J36" i="3"/>
  <c r="H36" i="3"/>
  <c r="G36" i="3"/>
  <c r="F36" i="3"/>
  <c r="E36" i="3"/>
  <c r="N25" i="3" l="1"/>
  <c r="E25" i="3"/>
  <c r="J25" i="3"/>
  <c r="G24" i="3"/>
  <c r="L24" i="3"/>
  <c r="G25" i="3"/>
  <c r="L25" i="3"/>
  <c r="F24" i="3"/>
  <c r="H24" i="3"/>
  <c r="K24" i="3"/>
  <c r="M24" i="3"/>
  <c r="F25" i="3"/>
  <c r="H25" i="3"/>
  <c r="K25" i="3"/>
  <c r="M25" i="3"/>
  <c r="J24" i="3"/>
  <c r="E24" i="3"/>
  <c r="N24" i="3"/>
  <c r="N222" i="3"/>
  <c r="P121" i="1"/>
  <c r="O232" i="3" s="1"/>
  <c r="J122" i="1"/>
  <c r="J120" i="1"/>
  <c r="J116" i="1"/>
  <c r="J114" i="1"/>
  <c r="J113" i="1"/>
  <c r="J112" i="1"/>
  <c r="E122" i="1"/>
  <c r="E120" i="1"/>
  <c r="E116" i="1"/>
  <c r="E114" i="1"/>
  <c r="E113" i="1"/>
  <c r="E112" i="1"/>
  <c r="P112" i="1" l="1"/>
  <c r="P114" i="1"/>
  <c r="P120" i="1"/>
  <c r="P116" i="1"/>
  <c r="P122" i="1"/>
  <c r="P113" i="1"/>
  <c r="O70" i="1"/>
  <c r="N70" i="1"/>
  <c r="M70" i="1"/>
  <c r="L70" i="1"/>
  <c r="K70" i="1"/>
  <c r="I70" i="1"/>
  <c r="H70" i="1"/>
  <c r="G70" i="1"/>
  <c r="F70" i="1"/>
  <c r="O68" i="1"/>
  <c r="N68" i="1"/>
  <c r="M68" i="1"/>
  <c r="L68" i="1"/>
  <c r="K68" i="1"/>
  <c r="I68" i="1"/>
  <c r="H68" i="1"/>
  <c r="G68" i="1"/>
  <c r="F68" i="1"/>
  <c r="J99" i="1"/>
  <c r="I66" i="3" s="1"/>
  <c r="E99" i="1"/>
  <c r="D66" i="3" s="1"/>
  <c r="J86" i="1"/>
  <c r="I52" i="3" s="1"/>
  <c r="E86" i="1"/>
  <c r="D52" i="3" s="1"/>
  <c r="P99" i="1" l="1"/>
  <c r="O66" i="3" s="1"/>
  <c r="P86" i="1"/>
  <c r="O52" i="3" s="1"/>
  <c r="J222" i="3" l="1"/>
  <c r="E140" i="3" l="1"/>
  <c r="D218" i="1" l="1"/>
  <c r="E222" i="3" l="1"/>
  <c r="D56" i="1" l="1"/>
  <c r="N229" i="3" l="1"/>
  <c r="M229" i="3"/>
  <c r="L229" i="3"/>
  <c r="K229" i="3"/>
  <c r="J229" i="3"/>
  <c r="H229" i="3"/>
  <c r="G229" i="3"/>
  <c r="F229" i="3"/>
  <c r="E229" i="3"/>
  <c r="N190" i="3"/>
  <c r="N193" i="3"/>
  <c r="M193" i="3"/>
  <c r="L193" i="3"/>
  <c r="K193" i="3"/>
  <c r="J193" i="3"/>
  <c r="H193" i="3"/>
  <c r="G193" i="3"/>
  <c r="F193" i="3"/>
  <c r="E193" i="3"/>
  <c r="O214" i="1"/>
  <c r="N214" i="1"/>
  <c r="M214" i="1"/>
  <c r="L214" i="1"/>
  <c r="K214" i="1"/>
  <c r="I214" i="1"/>
  <c r="H214" i="1"/>
  <c r="G214" i="1"/>
  <c r="F214" i="1"/>
  <c r="N227" i="3"/>
  <c r="M227" i="3"/>
  <c r="L227" i="3"/>
  <c r="K227" i="3"/>
  <c r="J227" i="3"/>
  <c r="H227" i="3"/>
  <c r="G227" i="3"/>
  <c r="F227" i="3"/>
  <c r="E227" i="3"/>
  <c r="O232" i="1"/>
  <c r="N232" i="1"/>
  <c r="M232" i="1"/>
  <c r="L232" i="1"/>
  <c r="K232" i="1"/>
  <c r="I232" i="1"/>
  <c r="H232" i="1"/>
  <c r="G232" i="1"/>
  <c r="F232" i="1"/>
  <c r="J300" i="1"/>
  <c r="E300" i="1"/>
  <c r="E264" i="1"/>
  <c r="D227" i="3" s="1"/>
  <c r="J264" i="1"/>
  <c r="I227" i="3" s="1"/>
  <c r="E221" i="1"/>
  <c r="D189" i="3" s="1"/>
  <c r="J221" i="1"/>
  <c r="I189" i="3" s="1"/>
  <c r="D193" i="3" l="1"/>
  <c r="I193" i="3"/>
  <c r="P221" i="1"/>
  <c r="O189" i="3" s="1"/>
  <c r="P264" i="1"/>
  <c r="E232" i="1"/>
  <c r="P300" i="1"/>
  <c r="J232" i="1"/>
  <c r="E20" i="3"/>
  <c r="F20" i="3"/>
  <c r="G20" i="3"/>
  <c r="H20" i="3"/>
  <c r="J20" i="3"/>
  <c r="K20" i="3"/>
  <c r="L20" i="3"/>
  <c r="M20" i="3"/>
  <c r="N20" i="3"/>
  <c r="O193" i="3" l="1"/>
  <c r="O227" i="3"/>
  <c r="P232" i="1"/>
  <c r="N212" i="3"/>
  <c r="M212" i="3"/>
  <c r="L212" i="3"/>
  <c r="K212" i="3"/>
  <c r="J212" i="3"/>
  <c r="H212" i="3"/>
  <c r="G212" i="3"/>
  <c r="F212" i="3"/>
  <c r="E212" i="3"/>
  <c r="J48" i="1" l="1"/>
  <c r="I212" i="3" s="1"/>
  <c r="E48" i="1"/>
  <c r="J22" i="1"/>
  <c r="I20" i="3" s="1"/>
  <c r="E22" i="1"/>
  <c r="D212" i="3" l="1"/>
  <c r="P48" i="1"/>
  <c r="O212" i="3" s="1"/>
  <c r="P22" i="1"/>
  <c r="O20" i="3" s="1"/>
  <c r="D20" i="3"/>
  <c r="F207" i="1" l="1"/>
  <c r="G207" i="1"/>
  <c r="H207" i="1"/>
  <c r="I207" i="1"/>
  <c r="K207" i="1"/>
  <c r="L207" i="1"/>
  <c r="M207" i="1"/>
  <c r="N207" i="1"/>
  <c r="O207" i="1"/>
  <c r="E89" i="3" l="1"/>
  <c r="F89" i="3"/>
  <c r="G89" i="3"/>
  <c r="H89" i="3"/>
  <c r="J89" i="3"/>
  <c r="K89" i="3"/>
  <c r="L89" i="3"/>
  <c r="M89" i="3"/>
  <c r="N89" i="3"/>
  <c r="F128" i="1" l="1"/>
  <c r="G128" i="1"/>
  <c r="H128" i="1"/>
  <c r="I128" i="1"/>
  <c r="L128" i="1"/>
  <c r="M128" i="1"/>
  <c r="N128" i="1"/>
  <c r="O128" i="1"/>
  <c r="E143" i="1"/>
  <c r="J143" i="1"/>
  <c r="I89" i="3" s="1"/>
  <c r="P143" i="1" l="1"/>
  <c r="O89" i="3" s="1"/>
  <c r="D89" i="3"/>
  <c r="E211" i="3"/>
  <c r="F211" i="3"/>
  <c r="G211" i="3"/>
  <c r="H211" i="3"/>
  <c r="J211" i="3"/>
  <c r="K211" i="3"/>
  <c r="L211" i="3"/>
  <c r="M211" i="3"/>
  <c r="N211" i="3"/>
  <c r="E258" i="1"/>
  <c r="J258" i="1"/>
  <c r="F227" i="1"/>
  <c r="F331" i="1" s="1"/>
  <c r="G227" i="1"/>
  <c r="G331" i="1" s="1"/>
  <c r="H227" i="1"/>
  <c r="H331" i="1" s="1"/>
  <c r="I227" i="1"/>
  <c r="I331" i="1" s="1"/>
  <c r="K227" i="1"/>
  <c r="K331" i="1" s="1"/>
  <c r="L227" i="1"/>
  <c r="L331" i="1" s="1"/>
  <c r="M227" i="1"/>
  <c r="M331" i="1" s="1"/>
  <c r="N227" i="1"/>
  <c r="N331" i="1" s="1"/>
  <c r="O227" i="1"/>
  <c r="O331" i="1" s="1"/>
  <c r="D211" i="3" l="1"/>
  <c r="D214" i="3"/>
  <c r="D203" i="3" s="1"/>
  <c r="J227" i="1"/>
  <c r="I214" i="3"/>
  <c r="I203" i="3" s="1"/>
  <c r="E227" i="1"/>
  <c r="P258" i="1"/>
  <c r="O214" i="3" s="1"/>
  <c r="O203" i="3" s="1"/>
  <c r="I211" i="3"/>
  <c r="E212" i="1"/>
  <c r="J212" i="1"/>
  <c r="I168" i="3" s="1"/>
  <c r="L166" i="1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E103" i="3" s="1"/>
  <c r="F138" i="3"/>
  <c r="F103" i="3" s="1"/>
  <c r="G138" i="3"/>
  <c r="G103" i="3" s="1"/>
  <c r="H138" i="3"/>
  <c r="H103" i="3" s="1"/>
  <c r="J138" i="3"/>
  <c r="J103" i="3" s="1"/>
  <c r="K138" i="3"/>
  <c r="K103" i="3" s="1"/>
  <c r="L138" i="3"/>
  <c r="L103" i="3" s="1"/>
  <c r="M138" i="3"/>
  <c r="M103" i="3" s="1"/>
  <c r="N138" i="3"/>
  <c r="N103" i="3" s="1"/>
  <c r="E195" i="1"/>
  <c r="E194" i="1"/>
  <c r="D133" i="3" s="1"/>
  <c r="J195" i="1"/>
  <c r="J169" i="1" s="1"/>
  <c r="J194" i="1"/>
  <c r="I133" i="3" s="1"/>
  <c r="E157" i="3"/>
  <c r="F157" i="3"/>
  <c r="G157" i="3"/>
  <c r="H157" i="3"/>
  <c r="J157" i="3"/>
  <c r="K157" i="3"/>
  <c r="L157" i="3"/>
  <c r="M157" i="3"/>
  <c r="N157" i="3"/>
  <c r="J198" i="1"/>
  <c r="I137" i="3" s="1"/>
  <c r="J199" i="1"/>
  <c r="J167" i="1" s="1"/>
  <c r="E198" i="1"/>
  <c r="D137" i="3" s="1"/>
  <c r="E199" i="1"/>
  <c r="F167" i="1"/>
  <c r="G167" i="1"/>
  <c r="H167" i="1"/>
  <c r="I167" i="1"/>
  <c r="K167" i="1"/>
  <c r="L167" i="1"/>
  <c r="M167" i="1"/>
  <c r="N167" i="1"/>
  <c r="O167" i="1"/>
  <c r="F166" i="1"/>
  <c r="G166" i="1"/>
  <c r="H166" i="1"/>
  <c r="I166" i="1"/>
  <c r="K166" i="1"/>
  <c r="M166" i="1"/>
  <c r="N166" i="1"/>
  <c r="O166" i="1"/>
  <c r="D166" i="1"/>
  <c r="D199" i="1"/>
  <c r="D167" i="1"/>
  <c r="D198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I21" i="3" l="1"/>
  <c r="E207" i="1"/>
  <c r="D168" i="3"/>
  <c r="D157" i="3" s="1"/>
  <c r="D134" i="3"/>
  <c r="D105" i="3" s="1"/>
  <c r="E169" i="1"/>
  <c r="N102" i="3"/>
  <c r="N105" i="3"/>
  <c r="L102" i="3"/>
  <c r="L105" i="3"/>
  <c r="J102" i="3"/>
  <c r="J105" i="3"/>
  <c r="G102" i="3"/>
  <c r="G105" i="3"/>
  <c r="E102" i="3"/>
  <c r="E105" i="3"/>
  <c r="M102" i="3"/>
  <c r="M105" i="3"/>
  <c r="K102" i="3"/>
  <c r="K105" i="3"/>
  <c r="H102" i="3"/>
  <c r="H105" i="3"/>
  <c r="F102" i="3"/>
  <c r="F105" i="3"/>
  <c r="P227" i="1"/>
  <c r="O211" i="3"/>
  <c r="P212" i="1"/>
  <c r="J207" i="1"/>
  <c r="P195" i="1"/>
  <c r="I157" i="3"/>
  <c r="D138" i="3"/>
  <c r="D103" i="3" s="1"/>
  <c r="I134" i="3"/>
  <c r="J166" i="1"/>
  <c r="I138" i="3"/>
  <c r="I103" i="3" s="1"/>
  <c r="P194" i="1"/>
  <c r="P198" i="1"/>
  <c r="O137" i="3" s="1"/>
  <c r="E166" i="1"/>
  <c r="P199" i="1"/>
  <c r="E167" i="1"/>
  <c r="P25" i="1"/>
  <c r="P20" i="1" s="1"/>
  <c r="E20" i="1"/>
  <c r="P207" i="1" l="1"/>
  <c r="O168" i="3"/>
  <c r="D102" i="3"/>
  <c r="O134" i="3"/>
  <c r="O105" i="3" s="1"/>
  <c r="P169" i="1"/>
  <c r="I102" i="3"/>
  <c r="I105" i="3"/>
  <c r="O102" i="3"/>
  <c r="P166" i="1"/>
  <c r="O133" i="3"/>
  <c r="P167" i="1"/>
  <c r="O138" i="3"/>
  <c r="O103" i="3" s="1"/>
  <c r="O23" i="3"/>
  <c r="O18" i="3" s="1"/>
  <c r="O157" i="3" l="1"/>
  <c r="O206" i="1"/>
  <c r="N206" i="1"/>
  <c r="M206" i="1"/>
  <c r="L206" i="1"/>
  <c r="I206" i="1"/>
  <c r="H206" i="1"/>
  <c r="J211" i="1"/>
  <c r="I167" i="3" s="1"/>
  <c r="E211" i="1"/>
  <c r="D167" i="3" s="1"/>
  <c r="E293" i="1"/>
  <c r="E291" i="1"/>
  <c r="D200" i="3" s="1"/>
  <c r="N22" i="3"/>
  <c r="M22" i="3"/>
  <c r="L22" i="3"/>
  <c r="K22" i="3"/>
  <c r="J22" i="3"/>
  <c r="H22" i="3"/>
  <c r="G22" i="3"/>
  <c r="F22" i="3"/>
  <c r="E22" i="3"/>
  <c r="I22" i="3"/>
  <c r="E24" i="1"/>
  <c r="P211" i="1" l="1"/>
  <c r="O167" i="3" s="1"/>
  <c r="P24" i="1"/>
  <c r="D22" i="3"/>
  <c r="J163" i="1"/>
  <c r="E163" i="1"/>
  <c r="O22" i="3" l="1"/>
  <c r="P163" i="1"/>
  <c r="J291" i="1" l="1"/>
  <c r="I200" i="3" s="1"/>
  <c r="P291" i="1" l="1"/>
  <c r="O200" i="3" s="1"/>
  <c r="N69" i="1" l="1"/>
  <c r="M69" i="1"/>
  <c r="L69" i="1"/>
  <c r="I69" i="1"/>
  <c r="H69" i="1"/>
  <c r="G69" i="1"/>
  <c r="J96" i="1"/>
  <c r="I63" i="3" s="1"/>
  <c r="E96" i="1"/>
  <c r="D63" i="3" s="1"/>
  <c r="P96" i="1" l="1"/>
  <c r="O63" i="3" s="1"/>
  <c r="J316" i="1"/>
  <c r="M218" i="3" l="1"/>
  <c r="M217" i="3" s="1"/>
  <c r="L218" i="3"/>
  <c r="L217" i="3" s="1"/>
  <c r="K218" i="3"/>
  <c r="K217" i="3" s="1"/>
  <c r="H218" i="3"/>
  <c r="H217" i="3" s="1"/>
  <c r="G218" i="3"/>
  <c r="G217" i="3" s="1"/>
  <c r="F218" i="3"/>
  <c r="F217" i="3" s="1"/>
  <c r="J261" i="1" l="1"/>
  <c r="E261" i="1"/>
  <c r="P261" i="1" l="1"/>
  <c r="N192" i="3" l="1"/>
  <c r="M192" i="3"/>
  <c r="L192" i="3"/>
  <c r="K192" i="3"/>
  <c r="J192" i="3"/>
  <c r="H192" i="3"/>
  <c r="G192" i="3"/>
  <c r="F192" i="3"/>
  <c r="E192" i="3"/>
  <c r="J287" i="1"/>
  <c r="E287" i="1"/>
  <c r="E285" i="1"/>
  <c r="O315" i="1"/>
  <c r="O314" i="1" s="1"/>
  <c r="N315" i="1"/>
  <c r="N314" i="1" s="1"/>
  <c r="M315" i="1"/>
  <c r="M314" i="1" s="1"/>
  <c r="L315" i="1"/>
  <c r="L314" i="1" s="1"/>
  <c r="K315" i="1"/>
  <c r="K314" i="1" s="1"/>
  <c r="J315" i="1"/>
  <c r="J314" i="1" s="1"/>
  <c r="I315" i="1"/>
  <c r="I314" i="1" s="1"/>
  <c r="H315" i="1"/>
  <c r="H314" i="1" s="1"/>
  <c r="G315" i="1"/>
  <c r="G314" i="1" s="1"/>
  <c r="F315" i="1"/>
  <c r="F314" i="1" s="1"/>
  <c r="E316" i="1"/>
  <c r="P316" i="1" s="1"/>
  <c r="P315" i="1" s="1"/>
  <c r="P314" i="1" s="1"/>
  <c r="N218" i="3"/>
  <c r="N217" i="3" s="1"/>
  <c r="J218" i="3"/>
  <c r="J217" i="3" s="1"/>
  <c r="E315" i="1" l="1"/>
  <c r="E314" i="1" s="1"/>
  <c r="P287" i="1"/>
  <c r="O69" i="1"/>
  <c r="K69" i="1"/>
  <c r="F69" i="1"/>
  <c r="O130" i="1" l="1"/>
  <c r="N130" i="1"/>
  <c r="M130" i="1"/>
  <c r="L130" i="1"/>
  <c r="K130" i="1"/>
  <c r="I130" i="1"/>
  <c r="H130" i="1"/>
  <c r="G130" i="1"/>
  <c r="F130" i="1"/>
  <c r="J158" i="1"/>
  <c r="J159" i="1"/>
  <c r="E158" i="1"/>
  <c r="E159" i="1"/>
  <c r="J133" i="1" l="1"/>
  <c r="E130" i="1"/>
  <c r="E133" i="1"/>
  <c r="P159" i="1"/>
  <c r="P158" i="1"/>
  <c r="J130" i="1"/>
  <c r="P130" i="1" l="1"/>
  <c r="P133" i="1"/>
  <c r="D249" i="1"/>
  <c r="N223" i="3" l="1"/>
  <c r="M223" i="3"/>
  <c r="L223" i="3"/>
  <c r="K223" i="3"/>
  <c r="J223" i="3"/>
  <c r="H223" i="3"/>
  <c r="G223" i="3"/>
  <c r="F223" i="3"/>
  <c r="E223" i="3"/>
  <c r="F220" i="3" l="1"/>
  <c r="F176" i="3" s="1"/>
  <c r="F265" i="3" s="1"/>
  <c r="H220" i="3"/>
  <c r="H176" i="3" s="1"/>
  <c r="H265" i="3" s="1"/>
  <c r="K220" i="3"/>
  <c r="K176" i="3" s="1"/>
  <c r="K265" i="3" s="1"/>
  <c r="M220" i="3"/>
  <c r="M176" i="3" s="1"/>
  <c r="M265" i="3" s="1"/>
  <c r="E220" i="3"/>
  <c r="E176" i="3" s="1"/>
  <c r="E265" i="3" s="1"/>
  <c r="G220" i="3"/>
  <c r="G176" i="3" s="1"/>
  <c r="G265" i="3" s="1"/>
  <c r="L220" i="3"/>
  <c r="L176" i="3" s="1"/>
  <c r="L265" i="3" s="1"/>
  <c r="N220" i="3"/>
  <c r="N176" i="3" s="1"/>
  <c r="N265" i="3" s="1"/>
  <c r="J220" i="3"/>
  <c r="J176" i="3" s="1"/>
  <c r="J265" i="3" s="1"/>
  <c r="O136" i="1"/>
  <c r="N136" i="1"/>
  <c r="M136" i="1"/>
  <c r="L136" i="1"/>
  <c r="K136" i="1"/>
  <c r="I136" i="1"/>
  <c r="H136" i="1"/>
  <c r="G136" i="1"/>
  <c r="F136" i="1"/>
  <c r="O277" i="1"/>
  <c r="N277" i="1"/>
  <c r="M277" i="1"/>
  <c r="L277" i="1"/>
  <c r="K277" i="1"/>
  <c r="I277" i="1"/>
  <c r="H277" i="1"/>
  <c r="G277" i="1"/>
  <c r="F277" i="1"/>
  <c r="E277" i="1"/>
  <c r="M338" i="1" l="1"/>
  <c r="F333" i="1"/>
  <c r="F338" i="1" s="1"/>
  <c r="H333" i="1"/>
  <c r="H338" i="1" s="1"/>
  <c r="K333" i="1"/>
  <c r="K338" i="1" s="1"/>
  <c r="M333" i="1"/>
  <c r="O333" i="1"/>
  <c r="O338" i="1" s="1"/>
  <c r="G333" i="1"/>
  <c r="G338" i="1" s="1"/>
  <c r="I333" i="1"/>
  <c r="I338" i="1" s="1"/>
  <c r="L333" i="1"/>
  <c r="L338" i="1" s="1"/>
  <c r="N333" i="1"/>
  <c r="N338" i="1" s="1"/>
  <c r="E218" i="3" l="1"/>
  <c r="E217" i="3" s="1"/>
  <c r="M190" i="3" l="1"/>
  <c r="L190" i="3"/>
  <c r="K190" i="3"/>
  <c r="H190" i="3"/>
  <c r="G190" i="3"/>
  <c r="F190" i="3"/>
  <c r="E190" i="3"/>
  <c r="N188" i="3" l="1"/>
  <c r="M188" i="3"/>
  <c r="L188" i="3"/>
  <c r="K188" i="3"/>
  <c r="J188" i="3"/>
  <c r="H188" i="3"/>
  <c r="G188" i="3"/>
  <c r="F188" i="3"/>
  <c r="E188" i="3"/>
  <c r="M186" i="3"/>
  <c r="L186" i="3"/>
  <c r="K186" i="3"/>
  <c r="H186" i="3"/>
  <c r="G186" i="3"/>
  <c r="F186" i="3"/>
  <c r="E186" i="3"/>
  <c r="M191" i="3"/>
  <c r="L191" i="3"/>
  <c r="K191" i="3"/>
  <c r="H191" i="3"/>
  <c r="G191" i="3"/>
  <c r="F191" i="3"/>
  <c r="E191" i="3"/>
  <c r="J203" i="1" l="1"/>
  <c r="E203" i="1"/>
  <c r="D188" i="3" s="1"/>
  <c r="J155" i="1"/>
  <c r="E155" i="1"/>
  <c r="E43" i="1"/>
  <c r="E42" i="1"/>
  <c r="D190" i="3" s="1"/>
  <c r="J43" i="1"/>
  <c r="P43" i="1" s="1"/>
  <c r="J42" i="1"/>
  <c r="P42" i="1" l="1"/>
  <c r="P155" i="1"/>
  <c r="P203" i="1"/>
  <c r="O188" i="3" s="1"/>
  <c r="I188" i="3"/>
  <c r="N191" i="3"/>
  <c r="J191" i="3"/>
  <c r="E161" i="1" l="1"/>
  <c r="J161" i="1"/>
  <c r="J136" i="1" l="1"/>
  <c r="D223" i="3"/>
  <c r="E136" i="1"/>
  <c r="E333" i="1" s="1"/>
  <c r="P161" i="1"/>
  <c r="J293" i="1"/>
  <c r="J277" i="1" s="1"/>
  <c r="J333" i="1" l="1"/>
  <c r="D220" i="3"/>
  <c r="I223" i="3"/>
  <c r="P136" i="1"/>
  <c r="P293" i="1"/>
  <c r="P277" i="1" s="1"/>
  <c r="N210" i="3"/>
  <c r="M210" i="3"/>
  <c r="L210" i="3"/>
  <c r="K210" i="3"/>
  <c r="J210" i="3"/>
  <c r="H210" i="3"/>
  <c r="G210" i="3"/>
  <c r="F210" i="3"/>
  <c r="E210" i="3"/>
  <c r="N141" i="3"/>
  <c r="M141" i="3"/>
  <c r="L141" i="3"/>
  <c r="K141" i="3"/>
  <c r="J141" i="3"/>
  <c r="H141" i="3"/>
  <c r="G141" i="3"/>
  <c r="F141" i="3"/>
  <c r="N127" i="3"/>
  <c r="M127" i="3"/>
  <c r="L127" i="3"/>
  <c r="K127" i="3"/>
  <c r="J127" i="3"/>
  <c r="H127" i="3"/>
  <c r="G127" i="3"/>
  <c r="F127" i="3"/>
  <c r="E127" i="3"/>
  <c r="N125" i="3"/>
  <c r="M125" i="3"/>
  <c r="L125" i="3"/>
  <c r="K125" i="3"/>
  <c r="J125" i="3"/>
  <c r="H125" i="3"/>
  <c r="G125" i="3"/>
  <c r="F125" i="3"/>
  <c r="E125" i="3"/>
  <c r="N116" i="3"/>
  <c r="M116" i="3"/>
  <c r="L116" i="3"/>
  <c r="K116" i="3"/>
  <c r="J116" i="3"/>
  <c r="H116" i="3"/>
  <c r="G116" i="3"/>
  <c r="F116" i="3"/>
  <c r="E116" i="3"/>
  <c r="N114" i="3"/>
  <c r="M114" i="3"/>
  <c r="L114" i="3"/>
  <c r="K114" i="3"/>
  <c r="J114" i="3"/>
  <c r="H114" i="3"/>
  <c r="G114" i="3"/>
  <c r="F114" i="3"/>
  <c r="E114" i="3"/>
  <c r="N110" i="3"/>
  <c r="M110" i="3"/>
  <c r="L110" i="3"/>
  <c r="K110" i="3"/>
  <c r="J110" i="3"/>
  <c r="H110" i="3"/>
  <c r="G110" i="3"/>
  <c r="F110" i="3"/>
  <c r="N98" i="3"/>
  <c r="M98" i="3"/>
  <c r="L98" i="3"/>
  <c r="K98" i="3"/>
  <c r="J98" i="3"/>
  <c r="H98" i="3"/>
  <c r="G98" i="3"/>
  <c r="F98" i="3"/>
  <c r="E98" i="3"/>
  <c r="N97" i="3"/>
  <c r="M97" i="3"/>
  <c r="L97" i="3"/>
  <c r="K97" i="3"/>
  <c r="J97" i="3"/>
  <c r="H97" i="3"/>
  <c r="G97" i="3"/>
  <c r="F97" i="3"/>
  <c r="E97" i="3"/>
  <c r="N95" i="3"/>
  <c r="N82" i="3" s="1"/>
  <c r="M95" i="3"/>
  <c r="M82" i="3" s="1"/>
  <c r="L95" i="3"/>
  <c r="L82" i="3" s="1"/>
  <c r="K95" i="3"/>
  <c r="K82" i="3" s="1"/>
  <c r="J95" i="3"/>
  <c r="J82" i="3" s="1"/>
  <c r="H95" i="3"/>
  <c r="H82" i="3" s="1"/>
  <c r="G95" i="3"/>
  <c r="G82" i="3" s="1"/>
  <c r="F95" i="3"/>
  <c r="F82" i="3" s="1"/>
  <c r="E95" i="3"/>
  <c r="N93" i="3"/>
  <c r="M93" i="3"/>
  <c r="L93" i="3"/>
  <c r="K93" i="3"/>
  <c r="J93" i="3"/>
  <c r="H93" i="3"/>
  <c r="G93" i="3"/>
  <c r="F93" i="3"/>
  <c r="E93" i="3"/>
  <c r="N91" i="3"/>
  <c r="M91" i="3"/>
  <c r="L91" i="3"/>
  <c r="K91" i="3"/>
  <c r="J91" i="3"/>
  <c r="I91" i="3"/>
  <c r="H91" i="3"/>
  <c r="G91" i="3"/>
  <c r="F91" i="3"/>
  <c r="E91" i="3"/>
  <c r="N86" i="3"/>
  <c r="M86" i="3"/>
  <c r="L86" i="3"/>
  <c r="K86" i="3"/>
  <c r="J86" i="3"/>
  <c r="H86" i="3"/>
  <c r="G86" i="3"/>
  <c r="F86" i="3"/>
  <c r="N85" i="3"/>
  <c r="M85" i="3"/>
  <c r="L85" i="3"/>
  <c r="K85" i="3"/>
  <c r="J85" i="3"/>
  <c r="H85" i="3"/>
  <c r="G85" i="3"/>
  <c r="F85" i="3"/>
  <c r="E85" i="3"/>
  <c r="J69" i="1"/>
  <c r="E69" i="1"/>
  <c r="O129" i="1"/>
  <c r="N129" i="1"/>
  <c r="M129" i="1"/>
  <c r="L129" i="1"/>
  <c r="K129" i="1"/>
  <c r="I129" i="1"/>
  <c r="H129" i="1"/>
  <c r="G129" i="1"/>
  <c r="F129" i="1"/>
  <c r="E82" i="3" l="1"/>
  <c r="F104" i="3"/>
  <c r="H104" i="3"/>
  <c r="K104" i="3"/>
  <c r="M104" i="3"/>
  <c r="G104" i="3"/>
  <c r="J104" i="3"/>
  <c r="L104" i="3"/>
  <c r="N104" i="3"/>
  <c r="D176" i="3"/>
  <c r="D265" i="3" s="1"/>
  <c r="E338" i="1" s="1"/>
  <c r="P333" i="1"/>
  <c r="I220" i="3"/>
  <c r="I176" i="3" s="1"/>
  <c r="I265" i="3" s="1"/>
  <c r="J338" i="1" s="1"/>
  <c r="O223" i="3"/>
  <c r="P69" i="1"/>
  <c r="O220" i="3" l="1"/>
  <c r="O176" i="3" s="1"/>
  <c r="O265" i="3" s="1"/>
  <c r="P338" i="1" s="1"/>
  <c r="O226" i="1"/>
  <c r="N226" i="1"/>
  <c r="M226" i="1"/>
  <c r="L226" i="1"/>
  <c r="K226" i="1"/>
  <c r="I226" i="1"/>
  <c r="H226" i="1"/>
  <c r="G226" i="1"/>
  <c r="F226" i="1"/>
  <c r="O131" i="1" l="1"/>
  <c r="N131" i="1"/>
  <c r="M131" i="1"/>
  <c r="L131" i="1"/>
  <c r="K131" i="1"/>
  <c r="I131" i="1"/>
  <c r="H131" i="1"/>
  <c r="G131" i="1"/>
  <c r="J142" i="1" l="1"/>
  <c r="E142" i="1"/>
  <c r="J140" i="1"/>
  <c r="I86" i="3" s="1"/>
  <c r="J139" i="1"/>
  <c r="I85" i="3" s="1"/>
  <c r="E139" i="1"/>
  <c r="D85" i="3" s="1"/>
  <c r="J147" i="1"/>
  <c r="I93" i="3" s="1"/>
  <c r="E147" i="1"/>
  <c r="D93" i="3" s="1"/>
  <c r="E145" i="1"/>
  <c r="E135" i="1" l="1"/>
  <c r="D88" i="3"/>
  <c r="D83" i="3" s="1"/>
  <c r="J135" i="1"/>
  <c r="I88" i="3"/>
  <c r="F131" i="1"/>
  <c r="E86" i="3"/>
  <c r="P145" i="1"/>
  <c r="O91" i="3" s="1"/>
  <c r="D91" i="3"/>
  <c r="E129" i="1"/>
  <c r="J129" i="1"/>
  <c r="E140" i="1"/>
  <c r="P147" i="1"/>
  <c r="O93" i="3" s="1"/>
  <c r="P139" i="1"/>
  <c r="O85" i="3" s="1"/>
  <c r="P142" i="1"/>
  <c r="P135" i="1" l="1"/>
  <c r="O88" i="3"/>
  <c r="P140" i="1"/>
  <c r="O86" i="3" s="1"/>
  <c r="D86" i="3"/>
  <c r="P129" i="1"/>
  <c r="N202" i="3"/>
  <c r="N173" i="3" s="1"/>
  <c r="M202" i="3"/>
  <c r="M173" i="3" s="1"/>
  <c r="L202" i="3"/>
  <c r="L173" i="3" s="1"/>
  <c r="K202" i="3"/>
  <c r="K173" i="3" s="1"/>
  <c r="J202" i="3"/>
  <c r="J173" i="3" s="1"/>
  <c r="H202" i="3"/>
  <c r="H173" i="3" s="1"/>
  <c r="G202" i="3"/>
  <c r="G173" i="3" s="1"/>
  <c r="F202" i="3"/>
  <c r="F173" i="3" s="1"/>
  <c r="E202" i="3"/>
  <c r="E173" i="3" s="1"/>
  <c r="N180" i="3"/>
  <c r="N263" i="3" s="1"/>
  <c r="O336" i="1" s="1"/>
  <c r="M180" i="3"/>
  <c r="M263" i="3" s="1"/>
  <c r="N336" i="1" s="1"/>
  <c r="L180" i="3"/>
  <c r="L263" i="3" s="1"/>
  <c r="M336" i="1" s="1"/>
  <c r="K180" i="3"/>
  <c r="K263" i="3" s="1"/>
  <c r="L336" i="1" s="1"/>
  <c r="J180" i="3"/>
  <c r="J263" i="3" s="1"/>
  <c r="K336" i="1" s="1"/>
  <c r="H180" i="3"/>
  <c r="H263" i="3" s="1"/>
  <c r="I336" i="1" s="1"/>
  <c r="G180" i="3"/>
  <c r="G263" i="3" s="1"/>
  <c r="H336" i="1" s="1"/>
  <c r="F180" i="3"/>
  <c r="F263" i="3" s="1"/>
  <c r="G336" i="1" s="1"/>
  <c r="E180" i="3"/>
  <c r="E263" i="3" s="1"/>
  <c r="F336" i="1" s="1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H80" i="3"/>
  <c r="G80" i="3"/>
  <c r="F80" i="3"/>
  <c r="E80" i="3"/>
  <c r="F172" i="3" l="1"/>
  <c r="H172" i="3"/>
  <c r="K172" i="3"/>
  <c r="M172" i="3"/>
  <c r="E172" i="3"/>
  <c r="G172" i="3"/>
  <c r="J172" i="3"/>
  <c r="L172" i="3"/>
  <c r="N172" i="3"/>
  <c r="K80" i="3"/>
  <c r="M80" i="3"/>
  <c r="J80" i="3"/>
  <c r="L80" i="3"/>
  <c r="N80" i="3"/>
  <c r="J257" i="1"/>
  <c r="E257" i="1"/>
  <c r="D210" i="3" s="1"/>
  <c r="J253" i="1"/>
  <c r="I197" i="3" s="1"/>
  <c r="E253" i="1"/>
  <c r="D197" i="3" s="1"/>
  <c r="J202" i="1"/>
  <c r="I141" i="3" s="1"/>
  <c r="J188" i="1"/>
  <c r="I127" i="3" s="1"/>
  <c r="E188" i="1"/>
  <c r="D127" i="3" s="1"/>
  <c r="J186" i="1"/>
  <c r="I125" i="3" s="1"/>
  <c r="E186" i="1"/>
  <c r="D125" i="3" s="1"/>
  <c r="J182" i="1"/>
  <c r="I116" i="3" s="1"/>
  <c r="E182" i="1"/>
  <c r="D116" i="3" s="1"/>
  <c r="J180" i="1"/>
  <c r="I114" i="3" s="1"/>
  <c r="E180" i="1"/>
  <c r="D114" i="3" s="1"/>
  <c r="J176" i="1"/>
  <c r="J152" i="1"/>
  <c r="I98" i="3" s="1"/>
  <c r="E152" i="1"/>
  <c r="J151" i="1"/>
  <c r="E151" i="1"/>
  <c r="J149" i="1"/>
  <c r="E149" i="1"/>
  <c r="J109" i="1"/>
  <c r="E109" i="1"/>
  <c r="J95" i="1"/>
  <c r="I62" i="3" s="1"/>
  <c r="E95" i="1"/>
  <c r="D62" i="3" s="1"/>
  <c r="J84" i="1"/>
  <c r="I50" i="3" s="1"/>
  <c r="I27" i="3" s="1"/>
  <c r="E84" i="1"/>
  <c r="D50" i="3" s="1"/>
  <c r="D27" i="3" s="1"/>
  <c r="J83" i="1"/>
  <c r="E83" i="1"/>
  <c r="J80" i="1"/>
  <c r="I45" i="3" s="1"/>
  <c r="E132" i="1" l="1"/>
  <c r="I95" i="3"/>
  <c r="I82" i="3" s="1"/>
  <c r="J132" i="1"/>
  <c r="I49" i="3"/>
  <c r="I25" i="3" s="1"/>
  <c r="J65" i="1"/>
  <c r="D49" i="3"/>
  <c r="D25" i="3" s="1"/>
  <c r="E65" i="1"/>
  <c r="J168" i="1"/>
  <c r="J228" i="1"/>
  <c r="E228" i="1"/>
  <c r="D180" i="3"/>
  <c r="D98" i="3"/>
  <c r="D95" i="3"/>
  <c r="J70" i="1"/>
  <c r="I76" i="3"/>
  <c r="I29" i="3" s="1"/>
  <c r="E70" i="1"/>
  <c r="D76" i="3"/>
  <c r="D29" i="3" s="1"/>
  <c r="J68" i="1"/>
  <c r="E68" i="1"/>
  <c r="E176" i="1"/>
  <c r="E110" i="3"/>
  <c r="E202" i="1"/>
  <c r="E141" i="3"/>
  <c r="I110" i="3"/>
  <c r="I104" i="3" s="1"/>
  <c r="J226" i="1"/>
  <c r="I210" i="3"/>
  <c r="E131" i="1"/>
  <c r="D97" i="3"/>
  <c r="J131" i="1"/>
  <c r="I97" i="3"/>
  <c r="P257" i="1"/>
  <c r="E226" i="1"/>
  <c r="P253" i="1"/>
  <c r="O197" i="3" s="1"/>
  <c r="E80" i="1"/>
  <c r="P180" i="1"/>
  <c r="O114" i="3" s="1"/>
  <c r="P182" i="1"/>
  <c r="O116" i="3" s="1"/>
  <c r="P186" i="1"/>
  <c r="O125" i="3" s="1"/>
  <c r="P188" i="1"/>
  <c r="O127" i="3" s="1"/>
  <c r="P149" i="1"/>
  <c r="O95" i="3" s="1"/>
  <c r="P151" i="1"/>
  <c r="P152" i="1"/>
  <c r="P83" i="1"/>
  <c r="P84" i="1"/>
  <c r="O50" i="3" s="1"/>
  <c r="O27" i="3" s="1"/>
  <c r="P95" i="1"/>
  <c r="O62" i="3" s="1"/>
  <c r="P109" i="1"/>
  <c r="J331" i="1" l="1"/>
  <c r="D82" i="3"/>
  <c r="O98" i="3"/>
  <c r="O82" i="3" s="1"/>
  <c r="P132" i="1"/>
  <c r="E331" i="1"/>
  <c r="D263" i="3"/>
  <c r="O49" i="3"/>
  <c r="O25" i="3" s="1"/>
  <c r="P65" i="1"/>
  <c r="E168" i="1"/>
  <c r="E104" i="3"/>
  <c r="D110" i="3"/>
  <c r="P228" i="1"/>
  <c r="P202" i="1"/>
  <c r="O141" i="3" s="1"/>
  <c r="P70" i="1"/>
  <c r="O76" i="3"/>
  <c r="O29" i="3" s="1"/>
  <c r="D45" i="3"/>
  <c r="P68" i="1"/>
  <c r="D141" i="3"/>
  <c r="P176" i="1"/>
  <c r="P226" i="1"/>
  <c r="O210" i="3"/>
  <c r="P131" i="1"/>
  <c r="O97" i="3"/>
  <c r="P80" i="1"/>
  <c r="E336" i="1" l="1"/>
  <c r="P331" i="1"/>
  <c r="P168" i="1"/>
  <c r="D104" i="3"/>
  <c r="O110" i="3"/>
  <c r="O104" i="3" s="1"/>
  <c r="O45" i="3"/>
  <c r="C236" i="3"/>
  <c r="N239" i="3"/>
  <c r="N264" i="3" s="1"/>
  <c r="M239" i="3"/>
  <c r="M264" i="3" s="1"/>
  <c r="L239" i="3"/>
  <c r="L264" i="3" s="1"/>
  <c r="K239" i="3"/>
  <c r="K264" i="3" s="1"/>
  <c r="J239" i="3"/>
  <c r="J264" i="3" s="1"/>
  <c r="H239" i="3"/>
  <c r="H264" i="3" s="1"/>
  <c r="G239" i="3"/>
  <c r="G264" i="3" s="1"/>
  <c r="F239" i="3"/>
  <c r="F264" i="3" s="1"/>
  <c r="E239" i="3"/>
  <c r="E236" i="3" s="1"/>
  <c r="E234" i="3" s="1"/>
  <c r="D57" i="1"/>
  <c r="O19" i="1"/>
  <c r="O332" i="1" s="1"/>
  <c r="N19" i="1"/>
  <c r="N332" i="1" s="1"/>
  <c r="M19" i="1"/>
  <c r="M332" i="1" s="1"/>
  <c r="L19" i="1"/>
  <c r="L332" i="1" s="1"/>
  <c r="K19" i="1"/>
  <c r="K332" i="1" s="1"/>
  <c r="I19" i="1"/>
  <c r="I332" i="1" s="1"/>
  <c r="H19" i="1"/>
  <c r="H332" i="1" s="1"/>
  <c r="G19" i="1"/>
  <c r="G332" i="1" s="1"/>
  <c r="F19" i="1"/>
  <c r="F332" i="1" s="1"/>
  <c r="J57" i="1"/>
  <c r="J19" i="1" s="1"/>
  <c r="J332" i="1" s="1"/>
  <c r="E57" i="1"/>
  <c r="E19" i="1" s="1"/>
  <c r="E332" i="1" s="1"/>
  <c r="H337" i="1" l="1"/>
  <c r="K337" i="1"/>
  <c r="M337" i="1"/>
  <c r="O337" i="1"/>
  <c r="G337" i="1"/>
  <c r="I337" i="1"/>
  <c r="L337" i="1"/>
  <c r="N337" i="1"/>
  <c r="E264" i="3"/>
  <c r="F337" i="1" s="1"/>
  <c r="F236" i="3"/>
  <c r="F234" i="3" s="1"/>
  <c r="K236" i="3"/>
  <c r="K234" i="3" s="1"/>
  <c r="M236" i="3"/>
  <c r="M234" i="3" s="1"/>
  <c r="H236" i="3"/>
  <c r="H234" i="3" s="1"/>
  <c r="G236" i="3"/>
  <c r="G234" i="3" s="1"/>
  <c r="J236" i="3"/>
  <c r="J234" i="3" s="1"/>
  <c r="L236" i="3"/>
  <c r="L234" i="3" s="1"/>
  <c r="N236" i="3"/>
  <c r="N234" i="3" s="1"/>
  <c r="I239" i="3"/>
  <c r="P57" i="1"/>
  <c r="D239" i="3"/>
  <c r="I236" i="3" l="1"/>
  <c r="I234" i="3" s="1"/>
  <c r="D236" i="3"/>
  <c r="D234" i="3" s="1"/>
  <c r="P19" i="1"/>
  <c r="P332" i="1" s="1"/>
  <c r="O239" i="3"/>
  <c r="O236" i="3" l="1"/>
  <c r="O234" i="3" s="1"/>
  <c r="E154" i="1"/>
  <c r="J62" i="1"/>
  <c r="E62" i="1"/>
  <c r="I261" i="3" l="1"/>
  <c r="D261" i="3"/>
  <c r="P62" i="1"/>
  <c r="O261" i="3" l="1"/>
  <c r="J249" i="1"/>
  <c r="I192" i="3" s="1"/>
  <c r="E249" i="1"/>
  <c r="D192" i="3" s="1"/>
  <c r="C249" i="1"/>
  <c r="P249" i="1" l="1"/>
  <c r="O192" i="3" s="1"/>
  <c r="J190" i="3" l="1"/>
  <c r="G206" i="1"/>
  <c r="F206" i="1" l="1"/>
  <c r="E237" i="3" l="1"/>
  <c r="F237" i="3"/>
  <c r="G237" i="3"/>
  <c r="H237" i="3"/>
  <c r="J237" i="3"/>
  <c r="K237" i="3"/>
  <c r="L237" i="3"/>
  <c r="M237" i="3"/>
  <c r="N237" i="3"/>
  <c r="J266" i="1"/>
  <c r="E266" i="1"/>
  <c r="C266" i="1"/>
  <c r="D266" i="1"/>
  <c r="B266" i="1"/>
  <c r="P266" i="1" l="1"/>
  <c r="E241" i="3" l="1"/>
  <c r="F241" i="3"/>
  <c r="G241" i="3"/>
  <c r="H241" i="3"/>
  <c r="J241" i="3"/>
  <c r="K241" i="3"/>
  <c r="L241" i="3"/>
  <c r="M241" i="3"/>
  <c r="N241" i="3"/>
  <c r="J267" i="1"/>
  <c r="E267" i="1"/>
  <c r="C267" i="1"/>
  <c r="D267" i="1"/>
  <c r="B267" i="1"/>
  <c r="P267" i="1" l="1"/>
  <c r="E206" i="3" l="1"/>
  <c r="F206" i="3"/>
  <c r="G206" i="3"/>
  <c r="H206" i="3"/>
  <c r="J206" i="3"/>
  <c r="K206" i="3"/>
  <c r="L206" i="3"/>
  <c r="M206" i="3"/>
  <c r="N206" i="3"/>
  <c r="E208" i="3"/>
  <c r="F208" i="3"/>
  <c r="G208" i="3"/>
  <c r="H208" i="3"/>
  <c r="J208" i="3"/>
  <c r="K208" i="3"/>
  <c r="L208" i="3"/>
  <c r="M208" i="3"/>
  <c r="N208" i="3"/>
  <c r="E45" i="1"/>
  <c r="E47" i="1"/>
  <c r="J44" i="1"/>
  <c r="J45" i="1"/>
  <c r="I206" i="3" s="1"/>
  <c r="J47" i="1"/>
  <c r="I208" i="3" s="1"/>
  <c r="C45" i="1"/>
  <c r="D45" i="1"/>
  <c r="D47" i="1"/>
  <c r="B47" i="1"/>
  <c r="B45" i="1"/>
  <c r="D208" i="3" l="1"/>
  <c r="P47" i="1"/>
  <c r="O208" i="3" s="1"/>
  <c r="P45" i="1"/>
  <c r="O206" i="3" s="1"/>
  <c r="D206" i="3"/>
  <c r="N186" i="3" l="1"/>
  <c r="J186" i="3" l="1"/>
  <c r="E209" i="3" l="1"/>
  <c r="F209" i="3"/>
  <c r="G209" i="3"/>
  <c r="H209" i="3"/>
  <c r="J209" i="3"/>
  <c r="K209" i="3"/>
  <c r="L209" i="3"/>
  <c r="M209" i="3"/>
  <c r="N209" i="3"/>
  <c r="J256" i="1"/>
  <c r="E256" i="1"/>
  <c r="D213" i="3" s="1"/>
  <c r="B256" i="1"/>
  <c r="I209" i="3" l="1"/>
  <c r="I213" i="3"/>
  <c r="P256" i="1"/>
  <c r="D209" i="3"/>
  <c r="N194" i="3"/>
  <c r="M194" i="3"/>
  <c r="L194" i="3"/>
  <c r="K194" i="3"/>
  <c r="J194" i="3"/>
  <c r="H194" i="3"/>
  <c r="G194" i="3"/>
  <c r="F194" i="3"/>
  <c r="E194" i="3"/>
  <c r="J157" i="1"/>
  <c r="E157" i="1"/>
  <c r="D157" i="1"/>
  <c r="C157" i="1"/>
  <c r="B157" i="1"/>
  <c r="D288" i="1"/>
  <c r="C288" i="1"/>
  <c r="B288" i="1"/>
  <c r="D250" i="1"/>
  <c r="C250" i="1"/>
  <c r="B250" i="1"/>
  <c r="O209" i="3" l="1"/>
  <c r="O213" i="3"/>
  <c r="P157" i="1"/>
  <c r="J288" i="1"/>
  <c r="E288" i="1"/>
  <c r="J250" i="1"/>
  <c r="E250" i="1"/>
  <c r="D194" i="3" l="1"/>
  <c r="P288" i="1"/>
  <c r="I194" i="3"/>
  <c r="P250" i="1"/>
  <c r="O194" i="3" l="1"/>
  <c r="K307" i="1"/>
  <c r="J294" i="1" l="1"/>
  <c r="E294" i="1"/>
  <c r="E252" i="1"/>
  <c r="J252" i="1" l="1"/>
  <c r="P294" i="1"/>
  <c r="P252" i="1" l="1"/>
  <c r="J289" i="1"/>
  <c r="I196" i="3" s="1"/>
  <c r="E289" i="1"/>
  <c r="D196" i="3" s="1"/>
  <c r="P289" i="1" l="1"/>
  <c r="O196" i="3" s="1"/>
  <c r="N231" i="3" l="1"/>
  <c r="M231" i="3"/>
  <c r="L231" i="3"/>
  <c r="K231" i="3"/>
  <c r="J231" i="3"/>
  <c r="H231" i="3"/>
  <c r="G231" i="3"/>
  <c r="F231" i="3"/>
  <c r="E231" i="3"/>
  <c r="J162" i="1"/>
  <c r="I231" i="3" s="1"/>
  <c r="E162" i="1"/>
  <c r="D231" i="3" s="1"/>
  <c r="P162" i="1" l="1"/>
  <c r="D174" i="1"/>
  <c r="O231" i="3" l="1"/>
  <c r="B285" i="1" l="1"/>
  <c r="J285" i="1"/>
  <c r="I190" i="3" s="1"/>
  <c r="P285" i="1" l="1"/>
  <c r="O190" i="3" s="1"/>
  <c r="D204" i="1" l="1"/>
  <c r="F230" i="3"/>
  <c r="G230" i="3"/>
  <c r="H230" i="3"/>
  <c r="J230" i="3"/>
  <c r="K230" i="3"/>
  <c r="L230" i="3"/>
  <c r="M230" i="3"/>
  <c r="N230" i="3"/>
  <c r="F170" i="3"/>
  <c r="G170" i="3"/>
  <c r="H170" i="3"/>
  <c r="J170" i="3"/>
  <c r="K170" i="3"/>
  <c r="L170" i="3"/>
  <c r="M170" i="3"/>
  <c r="N170" i="3"/>
  <c r="G307" i="1"/>
  <c r="H307" i="1"/>
  <c r="L307" i="1"/>
  <c r="M307" i="1"/>
  <c r="N307" i="1"/>
  <c r="O307" i="1"/>
  <c r="G127" i="1"/>
  <c r="H127" i="1"/>
  <c r="I127" i="1"/>
  <c r="L127" i="1"/>
  <c r="M127" i="1"/>
  <c r="N127" i="1"/>
  <c r="I307" i="1" l="1"/>
  <c r="E230" i="3" l="1"/>
  <c r="F307" i="1" l="1"/>
  <c r="F127" i="1"/>
  <c r="D270" i="1" l="1"/>
  <c r="O127" i="1" l="1"/>
  <c r="K127" i="1"/>
  <c r="J223" i="1"/>
  <c r="E223" i="1"/>
  <c r="C223" i="1"/>
  <c r="D223" i="1"/>
  <c r="B223" i="1"/>
  <c r="P223" i="1" l="1"/>
  <c r="E17" i="3"/>
  <c r="F17" i="3"/>
  <c r="G17" i="3"/>
  <c r="H17" i="3"/>
  <c r="J17" i="3"/>
  <c r="K17" i="3"/>
  <c r="L17" i="3"/>
  <c r="M17" i="3"/>
  <c r="N17" i="3"/>
  <c r="E84" i="3"/>
  <c r="F84" i="3"/>
  <c r="G84" i="3"/>
  <c r="H84" i="3"/>
  <c r="J84" i="3"/>
  <c r="K84" i="3"/>
  <c r="L84" i="3"/>
  <c r="M84" i="3"/>
  <c r="N84" i="3"/>
  <c r="E90" i="3"/>
  <c r="F90" i="3"/>
  <c r="G90" i="3"/>
  <c r="H90" i="3"/>
  <c r="J90" i="3"/>
  <c r="K90" i="3"/>
  <c r="L90" i="3"/>
  <c r="M90" i="3"/>
  <c r="N90" i="3"/>
  <c r="E92" i="3"/>
  <c r="F92" i="3"/>
  <c r="G92" i="3"/>
  <c r="H92" i="3"/>
  <c r="J92" i="3"/>
  <c r="K92" i="3"/>
  <c r="L92" i="3"/>
  <c r="M92" i="3"/>
  <c r="N92" i="3"/>
  <c r="E94" i="3"/>
  <c r="F94" i="3"/>
  <c r="G94" i="3"/>
  <c r="H94" i="3"/>
  <c r="J94" i="3"/>
  <c r="K94" i="3"/>
  <c r="L94" i="3"/>
  <c r="M94" i="3"/>
  <c r="N94" i="3"/>
  <c r="E96" i="3"/>
  <c r="F96" i="3"/>
  <c r="G96" i="3"/>
  <c r="H96" i="3"/>
  <c r="J96" i="3"/>
  <c r="K96" i="3"/>
  <c r="L96" i="3"/>
  <c r="M96" i="3"/>
  <c r="N96" i="3"/>
  <c r="E99" i="3"/>
  <c r="F99" i="3"/>
  <c r="G99" i="3"/>
  <c r="H99" i="3"/>
  <c r="J99" i="3"/>
  <c r="K99" i="3"/>
  <c r="L99" i="3"/>
  <c r="M99" i="3"/>
  <c r="N99" i="3"/>
  <c r="E100" i="3"/>
  <c r="F100" i="3"/>
  <c r="G100" i="3"/>
  <c r="H100" i="3"/>
  <c r="J100" i="3"/>
  <c r="K100" i="3"/>
  <c r="L100" i="3"/>
  <c r="M100" i="3"/>
  <c r="N100" i="3"/>
  <c r="E107" i="3"/>
  <c r="F107" i="3"/>
  <c r="G107" i="3"/>
  <c r="H107" i="3"/>
  <c r="K107" i="3"/>
  <c r="L107" i="3"/>
  <c r="M107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9" i="3"/>
  <c r="F139" i="3"/>
  <c r="G139" i="3"/>
  <c r="H139" i="3"/>
  <c r="J139" i="3"/>
  <c r="K139" i="3"/>
  <c r="L139" i="3"/>
  <c r="M139" i="3"/>
  <c r="N139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49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K150" i="3"/>
  <c r="L150" i="3"/>
  <c r="M150" i="3"/>
  <c r="N150" i="3"/>
  <c r="E153" i="3"/>
  <c r="F153" i="3"/>
  <c r="G153" i="3"/>
  <c r="H153" i="3"/>
  <c r="J153" i="3"/>
  <c r="K153" i="3"/>
  <c r="L153" i="3"/>
  <c r="M153" i="3"/>
  <c r="N153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9" i="3"/>
  <c r="F169" i="3"/>
  <c r="G169" i="3"/>
  <c r="H169" i="3"/>
  <c r="J169" i="3"/>
  <c r="K169" i="3"/>
  <c r="L169" i="3"/>
  <c r="M169" i="3"/>
  <c r="N169" i="3"/>
  <c r="E178" i="3"/>
  <c r="E177" i="3" s="1"/>
  <c r="F178" i="3"/>
  <c r="F177" i="3" s="1"/>
  <c r="G178" i="3"/>
  <c r="G177" i="3" s="1"/>
  <c r="H178" i="3"/>
  <c r="H177" i="3" s="1"/>
  <c r="J178" i="3"/>
  <c r="J177" i="3" s="1"/>
  <c r="K178" i="3"/>
  <c r="K177" i="3" s="1"/>
  <c r="L178" i="3"/>
  <c r="L177" i="3" s="1"/>
  <c r="M178" i="3"/>
  <c r="M177" i="3" s="1"/>
  <c r="N178" i="3"/>
  <c r="N177" i="3" s="1"/>
  <c r="E183" i="3"/>
  <c r="E179" i="3" s="1"/>
  <c r="F183" i="3"/>
  <c r="F179" i="3" s="1"/>
  <c r="G183" i="3"/>
  <c r="G179" i="3" s="1"/>
  <c r="H183" i="3"/>
  <c r="H179" i="3" s="1"/>
  <c r="J183" i="3"/>
  <c r="J179" i="3" s="1"/>
  <c r="K183" i="3"/>
  <c r="K179" i="3" s="1"/>
  <c r="L183" i="3"/>
  <c r="L179" i="3" s="1"/>
  <c r="M183" i="3"/>
  <c r="M179" i="3" s="1"/>
  <c r="N183" i="3"/>
  <c r="N179" i="3" s="1"/>
  <c r="E195" i="3"/>
  <c r="F195" i="3"/>
  <c r="G195" i="3"/>
  <c r="H195" i="3"/>
  <c r="J195" i="3"/>
  <c r="K195" i="3"/>
  <c r="L195" i="3"/>
  <c r="M195" i="3"/>
  <c r="N195" i="3"/>
  <c r="E205" i="3"/>
  <c r="E201" i="3" s="1"/>
  <c r="F205" i="3"/>
  <c r="F201" i="3" s="1"/>
  <c r="G205" i="3"/>
  <c r="G201" i="3" s="1"/>
  <c r="H205" i="3"/>
  <c r="H201" i="3" s="1"/>
  <c r="J205" i="3"/>
  <c r="J201" i="3" s="1"/>
  <c r="K205" i="3"/>
  <c r="K201" i="3" s="1"/>
  <c r="L205" i="3"/>
  <c r="L201" i="3" s="1"/>
  <c r="M205" i="3"/>
  <c r="M201" i="3" s="1"/>
  <c r="N205" i="3"/>
  <c r="N201" i="3" s="1"/>
  <c r="E221" i="3"/>
  <c r="F221" i="3"/>
  <c r="G221" i="3"/>
  <c r="H221" i="3"/>
  <c r="J221" i="3"/>
  <c r="K221" i="3"/>
  <c r="L221" i="3"/>
  <c r="M221" i="3"/>
  <c r="N221" i="3"/>
  <c r="E224" i="3"/>
  <c r="F224" i="3"/>
  <c r="G224" i="3"/>
  <c r="H224" i="3"/>
  <c r="J224" i="3"/>
  <c r="K224" i="3"/>
  <c r="L224" i="3"/>
  <c r="M224" i="3"/>
  <c r="N224" i="3"/>
  <c r="E225" i="3"/>
  <c r="F225" i="3"/>
  <c r="G225" i="3"/>
  <c r="H225" i="3"/>
  <c r="J225" i="3"/>
  <c r="K225" i="3"/>
  <c r="L225" i="3"/>
  <c r="M225" i="3"/>
  <c r="N225" i="3"/>
  <c r="E226" i="3"/>
  <c r="F226" i="3"/>
  <c r="G226" i="3"/>
  <c r="H226" i="3"/>
  <c r="J226" i="3"/>
  <c r="K226" i="3"/>
  <c r="L226" i="3"/>
  <c r="M226" i="3"/>
  <c r="N226" i="3"/>
  <c r="F228" i="3"/>
  <c r="G228" i="3"/>
  <c r="H228" i="3"/>
  <c r="J228" i="3"/>
  <c r="K228" i="3"/>
  <c r="L228" i="3"/>
  <c r="M228" i="3"/>
  <c r="N228" i="3"/>
  <c r="E238" i="3"/>
  <c r="F238" i="3"/>
  <c r="G238" i="3"/>
  <c r="H238" i="3"/>
  <c r="J238" i="3"/>
  <c r="K238" i="3"/>
  <c r="L238" i="3"/>
  <c r="M238" i="3"/>
  <c r="N238" i="3"/>
  <c r="E240" i="3"/>
  <c r="F240" i="3"/>
  <c r="G240" i="3"/>
  <c r="H240" i="3"/>
  <c r="J240" i="3"/>
  <c r="K240" i="3"/>
  <c r="L240" i="3"/>
  <c r="M240" i="3"/>
  <c r="N240" i="3"/>
  <c r="E243" i="3"/>
  <c r="E242" i="3" s="1"/>
  <c r="F243" i="3"/>
  <c r="F242" i="3" s="1"/>
  <c r="G243" i="3"/>
  <c r="H243" i="3"/>
  <c r="J243" i="3"/>
  <c r="K243" i="3"/>
  <c r="K242" i="3" s="1"/>
  <c r="L243" i="3"/>
  <c r="M243" i="3"/>
  <c r="M242" i="3" s="1"/>
  <c r="N243" i="3"/>
  <c r="E246" i="3"/>
  <c r="E245" i="3" s="1"/>
  <c r="F246" i="3"/>
  <c r="F245" i="3" s="1"/>
  <c r="G246" i="3"/>
  <c r="G245" i="3" s="1"/>
  <c r="H246" i="3"/>
  <c r="H245" i="3" s="1"/>
  <c r="J246" i="3"/>
  <c r="J245" i="3" s="1"/>
  <c r="K246" i="3"/>
  <c r="K245" i="3" s="1"/>
  <c r="L246" i="3"/>
  <c r="L245" i="3" s="1"/>
  <c r="M246" i="3"/>
  <c r="M245" i="3" s="1"/>
  <c r="N246" i="3"/>
  <c r="N245" i="3" s="1"/>
  <c r="E247" i="3"/>
  <c r="F247" i="3"/>
  <c r="G247" i="3"/>
  <c r="H247" i="3"/>
  <c r="J247" i="3"/>
  <c r="K247" i="3"/>
  <c r="L247" i="3"/>
  <c r="M247" i="3"/>
  <c r="N247" i="3"/>
  <c r="D248" i="3"/>
  <c r="E248" i="3"/>
  <c r="F248" i="3"/>
  <c r="G248" i="3"/>
  <c r="H248" i="3"/>
  <c r="J248" i="3"/>
  <c r="K248" i="3"/>
  <c r="L248" i="3"/>
  <c r="M248" i="3"/>
  <c r="N248" i="3"/>
  <c r="J78" i="1"/>
  <c r="J323" i="1"/>
  <c r="J324" i="1"/>
  <c r="J325" i="1"/>
  <c r="I243" i="3" s="1"/>
  <c r="J326" i="1"/>
  <c r="J327" i="1"/>
  <c r="I247" i="3" s="1"/>
  <c r="J328" i="1"/>
  <c r="I248" i="3" s="1"/>
  <c r="J329" i="1"/>
  <c r="I252" i="3" s="1"/>
  <c r="I251" i="3" s="1"/>
  <c r="J320" i="1"/>
  <c r="J318" i="1" s="1"/>
  <c r="J309" i="1"/>
  <c r="I178" i="3" s="1"/>
  <c r="I177" i="3" s="1"/>
  <c r="J310" i="1"/>
  <c r="J311" i="1"/>
  <c r="I224" i="3" s="1"/>
  <c r="J312" i="1"/>
  <c r="I225" i="3" s="1"/>
  <c r="J313" i="1"/>
  <c r="J308" i="1"/>
  <c r="J305" i="1"/>
  <c r="J279" i="1"/>
  <c r="J280" i="1"/>
  <c r="I169" i="3" s="1"/>
  <c r="J281" i="1"/>
  <c r="J282" i="1"/>
  <c r="I184" i="3" s="1"/>
  <c r="J283" i="1"/>
  <c r="I186" i="3" s="1"/>
  <c r="J286" i="1"/>
  <c r="J298" i="1"/>
  <c r="J299" i="1"/>
  <c r="J302" i="1"/>
  <c r="J278" i="1"/>
  <c r="J273" i="1"/>
  <c r="J235" i="1"/>
  <c r="J236" i="1"/>
  <c r="J237" i="1"/>
  <c r="I160" i="3" s="1"/>
  <c r="J238" i="1"/>
  <c r="I161" i="3" s="1"/>
  <c r="J239" i="1"/>
  <c r="I162" i="3" s="1"/>
  <c r="J240" i="1"/>
  <c r="J241" i="1"/>
  <c r="J247" i="1"/>
  <c r="J248" i="1"/>
  <c r="J251" i="1"/>
  <c r="I195" i="3" s="1"/>
  <c r="J262" i="1"/>
  <c r="J263" i="1"/>
  <c r="J268" i="1"/>
  <c r="J270" i="1"/>
  <c r="J233" i="1"/>
  <c r="J217" i="1"/>
  <c r="I143" i="3" s="1"/>
  <c r="J218" i="1"/>
  <c r="J219" i="1"/>
  <c r="J220" i="1"/>
  <c r="J222" i="1"/>
  <c r="J215" i="1"/>
  <c r="J209" i="1"/>
  <c r="I118" i="3" s="1"/>
  <c r="J210" i="1"/>
  <c r="I119" i="3" s="1"/>
  <c r="J208" i="1"/>
  <c r="J174" i="1"/>
  <c r="J175" i="1"/>
  <c r="J177" i="1"/>
  <c r="I111" i="3" s="1"/>
  <c r="J178" i="1"/>
  <c r="J179" i="1"/>
  <c r="I113" i="3" s="1"/>
  <c r="J181" i="1"/>
  <c r="I115" i="3" s="1"/>
  <c r="J183" i="1"/>
  <c r="I117" i="3" s="1"/>
  <c r="J184" i="1"/>
  <c r="I123" i="3" s="1"/>
  <c r="J185" i="1"/>
  <c r="I124" i="3" s="1"/>
  <c r="J187" i="1"/>
  <c r="I126" i="3" s="1"/>
  <c r="J189" i="1"/>
  <c r="I128" i="3" s="1"/>
  <c r="J190" i="1"/>
  <c r="I129" i="3" s="1"/>
  <c r="J191" i="1"/>
  <c r="I130" i="3" s="1"/>
  <c r="J192" i="1"/>
  <c r="I131" i="3" s="1"/>
  <c r="J193" i="1"/>
  <c r="J200" i="1"/>
  <c r="J201" i="1"/>
  <c r="J204" i="1"/>
  <c r="I260" i="3" s="1"/>
  <c r="J171" i="1"/>
  <c r="J138" i="1"/>
  <c r="J144" i="1"/>
  <c r="J146" i="1"/>
  <c r="I92" i="3" s="1"/>
  <c r="J148" i="1"/>
  <c r="I94" i="3" s="1"/>
  <c r="J150" i="1"/>
  <c r="I96" i="3" s="1"/>
  <c r="J153" i="1"/>
  <c r="I99" i="3" s="1"/>
  <c r="J154" i="1"/>
  <c r="I100" i="3" s="1"/>
  <c r="J137" i="1"/>
  <c r="J82" i="1"/>
  <c r="I48" i="3" s="1"/>
  <c r="J85" i="1"/>
  <c r="I51" i="3" s="1"/>
  <c r="J94" i="1"/>
  <c r="I60" i="3" s="1"/>
  <c r="J97" i="1"/>
  <c r="I64" i="3" s="1"/>
  <c r="J98" i="1"/>
  <c r="I65" i="3" s="1"/>
  <c r="J100" i="1"/>
  <c r="I67" i="3" s="1"/>
  <c r="J108" i="1"/>
  <c r="I75" i="3" s="1"/>
  <c r="J77" i="1"/>
  <c r="J26" i="1"/>
  <c r="J27" i="1"/>
  <c r="J28" i="1"/>
  <c r="I120" i="3" s="1"/>
  <c r="J29" i="1"/>
  <c r="I121" i="3" s="1"/>
  <c r="J30" i="1"/>
  <c r="I122" i="3" s="1"/>
  <c r="J31" i="1"/>
  <c r="J32" i="1"/>
  <c r="J33" i="1"/>
  <c r="J34" i="1"/>
  <c r="J35" i="1"/>
  <c r="J36" i="1"/>
  <c r="I149" i="3" s="1"/>
  <c r="J37" i="1"/>
  <c r="I150" i="3" s="1"/>
  <c r="J38" i="1"/>
  <c r="I151" i="3" s="1"/>
  <c r="J39" i="1"/>
  <c r="I153" i="3" s="1"/>
  <c r="J40" i="1"/>
  <c r="I154" i="3" s="1"/>
  <c r="J41" i="1"/>
  <c r="I155" i="3" s="1"/>
  <c r="I205" i="3"/>
  <c r="I201" i="3" s="1"/>
  <c r="J49" i="1"/>
  <c r="J50" i="1"/>
  <c r="J51" i="1"/>
  <c r="J52" i="1"/>
  <c r="I228" i="3" s="1"/>
  <c r="J53" i="1"/>
  <c r="J54" i="1"/>
  <c r="J55" i="1"/>
  <c r="I237" i="3" s="1"/>
  <c r="J56" i="1"/>
  <c r="I238" i="3" s="1"/>
  <c r="J58" i="1"/>
  <c r="J59" i="1"/>
  <c r="I246" i="3"/>
  <c r="I245" i="3" s="1"/>
  <c r="J21" i="1"/>
  <c r="M156" i="3" l="1"/>
  <c r="K156" i="3"/>
  <c r="H156" i="3"/>
  <c r="F156" i="3"/>
  <c r="N156" i="3"/>
  <c r="L156" i="3"/>
  <c r="J156" i="3"/>
  <c r="G156" i="3"/>
  <c r="J18" i="1"/>
  <c r="M101" i="3"/>
  <c r="K101" i="3"/>
  <c r="G101" i="3"/>
  <c r="L101" i="3"/>
  <c r="H101" i="3"/>
  <c r="F101" i="3"/>
  <c r="J297" i="1"/>
  <c r="J296" i="1" s="1"/>
  <c r="I19" i="3"/>
  <c r="I36" i="3"/>
  <c r="I244" i="3"/>
  <c r="I242" i="3" s="1"/>
  <c r="I140" i="3"/>
  <c r="M219" i="3"/>
  <c r="M171" i="3" s="1"/>
  <c r="K219" i="3"/>
  <c r="K171" i="3" s="1"/>
  <c r="H219" i="3"/>
  <c r="H171" i="3" s="1"/>
  <c r="F219" i="3"/>
  <c r="F171" i="3" s="1"/>
  <c r="N219" i="3"/>
  <c r="N171" i="3" s="1"/>
  <c r="L219" i="3"/>
  <c r="L171" i="3" s="1"/>
  <c r="J219" i="3"/>
  <c r="J171" i="3" s="1"/>
  <c r="G219" i="3"/>
  <c r="G171" i="3" s="1"/>
  <c r="H79" i="3"/>
  <c r="M79" i="3"/>
  <c r="K79" i="3"/>
  <c r="L79" i="3"/>
  <c r="F79" i="3"/>
  <c r="G79" i="3"/>
  <c r="E79" i="3"/>
  <c r="N79" i="3"/>
  <c r="J79" i="3"/>
  <c r="J206" i="1"/>
  <c r="I218" i="3"/>
  <c r="I217" i="3" s="1"/>
  <c r="I191" i="3"/>
  <c r="I84" i="3"/>
  <c r="I108" i="3"/>
  <c r="I90" i="3"/>
  <c r="I241" i="3"/>
  <c r="I240" i="3" s="1"/>
  <c r="I163" i="3"/>
  <c r="I159" i="3"/>
  <c r="I170" i="3"/>
  <c r="I230" i="3"/>
  <c r="J307" i="1"/>
  <c r="J292" i="1"/>
  <c r="J275" i="1" s="1"/>
  <c r="I146" i="3"/>
  <c r="I144" i="3"/>
  <c r="I226" i="3"/>
  <c r="I145" i="3"/>
  <c r="E154" i="3"/>
  <c r="E147" i="3" s="1"/>
  <c r="I183" i="3"/>
  <c r="L235" i="3"/>
  <c r="J235" i="3"/>
  <c r="G235" i="3"/>
  <c r="I109" i="3"/>
  <c r="I221" i="3"/>
  <c r="I147" i="3"/>
  <c r="I132" i="3"/>
  <c r="N235" i="3"/>
  <c r="H235" i="3"/>
  <c r="M235" i="3"/>
  <c r="M233" i="3" s="1"/>
  <c r="K235" i="3"/>
  <c r="K233" i="3" s="1"/>
  <c r="F235" i="3"/>
  <c r="F233" i="3" s="1"/>
  <c r="E235" i="3"/>
  <c r="E233" i="3" s="1"/>
  <c r="I164" i="3"/>
  <c r="I235" i="3"/>
  <c r="M147" i="3"/>
  <c r="F147" i="3"/>
  <c r="I139" i="3"/>
  <c r="I112" i="3"/>
  <c r="N242" i="3"/>
  <c r="L242" i="3"/>
  <c r="J242" i="3"/>
  <c r="H242" i="3"/>
  <c r="G242" i="3"/>
  <c r="K147" i="3"/>
  <c r="L142" i="3"/>
  <c r="H142" i="3"/>
  <c r="N142" i="3"/>
  <c r="J142" i="3"/>
  <c r="G142" i="3"/>
  <c r="M142" i="3"/>
  <c r="K142" i="3"/>
  <c r="F142" i="3"/>
  <c r="E142" i="3"/>
  <c r="N147" i="3"/>
  <c r="L147" i="3"/>
  <c r="J147" i="3"/>
  <c r="H147" i="3"/>
  <c r="G147" i="3"/>
  <c r="J265" i="1"/>
  <c r="J225" i="1" s="1"/>
  <c r="I156" i="3" l="1"/>
  <c r="I179" i="3"/>
  <c r="I257" i="3"/>
  <c r="I249" i="3" s="1"/>
  <c r="M262" i="3"/>
  <c r="F262" i="3"/>
  <c r="K262" i="3"/>
  <c r="I229" i="3"/>
  <c r="I17" i="3"/>
  <c r="I79" i="3"/>
  <c r="I142" i="3"/>
  <c r="L233" i="3"/>
  <c r="L262" i="3" s="1"/>
  <c r="G233" i="3"/>
  <c r="G262" i="3" s="1"/>
  <c r="N233" i="3"/>
  <c r="J233" i="3"/>
  <c r="I233" i="3"/>
  <c r="H233" i="3"/>
  <c r="H262" i="3" s="1"/>
  <c r="E325" i="1"/>
  <c r="D243" i="3" s="1"/>
  <c r="D325" i="1"/>
  <c r="B325" i="1"/>
  <c r="E170" i="3" l="1"/>
  <c r="E156" i="3" s="1"/>
  <c r="E228" i="3"/>
  <c r="J160" i="1"/>
  <c r="P325" i="1"/>
  <c r="O243" i="3" s="1"/>
  <c r="J128" i="1" l="1"/>
  <c r="J127" i="1" s="1"/>
  <c r="I222" i="3"/>
  <c r="I219" i="3" s="1"/>
  <c r="I171" i="3" s="1"/>
  <c r="E219" i="3"/>
  <c r="E171" i="3" s="1"/>
  <c r="E251" i="1" l="1"/>
  <c r="C251" i="1"/>
  <c r="D251" i="1"/>
  <c r="B251" i="1"/>
  <c r="D195" i="3" l="1"/>
  <c r="P251" i="1"/>
  <c r="O195" i="3" s="1"/>
  <c r="E128" i="3" l="1"/>
  <c r="E101" i="3" s="1"/>
  <c r="E262" i="3" l="1"/>
  <c r="J79" i="1"/>
  <c r="J64" i="1" s="1"/>
  <c r="I38" i="3" l="1"/>
  <c r="I24" i="3" s="1"/>
  <c r="J214" i="1"/>
  <c r="D53" i="1"/>
  <c r="D302" i="1"/>
  <c r="D265" i="1"/>
  <c r="C218" i="1"/>
  <c r="B218" i="1"/>
  <c r="D209" i="1"/>
  <c r="P328" i="1"/>
  <c r="O248" i="3" s="1"/>
  <c r="E323" i="1"/>
  <c r="E324" i="1"/>
  <c r="E326" i="1"/>
  <c r="E327" i="1"/>
  <c r="D247" i="3" s="1"/>
  <c r="E329" i="1"/>
  <c r="D252" i="3" s="1"/>
  <c r="D251" i="3" s="1"/>
  <c r="E320" i="1"/>
  <c r="K317" i="1"/>
  <c r="L317" i="1"/>
  <c r="M317" i="1"/>
  <c r="N317" i="1"/>
  <c r="O317" i="1"/>
  <c r="F317" i="1"/>
  <c r="G317" i="1"/>
  <c r="H317" i="1"/>
  <c r="I317" i="1"/>
  <c r="E309" i="1"/>
  <c r="D178" i="3" s="1"/>
  <c r="D177" i="3" s="1"/>
  <c r="E310" i="1"/>
  <c r="E311" i="1"/>
  <c r="D224" i="3" s="1"/>
  <c r="E312" i="1"/>
  <c r="D225" i="3" s="1"/>
  <c r="E313" i="1"/>
  <c r="E308" i="1"/>
  <c r="K306" i="1"/>
  <c r="L306" i="1"/>
  <c r="M306" i="1"/>
  <c r="N306" i="1"/>
  <c r="O306" i="1"/>
  <c r="F306" i="1"/>
  <c r="G306" i="1"/>
  <c r="H306" i="1"/>
  <c r="I306" i="1"/>
  <c r="J304" i="1"/>
  <c r="J303" i="1" s="1"/>
  <c r="E305" i="1"/>
  <c r="E304" i="1" s="1"/>
  <c r="E303" i="1" s="1"/>
  <c r="K304" i="1"/>
  <c r="K303" i="1" s="1"/>
  <c r="L304" i="1"/>
  <c r="L303" i="1" s="1"/>
  <c r="M304" i="1"/>
  <c r="M303" i="1" s="1"/>
  <c r="N304" i="1"/>
  <c r="N303" i="1" s="1"/>
  <c r="O304" i="1"/>
  <c r="O303" i="1" s="1"/>
  <c r="F304" i="1"/>
  <c r="F303" i="1" s="1"/>
  <c r="G304" i="1"/>
  <c r="G303" i="1" s="1"/>
  <c r="H304" i="1"/>
  <c r="H303" i="1" s="1"/>
  <c r="I304" i="1"/>
  <c r="I303" i="1" s="1"/>
  <c r="E299" i="1"/>
  <c r="E302" i="1"/>
  <c r="E298" i="1"/>
  <c r="K296" i="1"/>
  <c r="L296" i="1"/>
  <c r="M296" i="1"/>
  <c r="N296" i="1"/>
  <c r="O296" i="1"/>
  <c r="F296" i="1"/>
  <c r="G296" i="1"/>
  <c r="H296" i="1"/>
  <c r="I296" i="1"/>
  <c r="E279" i="1"/>
  <c r="E280" i="1"/>
  <c r="D169" i="3" s="1"/>
  <c r="E281" i="1"/>
  <c r="E282" i="1"/>
  <c r="D184" i="3" s="1"/>
  <c r="E283" i="1"/>
  <c r="D186" i="3" s="1"/>
  <c r="E286" i="1"/>
  <c r="E292" i="1"/>
  <c r="E278" i="1"/>
  <c r="E275" i="1" s="1"/>
  <c r="K274" i="1"/>
  <c r="M274" i="1"/>
  <c r="N274" i="1"/>
  <c r="O274" i="1"/>
  <c r="F274" i="1"/>
  <c r="G274" i="1"/>
  <c r="H274" i="1"/>
  <c r="I274" i="1"/>
  <c r="J272" i="1"/>
  <c r="J271" i="1" s="1"/>
  <c r="E273" i="1"/>
  <c r="E272" i="1" s="1"/>
  <c r="E271" i="1" s="1"/>
  <c r="K272" i="1"/>
  <c r="K271" i="1" s="1"/>
  <c r="L272" i="1"/>
  <c r="L271" i="1" s="1"/>
  <c r="M272" i="1"/>
  <c r="M271" i="1" s="1"/>
  <c r="N272" i="1"/>
  <c r="N271" i="1" s="1"/>
  <c r="O272" i="1"/>
  <c r="O271" i="1" s="1"/>
  <c r="F272" i="1"/>
  <c r="F271" i="1" s="1"/>
  <c r="G272" i="1"/>
  <c r="G271" i="1" s="1"/>
  <c r="H272" i="1"/>
  <c r="H271" i="1" s="1"/>
  <c r="I272" i="1"/>
  <c r="I271" i="1" s="1"/>
  <c r="E235" i="1"/>
  <c r="E236" i="1"/>
  <c r="D159" i="3" s="1"/>
  <c r="E237" i="1"/>
  <c r="E238" i="1"/>
  <c r="D161" i="3" s="1"/>
  <c r="E239" i="1"/>
  <c r="E240" i="1"/>
  <c r="E241" i="1"/>
  <c r="E246" i="1"/>
  <c r="E247" i="1"/>
  <c r="E248" i="1"/>
  <c r="P248" i="1" s="1"/>
  <c r="E262" i="1"/>
  <c r="E263" i="1"/>
  <c r="P263" i="1" s="1"/>
  <c r="E265" i="1"/>
  <c r="P265" i="1" s="1"/>
  <c r="E268" i="1"/>
  <c r="P268" i="1" s="1"/>
  <c r="E270" i="1"/>
  <c r="E233" i="1"/>
  <c r="K224" i="1"/>
  <c r="L224" i="1"/>
  <c r="M224" i="1"/>
  <c r="N224" i="1"/>
  <c r="O224" i="1"/>
  <c r="F224" i="1"/>
  <c r="G224" i="1"/>
  <c r="H224" i="1"/>
  <c r="I224" i="1"/>
  <c r="E217" i="1"/>
  <c r="E218" i="1"/>
  <c r="E219" i="1"/>
  <c r="E220" i="1"/>
  <c r="E222" i="1"/>
  <c r="E215" i="1"/>
  <c r="K213" i="1"/>
  <c r="L213" i="1"/>
  <c r="M213" i="1"/>
  <c r="N213" i="1"/>
  <c r="F213" i="1"/>
  <c r="G213" i="1"/>
  <c r="H213" i="1"/>
  <c r="I213" i="1"/>
  <c r="E209" i="1"/>
  <c r="D118" i="3" s="1"/>
  <c r="E210" i="1"/>
  <c r="D119" i="3" s="1"/>
  <c r="E208" i="1"/>
  <c r="K205" i="1"/>
  <c r="L205" i="1"/>
  <c r="M205" i="1"/>
  <c r="N205" i="1"/>
  <c r="O205" i="1"/>
  <c r="F205" i="1"/>
  <c r="G205" i="1"/>
  <c r="H205" i="1"/>
  <c r="I205" i="1"/>
  <c r="E173" i="1"/>
  <c r="D107" i="3" s="1"/>
  <c r="E174" i="1"/>
  <c r="E175" i="1"/>
  <c r="E177" i="1"/>
  <c r="D111" i="3" s="1"/>
  <c r="E178" i="1"/>
  <c r="E179" i="1"/>
  <c r="D113" i="3" s="1"/>
  <c r="E181" i="1"/>
  <c r="D115" i="3" s="1"/>
  <c r="E183" i="1"/>
  <c r="E184" i="1"/>
  <c r="D123" i="3" s="1"/>
  <c r="E185" i="1"/>
  <c r="E187" i="1"/>
  <c r="D126" i="3" s="1"/>
  <c r="E189" i="1"/>
  <c r="D128" i="3" s="1"/>
  <c r="E190" i="1"/>
  <c r="D129" i="3" s="1"/>
  <c r="E191" i="1"/>
  <c r="D130" i="3" s="1"/>
  <c r="E192" i="1"/>
  <c r="D131" i="3" s="1"/>
  <c r="E193" i="1"/>
  <c r="E200" i="1"/>
  <c r="E201" i="1"/>
  <c r="E204" i="1"/>
  <c r="E171" i="1"/>
  <c r="L164" i="1"/>
  <c r="M164" i="1"/>
  <c r="N164" i="1"/>
  <c r="F164" i="1"/>
  <c r="G164" i="1"/>
  <c r="H164" i="1"/>
  <c r="I164" i="1"/>
  <c r="E138" i="1"/>
  <c r="E144" i="1"/>
  <c r="E146" i="1"/>
  <c r="D92" i="3" s="1"/>
  <c r="E148" i="1"/>
  <c r="D94" i="3" s="1"/>
  <c r="E150" i="1"/>
  <c r="D96" i="3" s="1"/>
  <c r="E153" i="1"/>
  <c r="D99" i="3" s="1"/>
  <c r="D100" i="3"/>
  <c r="E160" i="1"/>
  <c r="E137" i="1"/>
  <c r="K63" i="1"/>
  <c r="L63" i="1"/>
  <c r="M63" i="1"/>
  <c r="N63" i="1"/>
  <c r="O63" i="1"/>
  <c r="F63" i="1"/>
  <c r="G63" i="1"/>
  <c r="H63" i="1"/>
  <c r="I63" i="1"/>
  <c r="E78" i="1"/>
  <c r="E79" i="1"/>
  <c r="E82" i="1"/>
  <c r="D48" i="3" s="1"/>
  <c r="E85" i="1"/>
  <c r="D51" i="3" s="1"/>
  <c r="E94" i="1"/>
  <c r="D60" i="3" s="1"/>
  <c r="E97" i="1"/>
  <c r="D64" i="3" s="1"/>
  <c r="E98" i="1"/>
  <c r="D65" i="3" s="1"/>
  <c r="E100" i="1"/>
  <c r="D67" i="3" s="1"/>
  <c r="E108" i="1"/>
  <c r="D75" i="3" s="1"/>
  <c r="E77" i="1"/>
  <c r="E23" i="1"/>
  <c r="D21" i="3" s="1"/>
  <c r="E26" i="1"/>
  <c r="E27" i="1"/>
  <c r="E28" i="1"/>
  <c r="D120" i="3" s="1"/>
  <c r="E29" i="1"/>
  <c r="D121" i="3" s="1"/>
  <c r="E30" i="1"/>
  <c r="D122" i="3" s="1"/>
  <c r="E31" i="1"/>
  <c r="E32" i="1"/>
  <c r="E33" i="1"/>
  <c r="E34" i="1"/>
  <c r="E35" i="1"/>
  <c r="E36" i="1"/>
  <c r="D149" i="3" s="1"/>
  <c r="E37" i="1"/>
  <c r="D150" i="3" s="1"/>
  <c r="E38" i="1"/>
  <c r="E39" i="1"/>
  <c r="D153" i="3" s="1"/>
  <c r="E40" i="1"/>
  <c r="E41" i="1"/>
  <c r="E44" i="1"/>
  <c r="D205" i="3" s="1"/>
  <c r="D201" i="3" s="1"/>
  <c r="E49" i="1"/>
  <c r="E50" i="1"/>
  <c r="E51" i="1"/>
  <c r="E52" i="1"/>
  <c r="D228" i="3" s="1"/>
  <c r="E53" i="1"/>
  <c r="E54" i="1"/>
  <c r="E55" i="1"/>
  <c r="D237" i="3" s="1"/>
  <c r="E56" i="1"/>
  <c r="D238" i="3" s="1"/>
  <c r="E58" i="1"/>
  <c r="E59" i="1"/>
  <c r="E60" i="1"/>
  <c r="D246" i="3" s="1"/>
  <c r="D245" i="3" s="1"/>
  <c r="E21" i="1"/>
  <c r="K17" i="1"/>
  <c r="M17" i="1"/>
  <c r="N17" i="1"/>
  <c r="O17" i="1"/>
  <c r="F17" i="1"/>
  <c r="G17" i="1"/>
  <c r="H17" i="1"/>
  <c r="I17" i="1"/>
  <c r="L17" i="1"/>
  <c r="E318" i="1" l="1"/>
  <c r="E225" i="1"/>
  <c r="E224" i="1" s="1"/>
  <c r="D260" i="3"/>
  <c r="D155" i="3"/>
  <c r="E18" i="1"/>
  <c r="E17" i="1" s="1"/>
  <c r="E274" i="1"/>
  <c r="E307" i="1"/>
  <c r="E306" i="1" s="1"/>
  <c r="E64" i="1"/>
  <c r="E63" i="1" s="1"/>
  <c r="E128" i="1"/>
  <c r="E127" i="1" s="1"/>
  <c r="E165" i="1"/>
  <c r="E164" i="1" s="1"/>
  <c r="E214" i="1"/>
  <c r="E213" i="1" s="1"/>
  <c r="E206" i="1"/>
  <c r="E205" i="1" s="1"/>
  <c r="E297" i="1"/>
  <c r="E296" i="1" s="1"/>
  <c r="E317" i="1"/>
  <c r="D36" i="3"/>
  <c r="D151" i="3"/>
  <c r="D143" i="3"/>
  <c r="I330" i="1"/>
  <c r="G330" i="1"/>
  <c r="M330" i="1"/>
  <c r="D19" i="3"/>
  <c r="D17" i="3" s="1"/>
  <c r="H330" i="1"/>
  <c r="N330" i="1"/>
  <c r="F330" i="1"/>
  <c r="D117" i="3"/>
  <c r="D38" i="3"/>
  <c r="D244" i="3"/>
  <c r="D242" i="3" s="1"/>
  <c r="D222" i="3"/>
  <c r="D140" i="3"/>
  <c r="D229" i="3"/>
  <c r="D154" i="3"/>
  <c r="D218" i="3"/>
  <c r="D217" i="3" s="1"/>
  <c r="D191" i="3"/>
  <c r="P201" i="1"/>
  <c r="D84" i="3"/>
  <c r="P235" i="1"/>
  <c r="D108" i="3"/>
  <c r="D90" i="3"/>
  <c r="D162" i="3"/>
  <c r="D241" i="3"/>
  <c r="D240" i="3" s="1"/>
  <c r="D163" i="3"/>
  <c r="D170" i="3"/>
  <c r="D230" i="3"/>
  <c r="P270" i="1"/>
  <c r="D160" i="3"/>
  <c r="D164" i="3"/>
  <c r="D226" i="3"/>
  <c r="D124" i="3"/>
  <c r="D221" i="3"/>
  <c r="P233" i="1"/>
  <c r="O213" i="1"/>
  <c r="D145" i="3"/>
  <c r="D132" i="3"/>
  <c r="D183" i="3"/>
  <c r="D146" i="3"/>
  <c r="D144" i="3"/>
  <c r="J213" i="1"/>
  <c r="D235" i="3"/>
  <c r="P204" i="1"/>
  <c r="D139" i="3"/>
  <c r="D112" i="3"/>
  <c r="D109" i="3"/>
  <c r="P21" i="1"/>
  <c r="P59" i="1"/>
  <c r="P56" i="1"/>
  <c r="O238" i="3" s="1"/>
  <c r="P54" i="1"/>
  <c r="P52" i="1"/>
  <c r="O228" i="3" s="1"/>
  <c r="P50" i="1"/>
  <c r="P108" i="1"/>
  <c r="O75" i="3" s="1"/>
  <c r="P100" i="1"/>
  <c r="O67" i="3" s="1"/>
  <c r="P98" i="1"/>
  <c r="O65" i="3" s="1"/>
  <c r="P85" i="1"/>
  <c r="O51" i="3" s="1"/>
  <c r="P82" i="1"/>
  <c r="O48" i="3" s="1"/>
  <c r="P79" i="1"/>
  <c r="P137" i="1"/>
  <c r="P192" i="1"/>
  <c r="O131" i="3" s="1"/>
  <c r="P190" i="1"/>
  <c r="O129" i="3" s="1"/>
  <c r="P187" i="1"/>
  <c r="O126" i="3" s="1"/>
  <c r="P184" i="1"/>
  <c r="O123" i="3" s="1"/>
  <c r="P181" i="1"/>
  <c r="O115" i="3" s="1"/>
  <c r="P178" i="1"/>
  <c r="P175" i="1"/>
  <c r="P246" i="1"/>
  <c r="P240" i="1"/>
  <c r="P237" i="1"/>
  <c r="O160" i="3" s="1"/>
  <c r="P282" i="1"/>
  <c r="O184" i="3" s="1"/>
  <c r="P329" i="1"/>
  <c r="O252" i="3" s="1"/>
  <c r="O251" i="3" s="1"/>
  <c r="P60" i="1"/>
  <c r="O246" i="3" s="1"/>
  <c r="O245" i="3" s="1"/>
  <c r="P58" i="1"/>
  <c r="P55" i="1"/>
  <c r="O237" i="3" s="1"/>
  <c r="P53" i="1"/>
  <c r="P51" i="1"/>
  <c r="O226" i="3" s="1"/>
  <c r="P49" i="1"/>
  <c r="P97" i="1"/>
  <c r="O64" i="3" s="1"/>
  <c r="P94" i="1"/>
  <c r="O60" i="3" s="1"/>
  <c r="P171" i="1"/>
  <c r="P193" i="1"/>
  <c r="P191" i="1"/>
  <c r="O130" i="3" s="1"/>
  <c r="P189" i="1"/>
  <c r="O128" i="3" s="1"/>
  <c r="P185" i="1"/>
  <c r="O124" i="3" s="1"/>
  <c r="P183" i="1"/>
  <c r="O117" i="3" s="1"/>
  <c r="P179" i="1"/>
  <c r="O113" i="3" s="1"/>
  <c r="P177" i="1"/>
  <c r="O111" i="3" s="1"/>
  <c r="P174" i="1"/>
  <c r="P241" i="1"/>
  <c r="P239" i="1"/>
  <c r="P238" i="1"/>
  <c r="O161" i="3" s="1"/>
  <c r="P283" i="1"/>
  <c r="O186" i="3" s="1"/>
  <c r="P320" i="1"/>
  <c r="J224" i="1"/>
  <c r="P262" i="1"/>
  <c r="P298" i="1"/>
  <c r="P299" i="1"/>
  <c r="P311" i="1"/>
  <c r="O224" i="3" s="1"/>
  <c r="J306" i="1"/>
  <c r="P326" i="1"/>
  <c r="P323" i="1"/>
  <c r="P210" i="1"/>
  <c r="O119" i="3" s="1"/>
  <c r="P209" i="1"/>
  <c r="O118" i="3" s="1"/>
  <c r="P44" i="1"/>
  <c r="O205" i="3" s="1"/>
  <c r="O201" i="3" s="1"/>
  <c r="P38" i="1"/>
  <c r="O151" i="3" s="1"/>
  <c r="P36" i="1"/>
  <c r="O149" i="3" s="1"/>
  <c r="P34" i="1"/>
  <c r="P32" i="1"/>
  <c r="P30" i="1"/>
  <c r="O122" i="3" s="1"/>
  <c r="P28" i="1"/>
  <c r="O120" i="3" s="1"/>
  <c r="P26" i="1"/>
  <c r="P215" i="1"/>
  <c r="P292" i="1"/>
  <c r="P305" i="1"/>
  <c r="P304" i="1" s="1"/>
  <c r="P303" i="1" s="1"/>
  <c r="P312" i="1"/>
  <c r="O225" i="3" s="1"/>
  <c r="P310" i="1"/>
  <c r="P309" i="1"/>
  <c r="O178" i="3" s="1"/>
  <c r="O177" i="3" s="1"/>
  <c r="P313" i="1"/>
  <c r="P247" i="1"/>
  <c r="P41" i="1"/>
  <c r="P39" i="1"/>
  <c r="O153" i="3" s="1"/>
  <c r="P37" i="1"/>
  <c r="O150" i="3" s="1"/>
  <c r="P35" i="1"/>
  <c r="P31" i="1"/>
  <c r="P29" i="1"/>
  <c r="O121" i="3" s="1"/>
  <c r="P27" i="1"/>
  <c r="P160" i="1"/>
  <c r="P154" i="1"/>
  <c r="O100" i="3" s="1"/>
  <c r="P153" i="1"/>
  <c r="O99" i="3" s="1"/>
  <c r="P150" i="1"/>
  <c r="O96" i="3" s="1"/>
  <c r="P148" i="1"/>
  <c r="O94" i="3" s="1"/>
  <c r="P146" i="1"/>
  <c r="O92" i="3" s="1"/>
  <c r="P144" i="1"/>
  <c r="P138" i="1"/>
  <c r="J205" i="1"/>
  <c r="P220" i="1"/>
  <c r="P222" i="1"/>
  <c r="P217" i="1"/>
  <c r="P286" i="1"/>
  <c r="O191" i="3" s="1"/>
  <c r="P281" i="1"/>
  <c r="P23" i="1"/>
  <c r="O21" i="3" s="1"/>
  <c r="P33" i="1"/>
  <c r="P236" i="1"/>
  <c r="O159" i="3" s="1"/>
  <c r="P302" i="1"/>
  <c r="P40" i="1"/>
  <c r="O154" i="3" s="1"/>
  <c r="P78" i="1"/>
  <c r="O36" i="3" s="1"/>
  <c r="P208" i="1"/>
  <c r="P219" i="1"/>
  <c r="P218" i="1"/>
  <c r="P324" i="1"/>
  <c r="P278" i="1"/>
  <c r="P279" i="1"/>
  <c r="P327" i="1"/>
  <c r="O247" i="3" s="1"/>
  <c r="J317" i="1"/>
  <c r="J63" i="1"/>
  <c r="P308" i="1"/>
  <c r="P273" i="1"/>
  <c r="P272" i="1" s="1"/>
  <c r="P271" i="1" s="1"/>
  <c r="P77" i="1"/>
  <c r="J17" i="1"/>
  <c r="P200" i="1"/>
  <c r="F335" i="1" l="1"/>
  <c r="H335" i="1"/>
  <c r="M335" i="1"/>
  <c r="I335" i="1"/>
  <c r="P318" i="1"/>
  <c r="N335" i="1"/>
  <c r="G335" i="1"/>
  <c r="E330" i="1"/>
  <c r="P225" i="1"/>
  <c r="D156" i="3"/>
  <c r="O260" i="3"/>
  <c r="O257" i="3" s="1"/>
  <c r="O249" i="3" s="1"/>
  <c r="O155" i="3"/>
  <c r="O147" i="3" s="1"/>
  <c r="P18" i="1"/>
  <c r="D179" i="3"/>
  <c r="D24" i="3"/>
  <c r="P64" i="1"/>
  <c r="P63" i="1" s="1"/>
  <c r="D233" i="3"/>
  <c r="D257" i="3"/>
  <c r="D249" i="3" s="1"/>
  <c r="D101" i="3"/>
  <c r="P297" i="1"/>
  <c r="O19" i="3"/>
  <c r="O17" i="3" s="1"/>
  <c r="O140" i="3"/>
  <c r="O38" i="3"/>
  <c r="O24" i="3" s="1"/>
  <c r="D79" i="3"/>
  <c r="O222" i="3"/>
  <c r="O244" i="3"/>
  <c r="O242" i="3" s="1"/>
  <c r="D219" i="3"/>
  <c r="P214" i="1"/>
  <c r="O229" i="3"/>
  <c r="D147" i="3"/>
  <c r="P128" i="1"/>
  <c r="P127" i="1" s="1"/>
  <c r="P206" i="1"/>
  <c r="O218" i="3"/>
  <c r="O217" i="3" s="1"/>
  <c r="O143" i="3"/>
  <c r="O132" i="3"/>
  <c r="O84" i="3"/>
  <c r="O108" i="3"/>
  <c r="O90" i="3"/>
  <c r="O162" i="3"/>
  <c r="O241" i="3"/>
  <c r="O240" i="3" s="1"/>
  <c r="O163" i="3"/>
  <c r="O230" i="3"/>
  <c r="O170" i="3"/>
  <c r="P307" i="1"/>
  <c r="O183" i="3"/>
  <c r="O179" i="3" s="1"/>
  <c r="O139" i="3"/>
  <c r="D142" i="3"/>
  <c r="O221" i="3"/>
  <c r="O235" i="3"/>
  <c r="O164" i="3"/>
  <c r="O146" i="3"/>
  <c r="O145" i="3"/>
  <c r="O112" i="3"/>
  <c r="O144" i="3"/>
  <c r="O109" i="3"/>
  <c r="L274" i="1"/>
  <c r="L330" i="1" s="1"/>
  <c r="L335" i="1" l="1"/>
  <c r="D171" i="3"/>
  <c r="D262" i="3" s="1"/>
  <c r="E335" i="1" s="1"/>
  <c r="O219" i="3"/>
  <c r="O171" i="3" s="1"/>
  <c r="O79" i="3"/>
  <c r="O233" i="3"/>
  <c r="O142" i="3"/>
  <c r="P280" i="1"/>
  <c r="P275" i="1" s="1"/>
  <c r="J274" i="1"/>
  <c r="O169" i="3" l="1"/>
  <c r="O156" i="3" s="1"/>
  <c r="J107" i="3" l="1"/>
  <c r="J101" i="3" s="1"/>
  <c r="K164" i="1"/>
  <c r="K330" i="1" s="1"/>
  <c r="N107" i="3"/>
  <c r="N101" i="3" s="1"/>
  <c r="O164" i="1"/>
  <c r="O330" i="1" s="1"/>
  <c r="J173" i="1"/>
  <c r="J165" i="1" s="1"/>
  <c r="N262" i="3" l="1"/>
  <c r="O335" i="1" s="1"/>
  <c r="J262" i="3"/>
  <c r="K335" i="1" s="1"/>
  <c r="I107" i="3"/>
  <c r="I101" i="3" s="1"/>
  <c r="P173" i="1"/>
  <c r="P165" i="1" s="1"/>
  <c r="P17" i="1"/>
  <c r="P296" i="1"/>
  <c r="P317" i="1"/>
  <c r="I262" i="3" l="1"/>
  <c r="O107" i="3"/>
  <c r="O101" i="3" s="1"/>
  <c r="P164" i="1"/>
  <c r="J164" i="1"/>
  <c r="J330" i="1" s="1"/>
  <c r="P306" i="1"/>
  <c r="P274" i="1"/>
  <c r="P224" i="1"/>
  <c r="P213" i="1"/>
  <c r="P205" i="1"/>
  <c r="J335" i="1" l="1"/>
  <c r="O262" i="3"/>
  <c r="P330" i="1"/>
  <c r="C56" i="1"/>
  <c r="P335" i="1" l="1"/>
  <c r="C324" i="1"/>
  <c r="D324" i="1"/>
  <c r="B324" i="1"/>
  <c r="C263" i="1"/>
  <c r="D263" i="1"/>
  <c r="B263" i="1"/>
  <c r="C177" i="1" l="1"/>
  <c r="D177" i="1"/>
  <c r="B177" i="1"/>
  <c r="C33" i="1"/>
  <c r="B33" i="1"/>
  <c r="B150" i="1"/>
  <c r="C150" i="1"/>
  <c r="D150" i="1"/>
  <c r="B185" i="1"/>
  <c r="C185" i="1"/>
  <c r="D185" i="1"/>
  <c r="B187" i="1"/>
  <c r="C187" i="1"/>
  <c r="C181" i="1"/>
  <c r="D181" i="1"/>
  <c r="B181" i="1"/>
  <c r="C302" i="1"/>
  <c r="B302" i="1"/>
  <c r="C299" i="1"/>
  <c r="D299" i="1"/>
  <c r="B299" i="1"/>
  <c r="D154" i="1"/>
  <c r="C154" i="1"/>
  <c r="B154" i="1"/>
  <c r="C153" i="1"/>
  <c r="D153" i="1"/>
  <c r="B153" i="1"/>
  <c r="C53" i="1"/>
  <c r="B53" i="1"/>
  <c r="C204" i="1"/>
  <c r="B204" i="1"/>
  <c r="C200" i="1"/>
  <c r="D200" i="1"/>
  <c r="C201" i="1"/>
  <c r="B201" i="1"/>
  <c r="B200" i="1"/>
  <c r="C193" i="1"/>
  <c r="D193" i="1"/>
  <c r="B193" i="1"/>
  <c r="C192" i="1"/>
  <c r="D192" i="1"/>
  <c r="B192" i="1"/>
  <c r="C191" i="1"/>
  <c r="B191" i="1"/>
  <c r="C190" i="1"/>
  <c r="D190" i="1"/>
  <c r="B190" i="1"/>
  <c r="C189" i="1"/>
  <c r="D189" i="1"/>
  <c r="B189" i="1"/>
  <c r="C184" i="1"/>
  <c r="D184" i="1"/>
  <c r="B184" i="1"/>
  <c r="C183" i="1"/>
  <c r="D183" i="1"/>
  <c r="B183" i="1"/>
  <c r="C179" i="1"/>
  <c r="D179" i="1"/>
  <c r="B179" i="1"/>
  <c r="C178" i="1"/>
  <c r="D178" i="1"/>
  <c r="B178" i="1"/>
  <c r="C175" i="1"/>
  <c r="D175" i="1"/>
  <c r="B175" i="1"/>
  <c r="C174" i="1"/>
  <c r="B174" i="1"/>
  <c r="C173" i="1"/>
  <c r="D173" i="1"/>
  <c r="B173" i="1"/>
  <c r="C160" i="1"/>
  <c r="B160" i="1"/>
  <c r="C148" i="1"/>
  <c r="D148" i="1"/>
  <c r="B148" i="1"/>
  <c r="C146" i="1"/>
  <c r="D146" i="1"/>
  <c r="B146" i="1"/>
  <c r="C144" i="1"/>
  <c r="B144" i="1"/>
  <c r="C138" i="1"/>
  <c r="B138" i="1"/>
  <c r="C98" i="1"/>
  <c r="C100" i="1"/>
  <c r="C79" i="1"/>
  <c r="B79" i="1"/>
  <c r="C78" i="1"/>
  <c r="B78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C32" i="1"/>
  <c r="B32" i="1"/>
  <c r="B31" i="1"/>
  <c r="C34" i="1"/>
  <c r="C35" i="1"/>
  <c r="B34" i="1"/>
  <c r="C41" i="1"/>
  <c r="D41" i="1"/>
  <c r="B41" i="1"/>
  <c r="C40" i="1"/>
  <c r="D40" i="1"/>
  <c r="B40" i="1"/>
  <c r="C39" i="1"/>
  <c r="B39" i="1"/>
  <c r="C38" i="1"/>
  <c r="B38" i="1"/>
  <c r="C37" i="1"/>
  <c r="B37" i="1"/>
  <c r="C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10" i="1"/>
  <c r="C210" i="1"/>
  <c r="B210" i="1"/>
  <c r="C217" i="1"/>
  <c r="D217" i="1"/>
  <c r="B217" i="1"/>
  <c r="C219" i="1"/>
  <c r="D219" i="1"/>
  <c r="C220" i="1"/>
  <c r="D220" i="1"/>
  <c r="B220" i="1"/>
  <c r="B219" i="1"/>
  <c r="C222" i="1"/>
  <c r="B222" i="1"/>
  <c r="C235" i="1"/>
  <c r="D235" i="1"/>
  <c r="B235" i="1"/>
  <c r="C239" i="1"/>
  <c r="D239" i="1"/>
  <c r="B239" i="1"/>
  <c r="C238" i="1"/>
  <c r="D238" i="1"/>
  <c r="B238" i="1"/>
  <c r="C237" i="1"/>
  <c r="D237" i="1"/>
  <c r="B237" i="1"/>
  <c r="C236" i="1"/>
  <c r="D236" i="1"/>
  <c r="B236" i="1"/>
  <c r="C240" i="1"/>
  <c r="D240" i="1"/>
  <c r="B240" i="1"/>
  <c r="C241" i="1"/>
  <c r="D241" i="1"/>
  <c r="B241" i="1"/>
  <c r="C246" i="1"/>
  <c r="D246" i="1"/>
  <c r="B246" i="1"/>
  <c r="C247" i="1"/>
  <c r="B247" i="1"/>
  <c r="C248" i="1"/>
  <c r="B248" i="1"/>
  <c r="C262" i="1"/>
  <c r="B262" i="1"/>
  <c r="C268" i="1"/>
  <c r="D268" i="1"/>
  <c r="B268" i="1"/>
  <c r="C270" i="1"/>
  <c r="B270" i="1"/>
  <c r="C279" i="1"/>
  <c r="D279" i="1"/>
  <c r="B279" i="1"/>
  <c r="C280" i="1"/>
  <c r="B280" i="1"/>
  <c r="C281" i="1"/>
  <c r="D281" i="1"/>
  <c r="B281" i="1"/>
  <c r="C283" i="1"/>
  <c r="B283" i="1"/>
  <c r="C282" i="1"/>
  <c r="B282" i="1"/>
  <c r="C286" i="1"/>
  <c r="B286" i="1"/>
  <c r="C292" i="1"/>
  <c r="B292" i="1"/>
  <c r="C309" i="1"/>
  <c r="D309" i="1"/>
  <c r="B309" i="1"/>
  <c r="C310" i="1"/>
  <c r="D310" i="1"/>
  <c r="B310" i="1"/>
  <c r="C311" i="1"/>
  <c r="D311" i="1"/>
  <c r="B311" i="1"/>
  <c r="C312" i="1"/>
  <c r="D312" i="1"/>
  <c r="B312" i="1"/>
  <c r="C313" i="1"/>
  <c r="D313" i="1"/>
  <c r="B313" i="1"/>
  <c r="C323" i="1"/>
  <c r="B323" i="1"/>
  <c r="C326" i="1"/>
  <c r="D326" i="1"/>
  <c r="B326" i="1"/>
  <c r="C327" i="1"/>
  <c r="D327" i="1"/>
  <c r="B327" i="1"/>
  <c r="C328" i="1"/>
  <c r="D328" i="1"/>
  <c r="C329" i="1"/>
  <c r="D329" i="1"/>
  <c r="B329" i="1"/>
  <c r="C320" i="1"/>
  <c r="B320" i="1"/>
  <c r="C308" i="1"/>
  <c r="B308" i="1"/>
  <c r="C305" i="1"/>
  <c r="B305" i="1"/>
  <c r="C298" i="1"/>
  <c r="B298" i="1"/>
  <c r="C278" i="1"/>
  <c r="B278" i="1"/>
  <c r="C273" i="1"/>
  <c r="B273" i="1"/>
  <c r="C233" i="1"/>
  <c r="B233" i="1"/>
  <c r="C215" i="1"/>
  <c r="B215" i="1"/>
  <c r="C208" i="1"/>
  <c r="B208" i="1"/>
  <c r="C171" i="1"/>
  <c r="B171" i="1"/>
  <c r="C137" i="1"/>
  <c r="B137" i="1"/>
  <c r="C77" i="1"/>
  <c r="B77" i="1"/>
  <c r="C21" i="1"/>
  <c r="B21" i="1"/>
  <c r="E81" i="3" l="1"/>
  <c r="D81" i="3" l="1"/>
  <c r="I81" i="3"/>
  <c r="O81" i="3" l="1"/>
  <c r="D80" i="3" l="1"/>
  <c r="I83" i="3"/>
  <c r="O83" i="3"/>
  <c r="I80" i="3" l="1"/>
  <c r="O80" i="3" l="1"/>
  <c r="I202" i="3" l="1"/>
  <c r="I173" i="3" s="1"/>
  <c r="I264" i="3" s="1"/>
  <c r="J337" i="1" s="1"/>
  <c r="D202" i="3"/>
  <c r="D173" i="3" s="1"/>
  <c r="D264" i="3" s="1"/>
  <c r="E337" i="1" s="1"/>
  <c r="O202" i="3" l="1"/>
  <c r="O173" i="3" s="1"/>
  <c r="O264" i="3" s="1"/>
  <c r="P337" i="1" s="1"/>
  <c r="D172" i="3" l="1"/>
  <c r="I180" i="3" l="1"/>
  <c r="O180" i="3"/>
  <c r="O263" i="3" s="1"/>
  <c r="P336" i="1" s="1"/>
  <c r="I263" i="3" l="1"/>
  <c r="J336" i="1" s="1"/>
  <c r="O172" i="3"/>
  <c r="I172" i="3"/>
</calcChain>
</file>

<file path=xl/sharedStrings.xml><?xml version="1.0" encoding="utf-8"?>
<sst xmlns="http://schemas.openxmlformats.org/spreadsheetml/2006/main" count="1093" uniqueCount="635">
  <si>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</si>
  <si>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</si>
  <si>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</si>
  <si>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</si>
  <si>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</si>
  <si>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</si>
  <si>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</si>
  <si>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</si>
  <si>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</si>
  <si>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</si>
  <si>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</si>
  <si>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</si>
  <si>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</si>
  <si>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</si>
  <si>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</si>
  <si>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</si>
  <si>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</si>
  <si>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</si>
  <si>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</si>
  <si>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</si>
  <si>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</si>
  <si>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</si>
  <si>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</si>
  <si>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</si>
  <si>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</si>
  <si>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</si>
  <si>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</si>
  <si>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</si>
  <si>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</si>
  <si>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</si>
  <si>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</si>
  <si>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</si>
  <si>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</si>
  <si>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</si>
  <si>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</si>
  <si>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</si>
  <si>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</si>
  <si>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</si>
  <si>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</si>
  <si>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</si>
  <si>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</si>
  <si>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</si>
  <si>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</si>
  <si>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</si>
  <si>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</si>
  <si>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</si>
  <si>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</si>
  <si>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</si>
  <si>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</si>
  <si>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</si>
  <si>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</si>
  <si>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</si>
  <si>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</si>
  <si>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</si>
  <si>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</si>
  <si>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</si>
  <si>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</si>
  <si>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</si>
  <si>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</si>
  <si>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</si>
  <si>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</si>
  <si>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</si>
  <si>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</si>
  <si>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</si>
  <si>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</si>
  <si>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</si>
  <si>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</si>
  <si>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</si>
  <si>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</si>
  <si>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</si>
  <si>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</si>
  <si>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</si>
  <si>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</si>
  <si>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</si>
  <si>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</si>
  <si>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</si>
  <si>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</si>
  <si>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</si>
  <si>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</si>
  <si>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</si>
  <si>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</si>
  <si>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</si>
  <si>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</si>
  <si>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</si>
  <si>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</si>
  <si>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</si>
  <si>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</si>
  <si>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</si>
  <si>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</si>
  <si>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</si>
  <si>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</si>
  <si>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</si>
  <si>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</si>
  <si>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</si>
  <si>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</si>
  <si>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</si>
  <si>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</si>
  <si>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</si>
  <si>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</si>
  <si>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</si>
  <si>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</si>
  <si>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</si>
  <si>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</si>
  <si>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</si>
  <si>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</si>
  <si>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</si>
  <si>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</si>
  <si>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</si>
  <si>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</si>
  <si>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</si>
  <si>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</si>
  <si>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</si>
  <si>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</si>
  <si>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</si>
  <si>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</si>
  <si>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</si>
  <si>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</si>
  <si>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</si>
  <si>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</si>
  <si>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</si>
  <si>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</si>
  <si>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</si>
  <si>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</si>
  <si>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</si>
  <si>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</si>
  <si>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</si>
  <si>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</si>
  <si>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</si>
  <si>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</si>
  <si>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</si>
  <si>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</si>
  <si>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</si>
  <si>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</si>
  <si>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</si>
  <si>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</si>
  <si>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</si>
  <si>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</si>
  <si>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</si>
  <si>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</si>
  <si>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</si>
  <si>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</si>
  <si>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</si>
  <si>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</si>
  <si>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</si>
  <si>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</si>
  <si>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</si>
  <si>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</si>
  <si>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</si>
  <si>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</si>
  <si>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</si>
  <si>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</si>
  <si>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</si>
  <si>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</si>
  <si>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</si>
  <si>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</si>
  <si>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</si>
  <si>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</si>
  <si>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</si>
  <si>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</si>
  <si>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</si>
  <si>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</si>
  <si>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</si>
  <si>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</si>
  <si>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</si>
  <si>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</si>
  <si>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</si>
  <si>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</si>
  <si>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</si>
  <si>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</si>
  <si>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</si>
  <si>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</si>
  <si>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</si>
  <si>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</si>
  <si>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</si>
  <si>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</si>
  <si>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</si>
  <si>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</si>
  <si>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</si>
  <si>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</si>
  <si>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</si>
  <si>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</si>
  <si>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</si>
  <si>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</si>
  <si>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</si>
  <si>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</si>
  <si>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</si>
  <si>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</si>
  <si>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</si>
  <si>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</si>
  <si>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</si>
  <si>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</si>
  <si>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</si>
  <si>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</si>
  <si>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</si>
  <si>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</si>
  <si>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</si>
  <si>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</si>
  <si>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</si>
  <si>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</si>
  <si>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</si>
  <si>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</si>
  <si>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</si>
  <si>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</si>
  <si>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</si>
  <si>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</si>
  <si>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</si>
  <si>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</si>
  <si>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</si>
  <si>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</si>
  <si>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</si>
  <si>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</si>
  <si>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</si>
  <si>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</si>
  <si>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</si>
  <si>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</si>
  <si>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</si>
  <si>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</si>
  <si>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</si>
  <si>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</si>
  <si>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</si>
  <si>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</si>
  <si>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</si>
  <si>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</si>
  <si>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</si>
  <si>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</si>
  <si>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</si>
  <si>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</si>
  <si>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</si>
  <si>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</si>
  <si>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</si>
  <si>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</si>
  <si>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</si>
  <si>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</si>
  <si>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</si>
  <si>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</si>
  <si>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</si>
  <si>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</si>
  <si>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</si>
  <si>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</si>
  <si>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</si>
  <si>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</si>
  <si>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</si>
  <si>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</si>
  <si>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</si>
  <si>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</si>
  <si>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</si>
  <si>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</si>
  <si>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</si>
  <si>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</si>
  <si>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</si>
  <si>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</si>
  <si>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</si>
  <si>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</si>
  <si>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</si>
  <si>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</si>
  <si>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</si>
  <si>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</si>
  <si>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</si>
  <si>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</si>
  <si>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</si>
  <si>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</si>
  <si>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</si>
  <si>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</si>
  <si>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</si>
  <si>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</si>
  <si>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</si>
  <si>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</si>
  <si>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</si>
  <si>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</si>
  <si>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</si>
  <si>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</si>
  <si>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</si>
  <si>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</si>
  <si>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</si>
  <si>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</si>
  <si>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</si>
  <si>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</si>
  <si>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</si>
  <si>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</si>
  <si>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</si>
  <si>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</si>
  <si>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</si>
  <si>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</si>
  <si>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</si>
  <si>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</si>
  <si>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</si>
  <si>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</si>
  <si>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</si>
  <si>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</si>
  <si>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</si>
  <si>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</si>
  <si>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</si>
  <si>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</si>
  <si>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</si>
  <si>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</si>
  <si>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</si>
  <si>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</si>
  <si>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</si>
  <si>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</si>
  <si>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</si>
  <si>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</si>
  <si>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</si>
  <si>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</si>
  <si>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</si>
  <si>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</si>
  <si>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</si>
  <si>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</si>
  <si>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</si>
  <si>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</si>
  <si>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</si>
  <si>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</si>
  <si>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</si>
  <si>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</si>
  <si>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</si>
  <si>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</si>
  <si>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</si>
  <si>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</si>
  <si>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</si>
  <si>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</si>
  <si>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</si>
  <si>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</si>
  <si>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</si>
  <si>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</si>
  <si>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</si>
  <si>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</si>
  <si>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</si>
  <si>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</si>
  <si>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</si>
  <si>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</si>
  <si>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</si>
  <si>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</si>
  <si>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</si>
  <si>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</si>
  <si>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</si>
  <si>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</si>
  <si>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</si>
  <si>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</si>
  <si>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</si>
  <si>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</si>
  <si>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</si>
  <si>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</si>
  <si>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</si>
  <si>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</si>
  <si>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</si>
  <si>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</si>
  <si>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</si>
  <si>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</si>
  <si>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</si>
  <si>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</si>
  <si>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</si>
  <si>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</si>
  <si>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</si>
  <si>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</si>
  <si>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</si>
  <si>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</si>
  <si>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</si>
  <si>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</si>
  <si>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</si>
  <si>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</si>
  <si>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</si>
  <si>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</si>
  <si>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</si>
  <si>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</si>
  <si>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</si>
  <si>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</si>
  <si>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</si>
  <si>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</si>
  <si>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</si>
  <si>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</si>
  <si>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</si>
  <si>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</si>
  <si>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</si>
  <si>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</si>
  <si>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</si>
  <si>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</si>
  <si>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</si>
  <si>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</si>
  <si>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</si>
  <si>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</si>
  <si>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</si>
  <si>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</si>
  <si>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</si>
  <si>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</si>
  <si>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</si>
  <si>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</si>
  <si>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</si>
  <si>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</si>
  <si>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</si>
  <si>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</si>
  <si>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</si>
  <si>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</si>
  <si>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</si>
  <si>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</si>
  <si>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</si>
  <si>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</si>
  <si>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</si>
  <si>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</si>
  <si>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</si>
  <si>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</si>
  <si>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</si>
  <si>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</si>
  <si>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</si>
  <si>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</si>
  <si>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</si>
  <si>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</si>
  <si>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</si>
  <si>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</si>
  <si>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</si>
  <si>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</si>
  <si>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</si>
  <si>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</si>
  <si>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</si>
  <si>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</si>
  <si>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</si>
  <si>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</si>
  <si>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</si>
  <si>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</si>
  <si>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</si>
  <si>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</si>
  <si>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</si>
  <si>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</si>
  <si>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</si>
  <si>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</si>
  <si>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</si>
  <si>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</si>
  <si>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</si>
  <si>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</si>
  <si>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</si>
  <si>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</si>
  <si>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</si>
  <si>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</si>
  <si>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</si>
  <si>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</si>
  <si>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</si>
  <si>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</si>
  <si>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</si>
  <si>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</si>
  <si>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</si>
  <si>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</si>
  <si>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</si>
  <si>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</si>
  <si>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</si>
  <si>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</si>
  <si>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</si>
  <si>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</si>
  <si>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</si>
  <si>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</si>
  <si>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</si>
  <si>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</si>
  <si>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</si>
  <si>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</si>
  <si>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</si>
  <si>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</si>
  <si>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</si>
  <si>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</si>
  <si>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</si>
  <si>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</si>
  <si>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</si>
  <si>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</si>
  <si>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</si>
  <si>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</si>
  <si>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</si>
  <si>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</si>
  <si>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</si>
  <si>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</si>
  <si>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</si>
  <si>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</si>
  <si>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</si>
  <si>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</si>
  <si>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</si>
  <si>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</si>
  <si>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</si>
  <si>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</si>
  <si>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</si>
  <si>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</si>
  <si>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</si>
  <si>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</si>
  <si>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</si>
  <si>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</si>
  <si>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</si>
  <si>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</si>
  <si>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</si>
  <si>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</si>
  <si>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</si>
  <si>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</si>
  <si>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</si>
  <si>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</si>
  <si>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</si>
  <si>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</si>
  <si>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</si>
  <si>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</si>
  <si>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</si>
  <si>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</si>
  <si>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</si>
  <si>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</si>
  <si>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</si>
  <si>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</si>
  <si>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</si>
  <si>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</si>
  <si>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</si>
  <si>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</si>
  <si>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</si>
  <si>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</si>
  <si>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</si>
  <si>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</si>
  <si>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</si>
  <si>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</si>
  <si>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</si>
  <si>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</si>
  <si>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</si>
  <si>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</si>
  <si>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</si>
  <si>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</si>
  <si>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</si>
  <si>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</si>
  <si>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</si>
  <si>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</si>
  <si>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</si>
  <si>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</si>
  <si>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</si>
  <si>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</si>
  <si>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</si>
  <si>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</si>
  <si>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</si>
  <si>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</si>
  <si>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</si>
  <si>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</si>
  <si>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</si>
  <si>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</si>
  <si>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</si>
  <si>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</si>
  <si>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</si>
  <si>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</si>
  <si>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</si>
  <si>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</si>
  <si>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</si>
  <si>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</si>
  <si>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</si>
  <si>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</si>
  <si>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</si>
  <si>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</si>
  <si>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</si>
  <si>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</si>
  <si>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</si>
  <si>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</si>
  <si>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</si>
  <si>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</si>
  <si>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</si>
  <si>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</si>
  <si>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</si>
  <si>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</si>
  <si>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</si>
  <si>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</si>
  <si>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</si>
  <si>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</si>
  <si>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</si>
  <si>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</si>
  <si>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</si>
  <si>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</si>
  <si>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</si>
  <si>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</si>
  <si>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</si>
  <si>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</si>
  <si>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</si>
  <si>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</si>
  <si>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</si>
  <si>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</si>
  <si>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</si>
  <si>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</si>
  <si>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</si>
  <si>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</si>
  <si>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</si>
  <si>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</si>
  <si>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</si>
  <si>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</si>
  <si>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</si>
  <si>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«Про       внесення       змін       до         рішення</t>
  </si>
  <si>
    <t>до      рішення      Сумської      міської        ради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</si>
  <si>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</si>
  <si>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</si>
  <si>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</si>
  <si>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</si>
  <si>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</si>
  <si>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</si>
  <si>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</si>
  <si>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</si>
  <si>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</si>
  <si>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</si>
  <si>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</si>
  <si>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</si>
  <si>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</si>
  <si>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</si>
  <si>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</si>
  <si>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</si>
  <si>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</si>
  <si>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</si>
  <si>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</si>
  <si>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</si>
  <si>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</si>
  <si>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</si>
  <si>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</si>
  <si>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</si>
  <si>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</si>
  <si>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</si>
  <si>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</si>
  <si>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територіальної     громади      на      2021      рік»</t>
  </si>
  <si>
    <t xml:space="preserve">Сумської  міської ради від 24 грудня 2020 року </t>
  </si>
  <si>
    <t xml:space="preserve">№ 62 - МР «Про   бюджет    Сумської    міської 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</si>
  <si>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</si>
  <si>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</si>
  <si>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</si>
  <si>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</si>
  <si>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</si>
  <si>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</si>
  <si>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</si>
  <si>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</si>
  <si>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</si>
  <si>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</si>
  <si>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</si>
  <si>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</si>
  <si>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</si>
  <si>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</si>
  <si>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«Про       внесення        змін        до        рішення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</si>
  <si>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</si>
  <si>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</si>
  <si>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</si>
  <si>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</si>
  <si>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</si>
  <si>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</si>
  <si>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</si>
  <si>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 xml:space="preserve">                                   Додаток 7</t>
  </si>
  <si>
    <t xml:space="preserve">                                 Додаток 3</t>
  </si>
  <si>
    <t>Виконавець: Співакова Л.І.  ___________</t>
  </si>
  <si>
    <t>від    26    січня     2022     року    №  2719  - МР</t>
  </si>
  <si>
    <t>від     26     січня    2022     року    №   2719 -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</si>
</sst>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0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/>
    <xf numFmtId="4" fontId="2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 applyProtection="1">
      <alignment horizontal="left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48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39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0" fontId="40" fillId="0" borderId="0" xfId="0" applyNumberFormat="1" applyFont="1" applyFill="1" applyBorder="1" applyAlignment="1" applyProtection="1">
      <alignment horizontal="center" vertical="top" wrapText="1"/>
    </xf>
    <xf numFmtId="49" fontId="46" fillId="0" borderId="0" xfId="0" applyNumberFormat="1" applyFont="1" applyFill="1" applyAlignment="1" applyProtection="1">
      <alignment horizontal="center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719"/>
  <sheetViews>
    <sheetView showGridLines="0" showZeros="0" view="pageBreakPreview" zoomScale="68" zoomScaleNormal="82" zoomScaleSheetLayoutView="68" workbookViewId="0">
      <selection activeCell="C7" sqref="C7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21.5" style="47" customWidth="1"/>
    <col min="9" max="9" width="19.6640625" style="47" customWidth="1"/>
    <col min="10" max="11" width="22.5" style="47" customWidth="1"/>
    <col min="12" max="12" width="20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3" bestFit="1" customWidth="1"/>
    <col min="17" max="17" width="11.5" style="28" customWidth="1"/>
    <col min="18" max="18" width="34" style="28" customWidth="1"/>
    <col min="19" max="527" width="9.1640625" style="28"/>
    <col min="528" max="16384" width="9.1640625" style="20"/>
  </cols>
  <sheetData>
    <row r="1" spans="1:527" ht="26.25" customHeight="1" x14ac:dyDescent="0.4">
      <c r="K1" s="148" t="s">
        <v>631</v>
      </c>
      <c r="L1" s="148"/>
      <c r="M1" s="148"/>
      <c r="N1" s="148"/>
      <c r="O1" s="148"/>
      <c r="P1" s="148"/>
    </row>
    <row r="2" spans="1:527" ht="26.25" customHeight="1" x14ac:dyDescent="0.25">
      <c r="K2" s="91" t="s">
        <v>573</v>
      </c>
      <c r="L2" s="91"/>
      <c r="M2" s="91"/>
      <c r="N2" s="91"/>
      <c r="O2" s="91"/>
      <c r="P2" s="91"/>
    </row>
    <row r="3" spans="1:527" ht="26.25" customHeight="1" x14ac:dyDescent="0.4">
      <c r="K3" s="166" t="s">
        <v>622</v>
      </c>
      <c r="L3" s="166"/>
      <c r="M3" s="166"/>
      <c r="N3" s="166"/>
      <c r="O3" s="166"/>
      <c r="P3" s="166"/>
    </row>
    <row r="4" spans="1:527" ht="26.25" customHeight="1" x14ac:dyDescent="0.4">
      <c r="K4" s="166" t="s">
        <v>574</v>
      </c>
      <c r="L4" s="166"/>
      <c r="M4" s="166"/>
      <c r="N4" s="166"/>
      <c r="O4" s="166"/>
      <c r="P4" s="166"/>
    </row>
    <row r="5" spans="1:527" ht="26.25" customHeight="1" x14ac:dyDescent="0.4">
      <c r="K5" s="166" t="s">
        <v>575</v>
      </c>
      <c r="L5" s="166"/>
      <c r="M5" s="166"/>
      <c r="N5" s="166"/>
      <c r="O5" s="166"/>
      <c r="P5" s="166"/>
    </row>
    <row r="6" spans="1:527" ht="28.5" customHeight="1" x14ac:dyDescent="0.4">
      <c r="K6" s="166" t="s">
        <v>605</v>
      </c>
      <c r="L6" s="166"/>
      <c r="M6" s="166"/>
      <c r="N6" s="166"/>
      <c r="O6" s="166"/>
      <c r="P6" s="166"/>
    </row>
    <row r="7" spans="1:527" ht="28.5" customHeight="1" x14ac:dyDescent="0.4">
      <c r="K7" s="146" t="s">
        <v>534</v>
      </c>
      <c r="L7" s="146"/>
      <c r="M7" s="146"/>
      <c r="N7" s="146"/>
      <c r="O7" s="146"/>
      <c r="P7" s="146"/>
    </row>
    <row r="8" spans="1:527" ht="26.25" customHeight="1" x14ac:dyDescent="0.4">
      <c r="K8" s="166" t="s">
        <v>634</v>
      </c>
      <c r="L8" s="166"/>
      <c r="M8" s="166"/>
      <c r="N8" s="166"/>
      <c r="O8" s="166"/>
      <c r="P8" s="166"/>
    </row>
    <row r="9" spans="1:527" ht="26.25" x14ac:dyDescent="0.4">
      <c r="L9" s="62"/>
      <c r="M9" s="62"/>
      <c r="N9" s="62"/>
      <c r="O9" s="62"/>
      <c r="P9" s="62"/>
    </row>
    <row r="10" spans="1:527" s="44" customFormat="1" ht="71.25" customHeight="1" x14ac:dyDescent="0.3">
      <c r="A10" s="158" t="s">
        <v>448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164" t="s">
        <v>583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165" t="s">
        <v>582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50" t="s">
        <v>358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59" t="s">
        <v>336</v>
      </c>
      <c r="B14" s="160" t="s">
        <v>337</v>
      </c>
      <c r="C14" s="160" t="s">
        <v>327</v>
      </c>
      <c r="D14" s="160" t="s">
        <v>338</v>
      </c>
      <c r="E14" s="162" t="s">
        <v>224</v>
      </c>
      <c r="F14" s="162"/>
      <c r="G14" s="162"/>
      <c r="H14" s="162"/>
      <c r="I14" s="162"/>
      <c r="J14" s="162" t="s">
        <v>225</v>
      </c>
      <c r="K14" s="162"/>
      <c r="L14" s="162"/>
      <c r="M14" s="162"/>
      <c r="N14" s="162"/>
      <c r="O14" s="162"/>
      <c r="P14" s="162" t="s">
        <v>226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59"/>
      <c r="B15" s="160"/>
      <c r="C15" s="160"/>
      <c r="D15" s="160"/>
      <c r="E15" s="163" t="s">
        <v>328</v>
      </c>
      <c r="F15" s="163" t="s">
        <v>227</v>
      </c>
      <c r="G15" s="161" t="s">
        <v>228</v>
      </c>
      <c r="H15" s="161"/>
      <c r="I15" s="163" t="s">
        <v>229</v>
      </c>
      <c r="J15" s="163" t="s">
        <v>328</v>
      </c>
      <c r="K15" s="163" t="s">
        <v>329</v>
      </c>
      <c r="L15" s="163" t="s">
        <v>227</v>
      </c>
      <c r="M15" s="161" t="s">
        <v>228</v>
      </c>
      <c r="N15" s="161"/>
      <c r="O15" s="163" t="s">
        <v>229</v>
      </c>
      <c r="P15" s="162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88.5" customHeight="1" x14ac:dyDescent="0.2">
      <c r="A16" s="159"/>
      <c r="B16" s="160"/>
      <c r="C16" s="160"/>
      <c r="D16" s="160"/>
      <c r="E16" s="163"/>
      <c r="F16" s="163"/>
      <c r="G16" s="145" t="s">
        <v>230</v>
      </c>
      <c r="H16" s="145" t="s">
        <v>231</v>
      </c>
      <c r="I16" s="163"/>
      <c r="J16" s="163"/>
      <c r="K16" s="163"/>
      <c r="L16" s="163"/>
      <c r="M16" s="145" t="s">
        <v>230</v>
      </c>
      <c r="N16" s="145" t="s">
        <v>231</v>
      </c>
      <c r="O16" s="163"/>
      <c r="P16" s="162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19" t="s">
        <v>149</v>
      </c>
      <c r="B17" s="120"/>
      <c r="C17" s="120"/>
      <c r="D17" s="121" t="s">
        <v>35</v>
      </c>
      <c r="E17" s="94">
        <f>E18</f>
        <v>260563433.11000001</v>
      </c>
      <c r="F17" s="94">
        <f t="shared" ref="F17:J17" si="0">F18</f>
        <v>197884737.11000001</v>
      </c>
      <c r="G17" s="94">
        <f t="shared" si="0"/>
        <v>108111853</v>
      </c>
      <c r="H17" s="94">
        <f t="shared" si="0"/>
        <v>6558027</v>
      </c>
      <c r="I17" s="94">
        <f t="shared" si="0"/>
        <v>62678696</v>
      </c>
      <c r="J17" s="94">
        <f t="shared" si="0"/>
        <v>37835443.659999996</v>
      </c>
      <c r="K17" s="94">
        <f t="shared" ref="K17" si="1">K18</f>
        <v>37312648.659999996</v>
      </c>
      <c r="L17" s="94">
        <f t="shared" ref="L17" si="2">L18</f>
        <v>522795</v>
      </c>
      <c r="M17" s="94">
        <f t="shared" ref="M17" si="3">M18</f>
        <v>119291</v>
      </c>
      <c r="N17" s="94">
        <f t="shared" ref="N17" si="4">N18</f>
        <v>51832</v>
      </c>
      <c r="O17" s="94">
        <f t="shared" ref="O17:P17" si="5">O18</f>
        <v>37312648.659999996</v>
      </c>
      <c r="P17" s="94">
        <f t="shared" si="5"/>
        <v>298398876.76999998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95" t="s">
        <v>150</v>
      </c>
      <c r="B18" s="96"/>
      <c r="C18" s="96"/>
      <c r="D18" s="76" t="s">
        <v>519</v>
      </c>
      <c r="E18" s="97">
        <f>E21+E22+E23+E24+E26+E27+E28+E29+E30+E31+E32+E33+E34+E35+E36+E37+E38+E39+E40+E41+E42+E43+E44+E46+E48+E49+E50+E51+E52+E53+E54+E55+E56+E58+E59+E60+E45+E47+E62+E61</f>
        <v>260563433.11000001</v>
      </c>
      <c r="F18" s="97">
        <f t="shared" ref="F18:P18" si="6">F21+F22+F23+F24+F26+F27+F28+F29+F30+F31+F32+F33+F34+F35+F36+F37+F38+F39+F40+F41+F42+F43+F44+F46+F48+F49+F50+F51+F52+F53+F54+F55+F56+F58+F59+F60+F45+F47+F62+F61</f>
        <v>197884737.11000001</v>
      </c>
      <c r="G18" s="97">
        <f t="shared" si="6"/>
        <v>108111853</v>
      </c>
      <c r="H18" s="97">
        <f t="shared" si="6"/>
        <v>6558027</v>
      </c>
      <c r="I18" s="97">
        <f t="shared" si="6"/>
        <v>62678696</v>
      </c>
      <c r="J18" s="97">
        <f t="shared" si="6"/>
        <v>37835443.659999996</v>
      </c>
      <c r="K18" s="97">
        <f t="shared" si="6"/>
        <v>37312648.659999996</v>
      </c>
      <c r="L18" s="97">
        <f t="shared" si="6"/>
        <v>522795</v>
      </c>
      <c r="M18" s="97">
        <f t="shared" si="6"/>
        <v>119291</v>
      </c>
      <c r="N18" s="97">
        <f t="shared" si="6"/>
        <v>51832</v>
      </c>
      <c r="O18" s="97">
        <f t="shared" si="6"/>
        <v>37312648.659999996</v>
      </c>
      <c r="P18" s="97">
        <f t="shared" si="6"/>
        <v>298398876.76999998</v>
      </c>
      <c r="Q18" s="33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95"/>
      <c r="B19" s="96"/>
      <c r="C19" s="96"/>
      <c r="D19" s="76" t="s">
        <v>382</v>
      </c>
      <c r="E19" s="97">
        <f>E57</f>
        <v>588815</v>
      </c>
      <c r="F19" s="97">
        <f t="shared" ref="F19:P19" si="7">F57</f>
        <v>588815</v>
      </c>
      <c r="G19" s="97">
        <f t="shared" si="7"/>
        <v>482635</v>
      </c>
      <c r="H19" s="97">
        <f t="shared" si="7"/>
        <v>0</v>
      </c>
      <c r="I19" s="97">
        <f t="shared" si="7"/>
        <v>0</v>
      </c>
      <c r="J19" s="97">
        <f t="shared" si="7"/>
        <v>0</v>
      </c>
      <c r="K19" s="97">
        <f t="shared" si="7"/>
        <v>0</v>
      </c>
      <c r="L19" s="97">
        <f t="shared" si="7"/>
        <v>0</v>
      </c>
      <c r="M19" s="97">
        <f t="shared" si="7"/>
        <v>0</v>
      </c>
      <c r="N19" s="97">
        <f t="shared" si="7"/>
        <v>0</v>
      </c>
      <c r="O19" s="97">
        <f t="shared" si="7"/>
        <v>0</v>
      </c>
      <c r="P19" s="97">
        <f t="shared" si="7"/>
        <v>588815</v>
      </c>
      <c r="Q19" s="33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95"/>
      <c r="B20" s="96"/>
      <c r="C20" s="96"/>
      <c r="D20" s="76" t="str">
        <f>'дод 7'!C23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97">
        <f>E25</f>
        <v>0</v>
      </c>
      <c r="F20" s="97">
        <f t="shared" ref="F20:P20" si="8">F25</f>
        <v>0</v>
      </c>
      <c r="G20" s="97">
        <f t="shared" si="8"/>
        <v>0</v>
      </c>
      <c r="H20" s="97">
        <f t="shared" si="8"/>
        <v>0</v>
      </c>
      <c r="I20" s="97">
        <f t="shared" si="8"/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  <c r="P20" s="97">
        <f t="shared" si="8"/>
        <v>0</v>
      </c>
      <c r="Q20" s="33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59" t="s">
        <v>151</v>
      </c>
      <c r="B21" s="92" t="str">
        <f>'дод 7'!A19</f>
        <v>0160</v>
      </c>
      <c r="C21" s="92" t="str">
        <f>'дод 7'!B19</f>
        <v>0111</v>
      </c>
      <c r="D21" s="36" t="s">
        <v>493</v>
      </c>
      <c r="E21" s="98">
        <f t="shared" ref="E21:E62" si="9">F21+I21</f>
        <v>113179546</v>
      </c>
      <c r="F21" s="98">
        <f>112926046+38700+214800</f>
        <v>113179546</v>
      </c>
      <c r="G21" s="98">
        <f>82129700+31700+80000</f>
        <v>82241400</v>
      </c>
      <c r="H21" s="98">
        <f>3011146+214800+582000</f>
        <v>3807946</v>
      </c>
      <c r="I21" s="98"/>
      <c r="J21" s="98">
        <f>L21+O21</f>
        <v>0</v>
      </c>
      <c r="K21" s="98"/>
      <c r="L21" s="98"/>
      <c r="M21" s="98"/>
      <c r="N21" s="98"/>
      <c r="O21" s="98"/>
      <c r="P21" s="98">
        <f t="shared" ref="P21:P62" si="10">E21+J21</f>
        <v>113179546</v>
      </c>
      <c r="Q21" s="23"/>
      <c r="R21" s="3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hidden="1" customHeight="1" x14ac:dyDescent="0.25">
      <c r="A22" s="59" t="s">
        <v>451</v>
      </c>
      <c r="B22" s="59" t="s">
        <v>90</v>
      </c>
      <c r="C22" s="59" t="s">
        <v>461</v>
      </c>
      <c r="D22" s="36" t="s">
        <v>452</v>
      </c>
      <c r="E22" s="98">
        <f t="shared" si="9"/>
        <v>0</v>
      </c>
      <c r="F22" s="98">
        <f>200000-200000</f>
        <v>0</v>
      </c>
      <c r="G22" s="98"/>
      <c r="H22" s="98"/>
      <c r="I22" s="98"/>
      <c r="J22" s="98">
        <f>L22+O22</f>
        <v>0</v>
      </c>
      <c r="K22" s="98"/>
      <c r="L22" s="98"/>
      <c r="M22" s="98"/>
      <c r="N22" s="98"/>
      <c r="O22" s="98"/>
      <c r="P22" s="98">
        <f t="shared" si="10"/>
        <v>0</v>
      </c>
      <c r="Q22" s="23"/>
      <c r="R22" s="3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59" t="s">
        <v>241</v>
      </c>
      <c r="B23" s="92" t="str">
        <f>'дод 7'!A21</f>
        <v>0180</v>
      </c>
      <c r="C23" s="92" t="str">
        <f>'дод 7'!B21</f>
        <v>0133</v>
      </c>
      <c r="D23" s="60" t="str">
        <f>'дод 7'!C21</f>
        <v>Інша діяльність у сфері державного управління</v>
      </c>
      <c r="E23" s="98">
        <f t="shared" si="9"/>
        <v>396000</v>
      </c>
      <c r="F23" s="98">
        <v>396000</v>
      </c>
      <c r="G23" s="98"/>
      <c r="H23" s="98"/>
      <c r="I23" s="98"/>
      <c r="J23" s="98">
        <f t="shared" ref="J23:J25" si="11">L23+O23</f>
        <v>0</v>
      </c>
      <c r="K23" s="98"/>
      <c r="L23" s="98"/>
      <c r="M23" s="98"/>
      <c r="N23" s="98"/>
      <c r="O23" s="98"/>
      <c r="P23" s="98">
        <f t="shared" si="10"/>
        <v>396000</v>
      </c>
      <c r="Q23" s="23"/>
      <c r="R23" s="3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59" t="s">
        <v>434</v>
      </c>
      <c r="B24" s="59" t="s">
        <v>435</v>
      </c>
      <c r="C24" s="59" t="s">
        <v>119</v>
      </c>
      <c r="D24" s="60" t="s">
        <v>436</v>
      </c>
      <c r="E24" s="98">
        <f t="shared" si="9"/>
        <v>0</v>
      </c>
      <c r="F24" s="98"/>
      <c r="G24" s="98"/>
      <c r="H24" s="98"/>
      <c r="I24" s="98"/>
      <c r="J24" s="98">
        <f t="shared" si="11"/>
        <v>0</v>
      </c>
      <c r="K24" s="98"/>
      <c r="L24" s="98"/>
      <c r="M24" s="98"/>
      <c r="N24" s="98"/>
      <c r="O24" s="98"/>
      <c r="P24" s="98">
        <f t="shared" si="10"/>
        <v>0</v>
      </c>
      <c r="Q24" s="23"/>
      <c r="R24" s="3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3"/>
      <c r="B25" s="99"/>
      <c r="C25" s="99"/>
      <c r="D25" s="86" t="str">
        <f>'дод 7'!C23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0">
        <f t="shared" si="9"/>
        <v>0</v>
      </c>
      <c r="F25" s="100"/>
      <c r="G25" s="100"/>
      <c r="H25" s="100"/>
      <c r="I25" s="100"/>
      <c r="J25" s="100">
        <f t="shared" si="11"/>
        <v>0</v>
      </c>
      <c r="K25" s="100"/>
      <c r="L25" s="100"/>
      <c r="M25" s="100"/>
      <c r="N25" s="100"/>
      <c r="O25" s="100"/>
      <c r="P25" s="100">
        <f t="shared" si="10"/>
        <v>0</v>
      </c>
      <c r="Q25" s="30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7.25" customHeight="1" x14ac:dyDescent="0.25">
      <c r="A26" s="59" t="s">
        <v>257</v>
      </c>
      <c r="B26" s="92" t="str">
        <f>'дод 7'!A109</f>
        <v>3033</v>
      </c>
      <c r="C26" s="92" t="str">
        <f>'дод 7'!B109</f>
        <v>1070</v>
      </c>
      <c r="D26" s="60" t="s">
        <v>411</v>
      </c>
      <c r="E26" s="98">
        <f t="shared" si="9"/>
        <v>350460</v>
      </c>
      <c r="F26" s="98">
        <f>314360+36100</f>
        <v>350460</v>
      </c>
      <c r="G26" s="98"/>
      <c r="H26" s="98"/>
      <c r="I26" s="98"/>
      <c r="J26" s="98">
        <f t="shared" ref="J26:J62" si="12">L26+O26</f>
        <v>0</v>
      </c>
      <c r="K26" s="98"/>
      <c r="L26" s="98"/>
      <c r="M26" s="98"/>
      <c r="N26" s="98"/>
      <c r="O26" s="98"/>
      <c r="P26" s="98">
        <f t="shared" si="10"/>
        <v>350460</v>
      </c>
      <c r="Q26" s="23"/>
      <c r="R26" s="3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59" t="s">
        <v>152</v>
      </c>
      <c r="B27" s="92" t="str">
        <f>'дод 7'!A112</f>
        <v>3036</v>
      </c>
      <c r="C27" s="92" t="str">
        <f>'дод 7'!B112</f>
        <v>1070</v>
      </c>
      <c r="D27" s="60" t="str">
        <f>'дод 7'!C112</f>
        <v>Компенсаційні виплати на пільговий проїзд електротранспортом окремим категоріям громадян</v>
      </c>
      <c r="E27" s="98">
        <f t="shared" si="9"/>
        <v>467186</v>
      </c>
      <c r="F27" s="98">
        <f>465886-45400+46700</f>
        <v>467186</v>
      </c>
      <c r="G27" s="98"/>
      <c r="H27" s="98"/>
      <c r="I27" s="98"/>
      <c r="J27" s="98">
        <f t="shared" si="12"/>
        <v>0</v>
      </c>
      <c r="K27" s="98"/>
      <c r="L27" s="98"/>
      <c r="M27" s="98"/>
      <c r="N27" s="98"/>
      <c r="O27" s="98"/>
      <c r="P27" s="98">
        <f t="shared" si="10"/>
        <v>467186</v>
      </c>
      <c r="Q27" s="23"/>
      <c r="R27" s="3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59" t="s">
        <v>153</v>
      </c>
      <c r="B28" s="92" t="str">
        <f>'дод 7'!A120</f>
        <v>3121</v>
      </c>
      <c r="C28" s="92" t="str">
        <f>'дод 7'!B120</f>
        <v>1040</v>
      </c>
      <c r="D28" s="60" t="s">
        <v>500</v>
      </c>
      <c r="E28" s="98">
        <f t="shared" si="9"/>
        <v>3222540</v>
      </c>
      <c r="F28" s="98">
        <f>3210440+9700+2400</f>
        <v>3222540</v>
      </c>
      <c r="G28" s="98">
        <v>2407050</v>
      </c>
      <c r="H28" s="98">
        <f>43630+9700+2400</f>
        <v>55730</v>
      </c>
      <c r="I28" s="98"/>
      <c r="J28" s="98">
        <f t="shared" si="12"/>
        <v>0</v>
      </c>
      <c r="K28" s="98"/>
      <c r="L28" s="98"/>
      <c r="M28" s="98"/>
      <c r="N28" s="98"/>
      <c r="O28" s="98"/>
      <c r="P28" s="98">
        <f t="shared" si="10"/>
        <v>3222540</v>
      </c>
      <c r="Q28" s="23"/>
      <c r="R28" s="3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59" t="s">
        <v>154</v>
      </c>
      <c r="B29" s="92" t="str">
        <f>'дод 7'!A121</f>
        <v>3131</v>
      </c>
      <c r="C29" s="92" t="str">
        <f>'дод 7'!B121</f>
        <v>1040</v>
      </c>
      <c r="D29" s="60" t="str">
        <f>'дод 7'!C121</f>
        <v>Здійснення заходів та реалізація проектів на виконання Державної цільової соціальної програми "Молодь України"</v>
      </c>
      <c r="E29" s="98">
        <f t="shared" si="9"/>
        <v>556216</v>
      </c>
      <c r="F29" s="98">
        <f>783850-128084-99550</f>
        <v>556216</v>
      </c>
      <c r="G29" s="98"/>
      <c r="H29" s="98"/>
      <c r="I29" s="98"/>
      <c r="J29" s="98">
        <f t="shared" si="12"/>
        <v>0</v>
      </c>
      <c r="K29" s="98"/>
      <c r="L29" s="98"/>
      <c r="M29" s="98"/>
      <c r="N29" s="98"/>
      <c r="O29" s="98"/>
      <c r="P29" s="98">
        <f t="shared" si="10"/>
        <v>556216</v>
      </c>
      <c r="Q29" s="23"/>
      <c r="R29" s="3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59" t="s">
        <v>155</v>
      </c>
      <c r="B30" s="92" t="str">
        <f>'дод 7'!A122</f>
        <v>3140</v>
      </c>
      <c r="C30" s="92" t="str">
        <f>'дод 7'!B122</f>
        <v>1040</v>
      </c>
      <c r="D30" s="60" t="s">
        <v>20</v>
      </c>
      <c r="E30" s="98">
        <f t="shared" si="9"/>
        <v>280000</v>
      </c>
      <c r="F30" s="98">
        <v>280000</v>
      </c>
      <c r="G30" s="98"/>
      <c r="H30" s="98"/>
      <c r="I30" s="98"/>
      <c r="J30" s="98">
        <f t="shared" si="12"/>
        <v>0</v>
      </c>
      <c r="K30" s="98"/>
      <c r="L30" s="98"/>
      <c r="M30" s="98"/>
      <c r="N30" s="98"/>
      <c r="O30" s="98"/>
      <c r="P30" s="98">
        <f t="shared" si="10"/>
        <v>280000</v>
      </c>
      <c r="Q30" s="23"/>
      <c r="R30" s="3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59" t="s">
        <v>305</v>
      </c>
      <c r="B31" s="92" t="str">
        <f>'дод 7'!A139</f>
        <v>3241</v>
      </c>
      <c r="C31" s="92" t="str">
        <f>'дод 7'!B139</f>
        <v>1090</v>
      </c>
      <c r="D31" s="3" t="s">
        <v>292</v>
      </c>
      <c r="E31" s="98">
        <f t="shared" si="9"/>
        <v>1559812</v>
      </c>
      <c r="F31" s="98">
        <f>1539992+12900+6920</f>
        <v>1559812</v>
      </c>
      <c r="G31" s="98">
        <f>1078950-832</f>
        <v>1078118</v>
      </c>
      <c r="H31" s="98">
        <f>118232+12900+6920</f>
        <v>138052</v>
      </c>
      <c r="I31" s="98"/>
      <c r="J31" s="98">
        <f t="shared" si="12"/>
        <v>0</v>
      </c>
      <c r="K31" s="98"/>
      <c r="L31" s="98"/>
      <c r="M31" s="98"/>
      <c r="N31" s="98"/>
      <c r="O31" s="98"/>
      <c r="P31" s="98">
        <f t="shared" si="10"/>
        <v>1559812</v>
      </c>
      <c r="Q31" s="23"/>
      <c r="R31" s="3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59" t="s">
        <v>306</v>
      </c>
      <c r="B32" s="92" t="str">
        <f>'дод 7'!A140</f>
        <v>3242</v>
      </c>
      <c r="C32" s="92" t="str">
        <f>'дод 7'!B140</f>
        <v>1090</v>
      </c>
      <c r="D32" s="60" t="s">
        <v>412</v>
      </c>
      <c r="E32" s="98">
        <f t="shared" si="9"/>
        <v>257400</v>
      </c>
      <c r="F32" s="98">
        <v>257400</v>
      </c>
      <c r="G32" s="98"/>
      <c r="H32" s="98"/>
      <c r="I32" s="98"/>
      <c r="J32" s="98">
        <f t="shared" si="12"/>
        <v>0</v>
      </c>
      <c r="K32" s="98"/>
      <c r="L32" s="98"/>
      <c r="M32" s="98"/>
      <c r="N32" s="98"/>
      <c r="O32" s="98"/>
      <c r="P32" s="98">
        <f t="shared" si="10"/>
        <v>257400</v>
      </c>
      <c r="Q32" s="23"/>
      <c r="R32" s="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59" t="s">
        <v>318</v>
      </c>
      <c r="B33" s="92" t="str">
        <f>'дод 7'!A144</f>
        <v>4060</v>
      </c>
      <c r="C33" s="92" t="str">
        <f>'дод 7'!B144</f>
        <v>0828</v>
      </c>
      <c r="D33" s="60" t="s">
        <v>321</v>
      </c>
      <c r="E33" s="98">
        <f t="shared" si="9"/>
        <v>5122620</v>
      </c>
      <c r="F33" s="101">
        <f>4945509-36200+255291-41980</f>
        <v>5122620</v>
      </c>
      <c r="G33" s="98">
        <f>2526200+209255</f>
        <v>2735455</v>
      </c>
      <c r="H33" s="98">
        <f>724709-36200</f>
        <v>688509</v>
      </c>
      <c r="I33" s="98"/>
      <c r="J33" s="98">
        <f t="shared" si="12"/>
        <v>0</v>
      </c>
      <c r="K33" s="98"/>
      <c r="L33" s="98"/>
      <c r="M33" s="98"/>
      <c r="N33" s="98"/>
      <c r="O33" s="98"/>
      <c r="P33" s="98">
        <f t="shared" si="10"/>
        <v>5122620</v>
      </c>
      <c r="Q33" s="23"/>
      <c r="R33" s="3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59" t="s">
        <v>303</v>
      </c>
      <c r="B34" s="92" t="str">
        <f>'дод 7'!A145</f>
        <v>4081</v>
      </c>
      <c r="C34" s="92" t="str">
        <f>'дод 7'!B145</f>
        <v>0829</v>
      </c>
      <c r="D34" s="60" t="s">
        <v>343</v>
      </c>
      <c r="E34" s="98">
        <f t="shared" si="9"/>
        <v>3073881</v>
      </c>
      <c r="F34" s="98">
        <f>2963381+92000+18500</f>
        <v>3073881</v>
      </c>
      <c r="G34" s="98">
        <f>1687000-15000</f>
        <v>1672000</v>
      </c>
      <c r="H34" s="98">
        <f>93181+18500</f>
        <v>111681</v>
      </c>
      <c r="I34" s="98"/>
      <c r="J34" s="98">
        <f t="shared" si="12"/>
        <v>65000</v>
      </c>
      <c r="K34" s="98">
        <v>65000</v>
      </c>
      <c r="L34" s="98"/>
      <c r="M34" s="98"/>
      <c r="N34" s="98"/>
      <c r="O34" s="98">
        <v>65000</v>
      </c>
      <c r="P34" s="98">
        <f t="shared" si="10"/>
        <v>3138881</v>
      </c>
      <c r="Q34" s="23"/>
      <c r="R34" s="3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59" t="s">
        <v>304</v>
      </c>
      <c r="B35" s="92">
        <v>4082</v>
      </c>
      <c r="C35" s="92" t="str">
        <f>'дод 7'!B146</f>
        <v>0829</v>
      </c>
      <c r="D35" s="60" t="s">
        <v>295</v>
      </c>
      <c r="E35" s="98">
        <f t="shared" si="9"/>
        <v>417511</v>
      </c>
      <c r="F35" s="98">
        <f>424181-6670</f>
        <v>417511</v>
      </c>
      <c r="G35" s="98"/>
      <c r="H35" s="98"/>
      <c r="I35" s="98"/>
      <c r="J35" s="98">
        <f t="shared" si="12"/>
        <v>0</v>
      </c>
      <c r="K35" s="98"/>
      <c r="L35" s="98"/>
      <c r="M35" s="98"/>
      <c r="N35" s="98"/>
      <c r="O35" s="98"/>
      <c r="P35" s="98">
        <f t="shared" si="10"/>
        <v>417511</v>
      </c>
      <c r="Q35" s="23"/>
      <c r="R35" s="3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2" t="s">
        <v>156</v>
      </c>
      <c r="B36" s="42" t="str">
        <f>'дод 7'!A149</f>
        <v>5011</v>
      </c>
      <c r="C36" s="42" t="str">
        <f>'дод 7'!B149</f>
        <v>0810</v>
      </c>
      <c r="D36" s="36" t="s">
        <v>21</v>
      </c>
      <c r="E36" s="98">
        <f t="shared" si="9"/>
        <v>710000</v>
      </c>
      <c r="F36" s="98">
        <v>710000</v>
      </c>
      <c r="G36" s="98"/>
      <c r="H36" s="98"/>
      <c r="I36" s="98"/>
      <c r="J36" s="98">
        <f t="shared" si="12"/>
        <v>0</v>
      </c>
      <c r="K36" s="98"/>
      <c r="L36" s="98"/>
      <c r="M36" s="98"/>
      <c r="N36" s="98"/>
      <c r="O36" s="98"/>
      <c r="P36" s="98">
        <f t="shared" si="10"/>
        <v>710000</v>
      </c>
      <c r="Q36" s="23"/>
      <c r="R36" s="3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2" t="s">
        <v>157</v>
      </c>
      <c r="B37" s="42" t="str">
        <f>'дод 7'!A150</f>
        <v>5012</v>
      </c>
      <c r="C37" s="42" t="str">
        <f>'дод 7'!B150</f>
        <v>0810</v>
      </c>
      <c r="D37" s="36" t="s">
        <v>16</v>
      </c>
      <c r="E37" s="98">
        <f t="shared" si="9"/>
        <v>1031480</v>
      </c>
      <c r="F37" s="98">
        <v>1031480</v>
      </c>
      <c r="G37" s="98"/>
      <c r="H37" s="98"/>
      <c r="I37" s="98"/>
      <c r="J37" s="98">
        <f t="shared" si="12"/>
        <v>0</v>
      </c>
      <c r="K37" s="98"/>
      <c r="L37" s="98"/>
      <c r="M37" s="98"/>
      <c r="N37" s="98"/>
      <c r="O37" s="98"/>
      <c r="P37" s="98">
        <f t="shared" si="10"/>
        <v>1031480</v>
      </c>
      <c r="Q37" s="23"/>
      <c r="R37" s="3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4.5" customHeight="1" x14ac:dyDescent="0.25">
      <c r="A38" s="102" t="s">
        <v>158</v>
      </c>
      <c r="B38" s="42" t="str">
        <f>'дод 7'!A151</f>
        <v>5031</v>
      </c>
      <c r="C38" s="42" t="str">
        <f>'дод 7'!B151</f>
        <v>0810</v>
      </c>
      <c r="D38" s="36" t="s">
        <v>601</v>
      </c>
      <c r="E38" s="98">
        <f t="shared" si="9"/>
        <v>18451113</v>
      </c>
      <c r="F38" s="98">
        <f>18039683+5000+81600+69600+47240+49000+70000+70000+18990</f>
        <v>18451113</v>
      </c>
      <c r="G38" s="98">
        <f>12968625-3090+66900+17457+5600</f>
        <v>13055492</v>
      </c>
      <c r="H38" s="98">
        <f>840273+69600+1560+47240</f>
        <v>958673</v>
      </c>
      <c r="I38" s="98"/>
      <c r="J38" s="98">
        <f t="shared" si="12"/>
        <v>181710</v>
      </c>
      <c r="K38" s="98">
        <f>200700-18990</f>
        <v>181710</v>
      </c>
      <c r="L38" s="98"/>
      <c r="M38" s="98"/>
      <c r="N38" s="98"/>
      <c r="O38" s="98">
        <f>200700-18990</f>
        <v>181710</v>
      </c>
      <c r="P38" s="98">
        <f t="shared" si="10"/>
        <v>18632823</v>
      </c>
      <c r="Q38" s="23"/>
      <c r="R38" s="3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2" t="s">
        <v>357</v>
      </c>
      <c r="B39" s="42" t="str">
        <f>'дод 7'!A153</f>
        <v>5032</v>
      </c>
      <c r="C39" s="42" t="str">
        <f>'дод 7'!B153</f>
        <v>0810</v>
      </c>
      <c r="D39" s="36" t="s">
        <v>22</v>
      </c>
      <c r="E39" s="98">
        <f t="shared" si="9"/>
        <v>14994942</v>
      </c>
      <c r="F39" s="98">
        <f>14952642+10000+17300+15000</f>
        <v>14994942</v>
      </c>
      <c r="G39" s="98"/>
      <c r="H39" s="98"/>
      <c r="I39" s="98"/>
      <c r="J39" s="98">
        <f t="shared" si="12"/>
        <v>357100</v>
      </c>
      <c r="K39" s="98">
        <f>372100-15000</f>
        <v>357100</v>
      </c>
      <c r="L39" s="98"/>
      <c r="M39" s="98"/>
      <c r="N39" s="98"/>
      <c r="O39" s="98">
        <f>372100-15000</f>
        <v>357100</v>
      </c>
      <c r="P39" s="98">
        <f t="shared" si="10"/>
        <v>15352042</v>
      </c>
      <c r="Q39" s="23"/>
      <c r="R39" s="3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2" t="s">
        <v>159</v>
      </c>
      <c r="B40" s="42" t="str">
        <f>'дод 7'!A154</f>
        <v>5061</v>
      </c>
      <c r="C40" s="42" t="str">
        <f>'дод 7'!B154</f>
        <v>0810</v>
      </c>
      <c r="D40" s="36" t="str">
        <f>'дод 7'!C154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98">
        <f t="shared" si="9"/>
        <v>5088784</v>
      </c>
      <c r="F40" s="98">
        <f>4983184+105600</f>
        <v>5088784</v>
      </c>
      <c r="G40" s="98">
        <f>2987400-6370</f>
        <v>2981030</v>
      </c>
      <c r="H40" s="98">
        <f>319039+105600</f>
        <v>424639</v>
      </c>
      <c r="I40" s="98"/>
      <c r="J40" s="98">
        <f t="shared" si="12"/>
        <v>1742994</v>
      </c>
      <c r="K40" s="98">
        <v>1530000</v>
      </c>
      <c r="L40" s="98">
        <v>212994</v>
      </c>
      <c r="M40" s="98">
        <v>119291</v>
      </c>
      <c r="N40" s="98">
        <v>50432</v>
      </c>
      <c r="O40" s="98">
        <v>1530000</v>
      </c>
      <c r="P40" s="98">
        <f t="shared" si="10"/>
        <v>6831778</v>
      </c>
      <c r="Q40" s="23"/>
      <c r="R40" s="3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2" t="s">
        <v>349</v>
      </c>
      <c r="B41" s="42" t="str">
        <f>'дод 7'!A155</f>
        <v>5062</v>
      </c>
      <c r="C41" s="42" t="str">
        <f>'дод 7'!B155</f>
        <v>0810</v>
      </c>
      <c r="D41" s="36" t="str">
        <f>'дод 7'!C155</f>
        <v>Підтримка спорту вищих досягнень та організацій, які здійснюють фізкультурно-спортивну діяльність в регіоні</v>
      </c>
      <c r="E41" s="98">
        <f t="shared" si="9"/>
        <v>16391395</v>
      </c>
      <c r="F41" s="98">
        <f>14968695+500000+47700+50000+825000</f>
        <v>16391395</v>
      </c>
      <c r="G41" s="98"/>
      <c r="H41" s="98"/>
      <c r="I41" s="98"/>
      <c r="J41" s="98">
        <f t="shared" si="12"/>
        <v>0</v>
      </c>
      <c r="K41" s="98"/>
      <c r="L41" s="98"/>
      <c r="M41" s="98"/>
      <c r="N41" s="98"/>
      <c r="O41" s="98"/>
      <c r="P41" s="98">
        <f t="shared" si="10"/>
        <v>16391395</v>
      </c>
      <c r="Q41" s="23"/>
      <c r="R41" s="32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2" t="s">
        <v>414</v>
      </c>
      <c r="B42" s="42">
        <v>7325</v>
      </c>
      <c r="C42" s="72" t="s">
        <v>111</v>
      </c>
      <c r="D42" s="6" t="s">
        <v>545</v>
      </c>
      <c r="E42" s="98">
        <f t="shared" si="9"/>
        <v>0</v>
      </c>
      <c r="F42" s="98"/>
      <c r="G42" s="98"/>
      <c r="H42" s="98"/>
      <c r="I42" s="98"/>
      <c r="J42" s="98">
        <f t="shared" si="12"/>
        <v>7444674</v>
      </c>
      <c r="K42" s="98">
        <f>9790000-325291-1950035-70000</f>
        <v>7444674</v>
      </c>
      <c r="L42" s="98"/>
      <c r="M42" s="98"/>
      <c r="N42" s="98"/>
      <c r="O42" s="98">
        <f>9790000-325291-1950035-70000</f>
        <v>7444674</v>
      </c>
      <c r="P42" s="98">
        <f t="shared" si="10"/>
        <v>7444674</v>
      </c>
      <c r="Q42" s="23"/>
      <c r="R42" s="3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2" t="s">
        <v>415</v>
      </c>
      <c r="B43" s="42">
        <v>7330</v>
      </c>
      <c r="C43" s="72" t="s">
        <v>111</v>
      </c>
      <c r="D43" s="6" t="s">
        <v>546</v>
      </c>
      <c r="E43" s="98">
        <f t="shared" si="9"/>
        <v>0</v>
      </c>
      <c r="F43" s="98"/>
      <c r="G43" s="98"/>
      <c r="H43" s="98"/>
      <c r="I43" s="98"/>
      <c r="J43" s="98">
        <f t="shared" si="12"/>
        <v>400000</v>
      </c>
      <c r="K43" s="98">
        <v>400000</v>
      </c>
      <c r="L43" s="98"/>
      <c r="M43" s="98"/>
      <c r="N43" s="98"/>
      <c r="O43" s="98">
        <v>400000</v>
      </c>
      <c r="P43" s="98">
        <f t="shared" si="10"/>
        <v>400000</v>
      </c>
      <c r="Q43" s="23"/>
      <c r="R43" s="3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2" t="s">
        <v>160</v>
      </c>
      <c r="B44" s="42" t="str">
        <f>'дод 7'!A205</f>
        <v>7412</v>
      </c>
      <c r="C44" s="42" t="str">
        <f>'дод 7'!B205</f>
        <v>0451</v>
      </c>
      <c r="D44" s="36" t="str">
        <f>'дод 7'!C205</f>
        <v>Регулювання цін на послуги місцевого автотранспорту</v>
      </c>
      <c r="E44" s="98">
        <f t="shared" si="9"/>
        <v>6542500</v>
      </c>
      <c r="F44" s="98"/>
      <c r="G44" s="98"/>
      <c r="H44" s="98"/>
      <c r="I44" s="98">
        <v>6542500</v>
      </c>
      <c r="J44" s="98">
        <f t="shared" si="12"/>
        <v>0</v>
      </c>
      <c r="K44" s="98"/>
      <c r="L44" s="98"/>
      <c r="M44" s="98"/>
      <c r="N44" s="98"/>
      <c r="O44" s="98"/>
      <c r="P44" s="98">
        <f t="shared" si="10"/>
        <v>6542500</v>
      </c>
      <c r="Q44" s="23"/>
      <c r="R44" s="3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2" t="s">
        <v>377</v>
      </c>
      <c r="B45" s="42">
        <f>'дод 7'!A206</f>
        <v>7413</v>
      </c>
      <c r="C45" s="42" t="str">
        <f>'дод 7'!B206</f>
        <v>0451</v>
      </c>
      <c r="D45" s="103" t="str">
        <f>'дод 7'!C206</f>
        <v>Інші заходи у сфері автотранспорту</v>
      </c>
      <c r="E45" s="98">
        <f t="shared" si="9"/>
        <v>12800000</v>
      </c>
      <c r="F45" s="98"/>
      <c r="G45" s="98"/>
      <c r="H45" s="98"/>
      <c r="I45" s="98">
        <v>12800000</v>
      </c>
      <c r="J45" s="98">
        <f t="shared" si="12"/>
        <v>0</v>
      </c>
      <c r="K45" s="98"/>
      <c r="L45" s="98"/>
      <c r="M45" s="98"/>
      <c r="N45" s="98"/>
      <c r="O45" s="98"/>
      <c r="P45" s="98">
        <f t="shared" si="10"/>
        <v>12800000</v>
      </c>
      <c r="Q45" s="23"/>
      <c r="R45" s="3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2" t="s">
        <v>564</v>
      </c>
      <c r="B46" s="42">
        <v>7422</v>
      </c>
      <c r="C46" s="102" t="s">
        <v>413</v>
      </c>
      <c r="D46" s="103" t="s">
        <v>565</v>
      </c>
      <c r="E46" s="98">
        <f t="shared" si="9"/>
        <v>5893900</v>
      </c>
      <c r="F46" s="98"/>
      <c r="G46" s="98"/>
      <c r="H46" s="98"/>
      <c r="I46" s="98">
        <f>4314400+1579500</f>
        <v>5893900</v>
      </c>
      <c r="J46" s="98">
        <f t="shared" si="12"/>
        <v>0</v>
      </c>
      <c r="K46" s="98"/>
      <c r="L46" s="98"/>
      <c r="M46" s="98"/>
      <c r="N46" s="98"/>
      <c r="O46" s="98"/>
      <c r="P46" s="98">
        <f t="shared" si="10"/>
        <v>5893900</v>
      </c>
      <c r="Q46" s="23"/>
      <c r="R46" s="3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2" t="s">
        <v>378</v>
      </c>
      <c r="B47" s="42">
        <f>'дод 7'!A208</f>
        <v>7426</v>
      </c>
      <c r="C47" s="102" t="s">
        <v>413</v>
      </c>
      <c r="D47" s="103" t="str">
        <f>'дод 7'!C208</f>
        <v>Інші заходи у сфері електротранспорту</v>
      </c>
      <c r="E47" s="98">
        <f t="shared" si="9"/>
        <v>37442296</v>
      </c>
      <c r="F47" s="98"/>
      <c r="G47" s="98"/>
      <c r="H47" s="98"/>
      <c r="I47" s="98">
        <v>37442296</v>
      </c>
      <c r="J47" s="98">
        <f t="shared" si="12"/>
        <v>0</v>
      </c>
      <c r="K47" s="98"/>
      <c r="L47" s="98"/>
      <c r="M47" s="98"/>
      <c r="N47" s="98"/>
      <c r="O47" s="98"/>
      <c r="P47" s="98">
        <f t="shared" si="10"/>
        <v>37442296</v>
      </c>
      <c r="Q47" s="23"/>
      <c r="R47" s="3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hidden="1" customHeight="1" x14ac:dyDescent="0.25">
      <c r="A48" s="102" t="s">
        <v>453</v>
      </c>
      <c r="B48" s="102" t="s">
        <v>454</v>
      </c>
      <c r="C48" s="102" t="s">
        <v>400</v>
      </c>
      <c r="D48" s="103" t="s">
        <v>460</v>
      </c>
      <c r="E48" s="98">
        <f t="shared" si="9"/>
        <v>0</v>
      </c>
      <c r="F48" s="98">
        <f>140000-140000</f>
        <v>0</v>
      </c>
      <c r="G48" s="98"/>
      <c r="H48" s="98"/>
      <c r="I48" s="98"/>
      <c r="J48" s="98">
        <f t="shared" si="12"/>
        <v>0</v>
      </c>
      <c r="K48" s="98"/>
      <c r="L48" s="98"/>
      <c r="M48" s="98"/>
      <c r="N48" s="98"/>
      <c r="O48" s="98"/>
      <c r="P48" s="98">
        <f t="shared" si="10"/>
        <v>0</v>
      </c>
      <c r="Q48" s="23"/>
      <c r="R48" s="3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2" t="s">
        <v>233</v>
      </c>
      <c r="B49" s="42" t="str">
        <f>'дод 7'!A218</f>
        <v>7530</v>
      </c>
      <c r="C49" s="42" t="str">
        <f>'дод 7'!B218</f>
        <v>0460</v>
      </c>
      <c r="D49" s="36" t="s">
        <v>234</v>
      </c>
      <c r="E49" s="98">
        <f t="shared" si="9"/>
        <v>5882000</v>
      </c>
      <c r="F49" s="98">
        <f>7250000-280000-480000-608000</f>
        <v>5882000</v>
      </c>
      <c r="G49" s="98"/>
      <c r="H49" s="98"/>
      <c r="I49" s="98"/>
      <c r="J49" s="98">
        <f t="shared" si="12"/>
        <v>4020000</v>
      </c>
      <c r="K49" s="98">
        <f>3150000+280000+480000+110000</f>
        <v>4020000</v>
      </c>
      <c r="L49" s="98"/>
      <c r="M49" s="98"/>
      <c r="N49" s="98"/>
      <c r="O49" s="98">
        <f>3150000+280000+480000+110000</f>
        <v>4020000</v>
      </c>
      <c r="P49" s="98">
        <f t="shared" si="10"/>
        <v>9902000</v>
      </c>
      <c r="Q49" s="23"/>
      <c r="R49" s="3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2" t="s">
        <v>161</v>
      </c>
      <c r="B50" s="42" t="str">
        <f>'дод 7'!A221</f>
        <v>7610</v>
      </c>
      <c r="C50" s="42" t="str">
        <f>'дод 7'!B221</f>
        <v>0411</v>
      </c>
      <c r="D50" s="36" t="str">
        <f>'дод 7'!C221</f>
        <v>Сприяння розвитку малого та середнього підприємництва</v>
      </c>
      <c r="E50" s="98">
        <f t="shared" si="9"/>
        <v>60000</v>
      </c>
      <c r="F50" s="98">
        <v>60000</v>
      </c>
      <c r="G50" s="98"/>
      <c r="H50" s="98"/>
      <c r="I50" s="98"/>
      <c r="J50" s="98">
        <f t="shared" si="12"/>
        <v>0</v>
      </c>
      <c r="K50" s="98"/>
      <c r="L50" s="98"/>
      <c r="M50" s="98"/>
      <c r="N50" s="98"/>
      <c r="O50" s="98"/>
      <c r="P50" s="98">
        <f t="shared" si="10"/>
        <v>60000</v>
      </c>
      <c r="Q50" s="23"/>
      <c r="R50" s="3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2" t="s">
        <v>162</v>
      </c>
      <c r="B51" s="42" t="str">
        <f>'дод 7'!A226</f>
        <v>7670</v>
      </c>
      <c r="C51" s="42" t="str">
        <f>'дод 7'!B226</f>
        <v>0490</v>
      </c>
      <c r="D51" s="36" t="s">
        <v>24</v>
      </c>
      <c r="E51" s="98">
        <f t="shared" si="9"/>
        <v>0</v>
      </c>
      <c r="F51" s="98"/>
      <c r="G51" s="98"/>
      <c r="H51" s="98"/>
      <c r="I51" s="98"/>
      <c r="J51" s="98">
        <f t="shared" si="12"/>
        <v>18997900</v>
      </c>
      <c r="K51" s="98">
        <v>18997900</v>
      </c>
      <c r="L51" s="98"/>
      <c r="M51" s="98"/>
      <c r="N51" s="98"/>
      <c r="O51" s="98">
        <v>18997900</v>
      </c>
      <c r="P51" s="98">
        <f t="shared" si="10"/>
        <v>18997900</v>
      </c>
      <c r="Q51" s="23"/>
      <c r="R51" s="3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2" t="s">
        <v>247</v>
      </c>
      <c r="B52" s="42" t="str">
        <f>'дод 7'!A228</f>
        <v>7680</v>
      </c>
      <c r="C52" s="42" t="str">
        <f>'дод 7'!B228</f>
        <v>0490</v>
      </c>
      <c r="D52" s="36" t="str">
        <f>'дод 7'!C228</f>
        <v>Членські внески до асоціацій органів місцевого самоврядування</v>
      </c>
      <c r="E52" s="98">
        <f t="shared" si="9"/>
        <v>356337</v>
      </c>
      <c r="F52" s="98">
        <v>356337</v>
      </c>
      <c r="G52" s="98"/>
      <c r="H52" s="98"/>
      <c r="I52" s="98"/>
      <c r="J52" s="98">
        <f t="shared" si="12"/>
        <v>0</v>
      </c>
      <c r="K52" s="98"/>
      <c r="L52" s="98"/>
      <c r="M52" s="98"/>
      <c r="N52" s="98"/>
      <c r="O52" s="98"/>
      <c r="P52" s="98">
        <f t="shared" si="10"/>
        <v>356337</v>
      </c>
      <c r="Q52" s="23"/>
      <c r="R52" s="3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6" customHeight="1" x14ac:dyDescent="0.25">
      <c r="A53" s="102" t="s">
        <v>301</v>
      </c>
      <c r="B53" s="42" t="str">
        <f>'дод 7'!A229</f>
        <v>7691</v>
      </c>
      <c r="C53" s="42" t="str">
        <f>'дод 7'!B229</f>
        <v>0490</v>
      </c>
      <c r="D53" s="36" t="str">
        <f>'дод 7'!C229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8">
        <f t="shared" si="9"/>
        <v>0</v>
      </c>
      <c r="F53" s="98"/>
      <c r="G53" s="98"/>
      <c r="H53" s="98"/>
      <c r="I53" s="98"/>
      <c r="J53" s="98">
        <f t="shared" si="12"/>
        <v>54101</v>
      </c>
      <c r="K53" s="98"/>
      <c r="L53" s="98">
        <v>54101</v>
      </c>
      <c r="M53" s="98"/>
      <c r="N53" s="98"/>
      <c r="O53" s="98"/>
      <c r="P53" s="98">
        <f t="shared" si="10"/>
        <v>54101</v>
      </c>
      <c r="Q53" s="23"/>
      <c r="R53" s="3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2" t="s">
        <v>240</v>
      </c>
      <c r="B54" s="42" t="str">
        <f>'дод 7'!A230</f>
        <v>7693</v>
      </c>
      <c r="C54" s="42" t="str">
        <f>'дод 7'!B230</f>
        <v>0490</v>
      </c>
      <c r="D54" s="36" t="str">
        <f>'дод 7'!C230</f>
        <v>Інші заходи, пов'язані з економічною діяльністю</v>
      </c>
      <c r="E54" s="98">
        <f t="shared" si="9"/>
        <v>626596</v>
      </c>
      <c r="F54" s="98">
        <f>668626-42030</f>
        <v>626596</v>
      </c>
      <c r="G54" s="98"/>
      <c r="H54" s="98"/>
      <c r="I54" s="98"/>
      <c r="J54" s="98">
        <f t="shared" si="12"/>
        <v>0</v>
      </c>
      <c r="K54" s="98"/>
      <c r="L54" s="98"/>
      <c r="M54" s="98"/>
      <c r="N54" s="98"/>
      <c r="O54" s="98"/>
      <c r="P54" s="98">
        <f t="shared" si="10"/>
        <v>626596</v>
      </c>
      <c r="Q54" s="23"/>
      <c r="R54" s="3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2" t="s">
        <v>163</v>
      </c>
      <c r="B55" s="42" t="str">
        <f>'дод 7'!A237</f>
        <v>8110</v>
      </c>
      <c r="C55" s="42" t="str">
        <f>'дод 7'!B237</f>
        <v>0320</v>
      </c>
      <c r="D55" s="36" t="str">
        <f>'дод 7'!C237</f>
        <v>Заходи із запобігання та ліквідації надзвичайних ситуацій та наслідків стихійного лиха</v>
      </c>
      <c r="E55" s="98">
        <f t="shared" si="9"/>
        <v>328278.11000000004</v>
      </c>
      <c r="F55" s="98">
        <f>283487.34+44790.77</f>
        <v>328278.11000000004</v>
      </c>
      <c r="G55" s="98"/>
      <c r="H55" s="98">
        <f>6500-150</f>
        <v>6350</v>
      </c>
      <c r="I55" s="98"/>
      <c r="J55" s="98">
        <f t="shared" si="12"/>
        <v>1398264.66</v>
      </c>
      <c r="K55" s="98">
        <v>1398264.66</v>
      </c>
      <c r="L55" s="98"/>
      <c r="M55" s="98"/>
      <c r="N55" s="98"/>
      <c r="O55" s="98">
        <v>1398264.66</v>
      </c>
      <c r="P55" s="98">
        <f t="shared" si="10"/>
        <v>1726542.77</v>
      </c>
      <c r="Q55" s="23"/>
      <c r="R55" s="3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2" t="s">
        <v>223</v>
      </c>
      <c r="B56" s="42" t="str">
        <f>'дод 7'!A238</f>
        <v>8120</v>
      </c>
      <c r="C56" s="42" t="str">
        <f>'дод 7'!B238</f>
        <v>0320</v>
      </c>
      <c r="D56" s="36" t="str">
        <f>'дод 7'!C238</f>
        <v>Заходи з організації рятування на водах, у т.ч. за рахунок:</v>
      </c>
      <c r="E56" s="98">
        <f t="shared" si="9"/>
        <v>2491085</v>
      </c>
      <c r="F56" s="98">
        <f>2449105+41980</f>
        <v>2491085</v>
      </c>
      <c r="G56" s="98">
        <f>1906900+34408</f>
        <v>1941308</v>
      </c>
      <c r="H56" s="98">
        <v>73705</v>
      </c>
      <c r="I56" s="98"/>
      <c r="J56" s="98">
        <f t="shared" si="12"/>
        <v>5700</v>
      </c>
      <c r="K56" s="98"/>
      <c r="L56" s="98">
        <v>5700</v>
      </c>
      <c r="M56" s="98"/>
      <c r="N56" s="98">
        <v>1400</v>
      </c>
      <c r="O56" s="98"/>
      <c r="P56" s="98">
        <f t="shared" si="10"/>
        <v>2496785</v>
      </c>
      <c r="Q56" s="23"/>
      <c r="R56" s="3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4"/>
      <c r="B57" s="87"/>
      <c r="C57" s="87"/>
      <c r="D57" s="86" t="str">
        <f>'дод 7'!C239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0">
        <f t="shared" si="9"/>
        <v>588815</v>
      </c>
      <c r="F57" s="100">
        <v>588815</v>
      </c>
      <c r="G57" s="100">
        <v>482635</v>
      </c>
      <c r="H57" s="100"/>
      <c r="I57" s="100"/>
      <c r="J57" s="100">
        <f t="shared" si="12"/>
        <v>0</v>
      </c>
      <c r="K57" s="100"/>
      <c r="L57" s="100"/>
      <c r="M57" s="100"/>
      <c r="N57" s="100"/>
      <c r="O57" s="100"/>
      <c r="P57" s="100">
        <f t="shared" si="10"/>
        <v>588815</v>
      </c>
      <c r="Q57" s="30"/>
      <c r="R57" s="32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2" t="s">
        <v>243</v>
      </c>
      <c r="B58" s="42" t="str">
        <f>'дод 7'!A241</f>
        <v>8230</v>
      </c>
      <c r="C58" s="42" t="str">
        <f>'дод 7'!B241</f>
        <v>0380</v>
      </c>
      <c r="D58" s="36" t="str">
        <f>'дод 7'!C241</f>
        <v>Інші заходи громадського порядку та безпеки</v>
      </c>
      <c r="E58" s="98">
        <f t="shared" si="9"/>
        <v>462056</v>
      </c>
      <c r="F58" s="98">
        <f>427256+34800</f>
        <v>462056</v>
      </c>
      <c r="G58" s="98"/>
      <c r="H58" s="98">
        <f>257942+34800</f>
        <v>292742</v>
      </c>
      <c r="I58" s="98"/>
      <c r="J58" s="98">
        <f t="shared" si="12"/>
        <v>0</v>
      </c>
      <c r="K58" s="98"/>
      <c r="L58" s="98"/>
      <c r="M58" s="98"/>
      <c r="N58" s="98"/>
      <c r="O58" s="98"/>
      <c r="P58" s="98">
        <f t="shared" si="10"/>
        <v>462056</v>
      </c>
      <c r="Q58" s="23"/>
      <c r="R58" s="3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59" t="s">
        <v>164</v>
      </c>
      <c r="B59" s="92" t="str">
        <f>'дод 7'!A244</f>
        <v>8340</v>
      </c>
      <c r="C59" s="92" t="str">
        <f>'дод 7'!B244</f>
        <v>0540</v>
      </c>
      <c r="D59" s="60" t="str">
        <f>'дод 7'!C244</f>
        <v>Природоохоронні заходи за рахунок цільових фондів</v>
      </c>
      <c r="E59" s="98">
        <f t="shared" si="9"/>
        <v>0</v>
      </c>
      <c r="F59" s="98"/>
      <c r="G59" s="98"/>
      <c r="H59" s="98"/>
      <c r="I59" s="98"/>
      <c r="J59" s="98">
        <f t="shared" si="12"/>
        <v>250000</v>
      </c>
      <c r="K59" s="98"/>
      <c r="L59" s="98">
        <v>250000</v>
      </c>
      <c r="M59" s="98"/>
      <c r="N59" s="98"/>
      <c r="O59" s="98"/>
      <c r="P59" s="98">
        <f t="shared" si="10"/>
        <v>250000</v>
      </c>
      <c r="Q59" s="23"/>
      <c r="R59" s="3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2" t="s">
        <v>254</v>
      </c>
      <c r="B60" s="42" t="str">
        <f>'дод 7'!A246</f>
        <v>8420</v>
      </c>
      <c r="C60" s="42" t="str">
        <f>'дод 7'!B246</f>
        <v>0830</v>
      </c>
      <c r="D60" s="36" t="str">
        <f>'дод 7'!C246</f>
        <v>Інші заходи у сфері засобів масової інформації</v>
      </c>
      <c r="E60" s="98">
        <f t="shared" si="9"/>
        <v>78700</v>
      </c>
      <c r="F60" s="98">
        <f>30000+48700</f>
        <v>78700</v>
      </c>
      <c r="G60" s="98"/>
      <c r="H60" s="98"/>
      <c r="I60" s="98"/>
      <c r="J60" s="98">
        <f t="shared" si="12"/>
        <v>0</v>
      </c>
      <c r="K60" s="98"/>
      <c r="L60" s="98"/>
      <c r="M60" s="98"/>
      <c r="N60" s="98"/>
      <c r="O60" s="98"/>
      <c r="P60" s="98">
        <f t="shared" si="10"/>
        <v>78700</v>
      </c>
      <c r="Q60" s="23"/>
      <c r="R60" s="3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26.25" customHeight="1" x14ac:dyDescent="0.25">
      <c r="A61" s="102" t="s">
        <v>614</v>
      </c>
      <c r="B61" s="42">
        <v>9770</v>
      </c>
      <c r="C61" s="102" t="s">
        <v>45</v>
      </c>
      <c r="D61" s="36" t="s">
        <v>356</v>
      </c>
      <c r="E61" s="98">
        <f t="shared" si="9"/>
        <v>0</v>
      </c>
      <c r="F61" s="98"/>
      <c r="G61" s="98"/>
      <c r="H61" s="98"/>
      <c r="I61" s="98"/>
      <c r="J61" s="98">
        <f t="shared" si="12"/>
        <v>35000</v>
      </c>
      <c r="K61" s="98">
        <v>35000</v>
      </c>
      <c r="L61" s="98"/>
      <c r="M61" s="98"/>
      <c r="N61" s="98"/>
      <c r="O61" s="98">
        <v>35000</v>
      </c>
      <c r="P61" s="98">
        <f t="shared" si="10"/>
        <v>35000</v>
      </c>
      <c r="Q61" s="23"/>
      <c r="R61" s="3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2" customFormat="1" ht="47.25" x14ac:dyDescent="0.25">
      <c r="A62" s="102" t="s">
        <v>381</v>
      </c>
      <c r="B62" s="42">
        <v>9800</v>
      </c>
      <c r="C62" s="102" t="s">
        <v>45</v>
      </c>
      <c r="D62" s="36" t="s">
        <v>367</v>
      </c>
      <c r="E62" s="98">
        <f t="shared" si="9"/>
        <v>2048799</v>
      </c>
      <c r="F62" s="98">
        <v>2048799</v>
      </c>
      <c r="G62" s="98"/>
      <c r="H62" s="98"/>
      <c r="I62" s="98"/>
      <c r="J62" s="98">
        <f t="shared" si="12"/>
        <v>2883000</v>
      </c>
      <c r="K62" s="98">
        <f>1483000+400000+1000000</f>
        <v>2883000</v>
      </c>
      <c r="L62" s="98"/>
      <c r="M62" s="98"/>
      <c r="N62" s="98"/>
      <c r="O62" s="98">
        <f>1483000+400000+1000000</f>
        <v>2883000</v>
      </c>
      <c r="P62" s="98">
        <f t="shared" si="10"/>
        <v>4931799</v>
      </c>
      <c r="Q62" s="23"/>
      <c r="R62" s="3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</row>
    <row r="63" spans="1:527" s="27" customFormat="1" ht="36" customHeight="1" x14ac:dyDescent="0.25">
      <c r="A63" s="105" t="s">
        <v>165</v>
      </c>
      <c r="B63" s="39"/>
      <c r="C63" s="39"/>
      <c r="D63" s="106" t="s">
        <v>25</v>
      </c>
      <c r="E63" s="94">
        <f>E64</f>
        <v>1198111214.72</v>
      </c>
      <c r="F63" s="94">
        <f t="shared" ref="F63:J63" si="13">F64</f>
        <v>1198111214.72</v>
      </c>
      <c r="G63" s="94">
        <f t="shared" si="13"/>
        <v>778262471</v>
      </c>
      <c r="H63" s="94">
        <f t="shared" si="13"/>
        <v>86744247</v>
      </c>
      <c r="I63" s="94">
        <f t="shared" si="13"/>
        <v>0</v>
      </c>
      <c r="J63" s="94">
        <f t="shared" si="13"/>
        <v>114028314.48</v>
      </c>
      <c r="K63" s="94">
        <f t="shared" ref="K63" si="14">K64</f>
        <v>72389864.479999989</v>
      </c>
      <c r="L63" s="94">
        <f t="shared" ref="L63" si="15">L64</f>
        <v>37465600</v>
      </c>
      <c r="M63" s="94">
        <f t="shared" ref="M63" si="16">M64</f>
        <v>2268060</v>
      </c>
      <c r="N63" s="94">
        <f t="shared" ref="N63" si="17">N64</f>
        <v>139890</v>
      </c>
      <c r="O63" s="94">
        <f t="shared" ref="O63:P63" si="18">O64</f>
        <v>76562714.479999989</v>
      </c>
      <c r="P63" s="94">
        <f t="shared" si="18"/>
        <v>1312139529.2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</row>
    <row r="64" spans="1:527" s="34" customFormat="1" ht="38.25" customHeight="1" x14ac:dyDescent="0.25">
      <c r="A64" s="107" t="s">
        <v>166</v>
      </c>
      <c r="B64" s="73"/>
      <c r="C64" s="73"/>
      <c r="D64" s="76" t="s">
        <v>507</v>
      </c>
      <c r="E64" s="97">
        <f>E77+E78+E79+E80+E81+E82+E85+E87+E89+E92+E94+E95+E96+E97+E98+E100+E101+E102+E104+E106+E108+E110+E112+E113+E114+E116+E118+E120+E121+E122+E123+E125+E126</f>
        <v>1198111214.72</v>
      </c>
      <c r="F64" s="97">
        <f t="shared" ref="F64:P64" si="19">F77+F78+F79+F80+F81+F82+F85+F87+F89+F92+F94+F95+F96+F97+F98+F100+F101+F102+F104+F106+F108+F110+F112+F113+F114+F116+F118+F120+F121+F122+F123+F125+F126</f>
        <v>1198111214.72</v>
      </c>
      <c r="G64" s="97">
        <f t="shared" si="19"/>
        <v>778262471</v>
      </c>
      <c r="H64" s="97">
        <f t="shared" si="19"/>
        <v>86744247</v>
      </c>
      <c r="I64" s="97">
        <f t="shared" si="19"/>
        <v>0</v>
      </c>
      <c r="J64" s="97">
        <f t="shared" si="19"/>
        <v>114028314.48</v>
      </c>
      <c r="K64" s="97">
        <f t="shared" si="19"/>
        <v>72389864.479999989</v>
      </c>
      <c r="L64" s="97">
        <f t="shared" si="19"/>
        <v>37465600</v>
      </c>
      <c r="M64" s="97">
        <f t="shared" si="19"/>
        <v>2268060</v>
      </c>
      <c r="N64" s="97">
        <f t="shared" si="19"/>
        <v>139890</v>
      </c>
      <c r="O64" s="97">
        <f t="shared" si="19"/>
        <v>76562714.479999989</v>
      </c>
      <c r="P64" s="97">
        <f t="shared" si="19"/>
        <v>1312139529.2</v>
      </c>
      <c r="Q64" s="33"/>
      <c r="R64" s="32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31.5" x14ac:dyDescent="0.25">
      <c r="A65" s="107"/>
      <c r="B65" s="73"/>
      <c r="C65" s="73"/>
      <c r="D65" s="76" t="s">
        <v>389</v>
      </c>
      <c r="E65" s="97">
        <f>E83+E86+E88</f>
        <v>482448000</v>
      </c>
      <c r="F65" s="97">
        <f t="shared" ref="F65:P65" si="20">F83+F86+F88</f>
        <v>482448000</v>
      </c>
      <c r="G65" s="97">
        <f t="shared" si="20"/>
        <v>395816000</v>
      </c>
      <c r="H65" s="97">
        <f t="shared" si="20"/>
        <v>0</v>
      </c>
      <c r="I65" s="97">
        <f t="shared" si="20"/>
        <v>0</v>
      </c>
      <c r="J65" s="97">
        <f t="shared" si="20"/>
        <v>0</v>
      </c>
      <c r="K65" s="97">
        <f t="shared" si="20"/>
        <v>0</v>
      </c>
      <c r="L65" s="97">
        <f t="shared" si="20"/>
        <v>0</v>
      </c>
      <c r="M65" s="97">
        <f t="shared" si="20"/>
        <v>0</v>
      </c>
      <c r="N65" s="97">
        <f t="shared" si="20"/>
        <v>0</v>
      </c>
      <c r="O65" s="97">
        <f t="shared" si="20"/>
        <v>0</v>
      </c>
      <c r="P65" s="97">
        <f t="shared" si="20"/>
        <v>482448000</v>
      </c>
      <c r="Q65" s="33"/>
      <c r="R65" s="32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63" hidden="1" customHeight="1" x14ac:dyDescent="0.25">
      <c r="A66" s="107"/>
      <c r="B66" s="73"/>
      <c r="C66" s="73"/>
      <c r="D66" s="76" t="s">
        <v>388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33"/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07"/>
      <c r="B67" s="73"/>
      <c r="C67" s="73"/>
      <c r="D67" s="76" t="s">
        <v>543</v>
      </c>
      <c r="E67" s="97">
        <f>E90</f>
        <v>363000</v>
      </c>
      <c r="F67" s="97">
        <f t="shared" ref="F67:P67" si="21">F90</f>
        <v>363000</v>
      </c>
      <c r="G67" s="97">
        <f t="shared" si="21"/>
        <v>0</v>
      </c>
      <c r="H67" s="97">
        <f t="shared" si="21"/>
        <v>0</v>
      </c>
      <c r="I67" s="97">
        <f t="shared" si="21"/>
        <v>0</v>
      </c>
      <c r="J67" s="97">
        <f t="shared" si="21"/>
        <v>1637000</v>
      </c>
      <c r="K67" s="97">
        <f t="shared" si="21"/>
        <v>1637000</v>
      </c>
      <c r="L67" s="97">
        <f t="shared" si="21"/>
        <v>0</v>
      </c>
      <c r="M67" s="97">
        <f t="shared" si="21"/>
        <v>0</v>
      </c>
      <c r="N67" s="97">
        <f t="shared" si="21"/>
        <v>0</v>
      </c>
      <c r="O67" s="97">
        <f t="shared" si="21"/>
        <v>1637000</v>
      </c>
      <c r="P67" s="97">
        <f t="shared" si="21"/>
        <v>2000000</v>
      </c>
      <c r="Q67" s="33"/>
      <c r="R67" s="32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7.25" x14ac:dyDescent="0.25">
      <c r="A68" s="107"/>
      <c r="B68" s="73"/>
      <c r="C68" s="73"/>
      <c r="D68" s="76" t="s">
        <v>384</v>
      </c>
      <c r="E68" s="97">
        <f t="shared" ref="E68:P68" si="22">E84+E99</f>
        <v>3578416</v>
      </c>
      <c r="F68" s="97">
        <f t="shared" si="22"/>
        <v>3578416</v>
      </c>
      <c r="G68" s="97">
        <f t="shared" si="22"/>
        <v>1228720</v>
      </c>
      <c r="H68" s="97">
        <f t="shared" si="22"/>
        <v>0</v>
      </c>
      <c r="I68" s="97">
        <f t="shared" si="22"/>
        <v>0</v>
      </c>
      <c r="J68" s="97">
        <f t="shared" si="22"/>
        <v>0</v>
      </c>
      <c r="K68" s="97">
        <f t="shared" si="22"/>
        <v>0</v>
      </c>
      <c r="L68" s="97">
        <f t="shared" si="22"/>
        <v>0</v>
      </c>
      <c r="M68" s="97">
        <f t="shared" si="22"/>
        <v>0</v>
      </c>
      <c r="N68" s="97">
        <f t="shared" si="22"/>
        <v>0</v>
      </c>
      <c r="O68" s="97">
        <f t="shared" si="22"/>
        <v>0</v>
      </c>
      <c r="P68" s="97">
        <f t="shared" si="22"/>
        <v>3578416</v>
      </c>
      <c r="Q68" s="33"/>
      <c r="R68" s="3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45" hidden="1" customHeight="1" x14ac:dyDescent="0.25">
      <c r="A69" s="107"/>
      <c r="B69" s="73"/>
      <c r="C69" s="73"/>
      <c r="D69" s="76" t="s">
        <v>386</v>
      </c>
      <c r="E69" s="97" t="e">
        <f>#REF!+E96</f>
        <v>#REF!</v>
      </c>
      <c r="F69" s="97" t="e">
        <f>#REF!+F96</f>
        <v>#REF!</v>
      </c>
      <c r="G69" s="97" t="e">
        <f>#REF!+G96</f>
        <v>#REF!</v>
      </c>
      <c r="H69" s="97" t="e">
        <f>#REF!+H96</f>
        <v>#REF!</v>
      </c>
      <c r="I69" s="97" t="e">
        <f>#REF!+I96</f>
        <v>#REF!</v>
      </c>
      <c r="J69" s="97" t="e">
        <f>#REF!+J96</f>
        <v>#REF!</v>
      </c>
      <c r="K69" s="97" t="e">
        <f>#REF!+K96</f>
        <v>#REF!</v>
      </c>
      <c r="L69" s="97" t="e">
        <f>#REF!+L96</f>
        <v>#REF!</v>
      </c>
      <c r="M69" s="97" t="e">
        <f>#REF!+M96</f>
        <v>#REF!</v>
      </c>
      <c r="N69" s="97" t="e">
        <f>#REF!+N96</f>
        <v>#REF!</v>
      </c>
      <c r="O69" s="97" t="e">
        <f>#REF!+O96</f>
        <v>#REF!</v>
      </c>
      <c r="P69" s="97" t="e">
        <f>#REF!+P96</f>
        <v>#REF!</v>
      </c>
      <c r="Q69" s="33"/>
      <c r="R69" s="32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63" x14ac:dyDescent="0.25">
      <c r="A70" s="107"/>
      <c r="B70" s="73"/>
      <c r="C70" s="73"/>
      <c r="D70" s="76" t="s">
        <v>383</v>
      </c>
      <c r="E70" s="97">
        <f>E109</f>
        <v>2417470</v>
      </c>
      <c r="F70" s="97">
        <f t="shared" ref="F70:P70" si="23">F109</f>
        <v>2417470</v>
      </c>
      <c r="G70" s="97">
        <f t="shared" si="23"/>
        <v>1299695</v>
      </c>
      <c r="H70" s="97">
        <f t="shared" si="23"/>
        <v>0</v>
      </c>
      <c r="I70" s="97">
        <f t="shared" si="23"/>
        <v>0</v>
      </c>
      <c r="J70" s="97">
        <f t="shared" si="23"/>
        <v>72000</v>
      </c>
      <c r="K70" s="97">
        <f t="shared" si="23"/>
        <v>72000</v>
      </c>
      <c r="L70" s="97">
        <f t="shared" si="23"/>
        <v>0</v>
      </c>
      <c r="M70" s="97">
        <f t="shared" si="23"/>
        <v>0</v>
      </c>
      <c r="N70" s="97">
        <f t="shared" si="23"/>
        <v>0</v>
      </c>
      <c r="O70" s="97">
        <f t="shared" si="23"/>
        <v>72000</v>
      </c>
      <c r="P70" s="97">
        <f t="shared" si="23"/>
        <v>2489470</v>
      </c>
      <c r="Q70" s="33"/>
      <c r="R70" s="32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80.25" customHeight="1" x14ac:dyDescent="0.25">
      <c r="A71" s="107"/>
      <c r="B71" s="142"/>
      <c r="C71" s="73"/>
      <c r="D71" s="76" t="s">
        <v>523</v>
      </c>
      <c r="E71" s="97">
        <f>E111</f>
        <v>1315285.79</v>
      </c>
      <c r="F71" s="97">
        <f t="shared" ref="F71:P71" si="24">F111</f>
        <v>1315285.79</v>
      </c>
      <c r="G71" s="97">
        <f t="shared" si="24"/>
        <v>1034620</v>
      </c>
      <c r="H71" s="97">
        <f t="shared" si="24"/>
        <v>0</v>
      </c>
      <c r="I71" s="97">
        <f t="shared" si="24"/>
        <v>0</v>
      </c>
      <c r="J71" s="97">
        <f t="shared" si="24"/>
        <v>0</v>
      </c>
      <c r="K71" s="97">
        <f t="shared" si="24"/>
        <v>0</v>
      </c>
      <c r="L71" s="97">
        <f t="shared" si="24"/>
        <v>0</v>
      </c>
      <c r="M71" s="97">
        <f t="shared" si="24"/>
        <v>0</v>
      </c>
      <c r="N71" s="97">
        <f t="shared" si="24"/>
        <v>0</v>
      </c>
      <c r="O71" s="97">
        <f t="shared" si="24"/>
        <v>0</v>
      </c>
      <c r="P71" s="97">
        <f t="shared" si="24"/>
        <v>1315285.79</v>
      </c>
      <c r="Q71" s="33"/>
      <c r="R71" s="32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31.5" x14ac:dyDescent="0.25">
      <c r="A72" s="107"/>
      <c r="B72" s="73"/>
      <c r="C72" s="73"/>
      <c r="D72" s="76" t="s">
        <v>540</v>
      </c>
      <c r="E72" s="97">
        <f t="shared" ref="E72:P72" si="25">E91+E93+E124</f>
        <v>1434017.6</v>
      </c>
      <c r="F72" s="97">
        <f t="shared" si="25"/>
        <v>1434017.6</v>
      </c>
      <c r="G72" s="97">
        <f t="shared" si="25"/>
        <v>0</v>
      </c>
      <c r="H72" s="97">
        <f t="shared" si="25"/>
        <v>0</v>
      </c>
      <c r="I72" s="97">
        <f t="shared" si="25"/>
        <v>0</v>
      </c>
      <c r="J72" s="97">
        <f t="shared" si="25"/>
        <v>7663725.1799999997</v>
      </c>
      <c r="K72" s="97">
        <f t="shared" si="25"/>
        <v>7663725.1799999997</v>
      </c>
      <c r="L72" s="97">
        <f t="shared" si="25"/>
        <v>0</v>
      </c>
      <c r="M72" s="97">
        <f t="shared" si="25"/>
        <v>0</v>
      </c>
      <c r="N72" s="97">
        <f t="shared" si="25"/>
        <v>0</v>
      </c>
      <c r="O72" s="97">
        <f t="shared" si="25"/>
        <v>7663725.1799999997</v>
      </c>
      <c r="P72" s="97">
        <f t="shared" si="25"/>
        <v>9097742.7799999993</v>
      </c>
      <c r="Q72" s="33"/>
      <c r="R72" s="32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78.75" x14ac:dyDescent="0.25">
      <c r="A73" s="107"/>
      <c r="B73" s="73"/>
      <c r="C73" s="73"/>
      <c r="D73" s="76" t="s">
        <v>559</v>
      </c>
      <c r="E73" s="97">
        <f>E107</f>
        <v>4801508.3</v>
      </c>
      <c r="F73" s="97">
        <f t="shared" ref="F73:P73" si="26">F107</f>
        <v>4801508.3</v>
      </c>
      <c r="G73" s="97">
        <f t="shared" si="26"/>
        <v>0</v>
      </c>
      <c r="H73" s="97">
        <f t="shared" si="26"/>
        <v>0</v>
      </c>
      <c r="I73" s="97">
        <f t="shared" si="26"/>
        <v>0</v>
      </c>
      <c r="J73" s="97">
        <f t="shared" si="26"/>
        <v>644352.70000000007</v>
      </c>
      <c r="K73" s="97">
        <f t="shared" si="26"/>
        <v>644352.70000000007</v>
      </c>
      <c r="L73" s="97">
        <f t="shared" si="26"/>
        <v>0</v>
      </c>
      <c r="M73" s="97">
        <f t="shared" si="26"/>
        <v>0</v>
      </c>
      <c r="N73" s="97">
        <f t="shared" si="26"/>
        <v>0</v>
      </c>
      <c r="O73" s="97">
        <f t="shared" si="26"/>
        <v>644352.70000000007</v>
      </c>
      <c r="P73" s="97">
        <f t="shared" si="26"/>
        <v>5445861</v>
      </c>
      <c r="Q73" s="33"/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.75" customHeight="1" x14ac:dyDescent="0.25">
      <c r="A74" s="95"/>
      <c r="B74" s="108"/>
      <c r="C74" s="109"/>
      <c r="D74" s="76" t="s">
        <v>602</v>
      </c>
      <c r="E74" s="97">
        <f>E103</f>
        <v>287772</v>
      </c>
      <c r="F74" s="97">
        <f t="shared" ref="F74:P74" si="27">F103</f>
        <v>287772</v>
      </c>
      <c r="G74" s="97">
        <f t="shared" si="27"/>
        <v>0</v>
      </c>
      <c r="H74" s="97">
        <f t="shared" si="27"/>
        <v>0</v>
      </c>
      <c r="I74" s="97">
        <f t="shared" si="27"/>
        <v>0</v>
      </c>
      <c r="J74" s="97">
        <f t="shared" si="27"/>
        <v>2859728</v>
      </c>
      <c r="K74" s="97">
        <f t="shared" si="27"/>
        <v>2859728</v>
      </c>
      <c r="L74" s="97">
        <f t="shared" si="27"/>
        <v>0</v>
      </c>
      <c r="M74" s="97">
        <f t="shared" si="27"/>
        <v>0</v>
      </c>
      <c r="N74" s="97">
        <f t="shared" si="27"/>
        <v>0</v>
      </c>
      <c r="O74" s="97">
        <f t="shared" si="27"/>
        <v>2859728</v>
      </c>
      <c r="P74" s="97">
        <f t="shared" si="27"/>
        <v>3147500</v>
      </c>
      <c r="Q74" s="33"/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62.25" customHeight="1" x14ac:dyDescent="0.25">
      <c r="A75" s="107"/>
      <c r="B75" s="73"/>
      <c r="C75" s="73"/>
      <c r="D75" s="134" t="s">
        <v>388</v>
      </c>
      <c r="E75" s="97">
        <f>E119</f>
        <v>0</v>
      </c>
      <c r="F75" s="97">
        <f t="shared" ref="F75:P75" si="28">F119</f>
        <v>0</v>
      </c>
      <c r="G75" s="97">
        <f t="shared" si="28"/>
        <v>0</v>
      </c>
      <c r="H75" s="97">
        <f t="shared" si="28"/>
        <v>0</v>
      </c>
      <c r="I75" s="97">
        <f t="shared" si="28"/>
        <v>0</v>
      </c>
      <c r="J75" s="97">
        <f t="shared" si="28"/>
        <v>13762433</v>
      </c>
      <c r="K75" s="97">
        <f t="shared" si="28"/>
        <v>10269483</v>
      </c>
      <c r="L75" s="97">
        <f t="shared" si="28"/>
        <v>0</v>
      </c>
      <c r="M75" s="97">
        <f t="shared" si="28"/>
        <v>0</v>
      </c>
      <c r="N75" s="97">
        <f t="shared" si="28"/>
        <v>0</v>
      </c>
      <c r="O75" s="97">
        <f t="shared" si="28"/>
        <v>13762433</v>
      </c>
      <c r="P75" s="97">
        <f t="shared" si="28"/>
        <v>13762433</v>
      </c>
      <c r="Q75" s="33"/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34" customFormat="1" ht="22.5" customHeight="1" x14ac:dyDescent="0.25">
      <c r="A76" s="107"/>
      <c r="B76" s="73"/>
      <c r="C76" s="73"/>
      <c r="D76" s="76" t="s">
        <v>395</v>
      </c>
      <c r="E76" s="97">
        <f>E105+E115+E117</f>
        <v>284064</v>
      </c>
      <c r="F76" s="97">
        <f>F105+F115+F117</f>
        <v>284064</v>
      </c>
      <c r="G76" s="97">
        <f t="shared" ref="G76:P76" si="29">G105+G115+G117</f>
        <v>0</v>
      </c>
      <c r="H76" s="97">
        <f t="shared" si="29"/>
        <v>0</v>
      </c>
      <c r="I76" s="97">
        <f t="shared" si="29"/>
        <v>0</v>
      </c>
      <c r="J76" s="97">
        <f t="shared" si="29"/>
        <v>250000</v>
      </c>
      <c r="K76" s="97">
        <f t="shared" si="29"/>
        <v>250000</v>
      </c>
      <c r="L76" s="97">
        <f t="shared" si="29"/>
        <v>0</v>
      </c>
      <c r="M76" s="97">
        <f t="shared" si="29"/>
        <v>0</v>
      </c>
      <c r="N76" s="97">
        <f t="shared" si="29"/>
        <v>0</v>
      </c>
      <c r="O76" s="97">
        <f t="shared" si="29"/>
        <v>250000</v>
      </c>
      <c r="P76" s="97">
        <f t="shared" si="29"/>
        <v>534064</v>
      </c>
      <c r="Q76" s="33"/>
      <c r="R76" s="3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</row>
    <row r="77" spans="1:527" s="22" customFormat="1" ht="45.75" customHeight="1" x14ac:dyDescent="0.25">
      <c r="A77" s="59" t="s">
        <v>167</v>
      </c>
      <c r="B77" s="92" t="str">
        <f>'дод 7'!A19</f>
        <v>0160</v>
      </c>
      <c r="C77" s="92" t="str">
        <f>'дод 7'!B19</f>
        <v>0111</v>
      </c>
      <c r="D77" s="36" t="s">
        <v>493</v>
      </c>
      <c r="E77" s="98">
        <f t="shared" ref="E77:E126" si="30">F77+I77</f>
        <v>3864285</v>
      </c>
      <c r="F77" s="98">
        <v>3864285</v>
      </c>
      <c r="G77" s="98">
        <f>2976200-3000</f>
        <v>2973200</v>
      </c>
      <c r="H77" s="98">
        <v>43585</v>
      </c>
      <c r="I77" s="98"/>
      <c r="J77" s="98">
        <f>L77+O77</f>
        <v>0</v>
      </c>
      <c r="K77" s="98">
        <v>0</v>
      </c>
      <c r="L77" s="98"/>
      <c r="M77" s="98"/>
      <c r="N77" s="98"/>
      <c r="O77" s="98">
        <v>0</v>
      </c>
      <c r="P77" s="98">
        <f t="shared" ref="P77:P126" si="31">E77+J77</f>
        <v>3864285</v>
      </c>
      <c r="Q77" s="23"/>
      <c r="R77" s="3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21.75" customHeight="1" x14ac:dyDescent="0.25">
      <c r="A78" s="59" t="s">
        <v>168</v>
      </c>
      <c r="B78" s="92" t="str">
        <f>'дод 7'!A36</f>
        <v>1010</v>
      </c>
      <c r="C78" s="92" t="str">
        <f>'дод 7'!B36</f>
        <v>0910</v>
      </c>
      <c r="D78" s="60" t="s">
        <v>502</v>
      </c>
      <c r="E78" s="98">
        <f t="shared" si="30"/>
        <v>312891086</v>
      </c>
      <c r="F78" s="98">
        <f>297514346-82400+49810+900000+1453830+3000000+2500000+7915500-49800-310200</f>
        <v>312891086</v>
      </c>
      <c r="G78" s="98">
        <f>205054200-732400+487530-137000</f>
        <v>204672330</v>
      </c>
      <c r="H78" s="98">
        <f>24363307+791300+7915500-100000</f>
        <v>32970107</v>
      </c>
      <c r="I78" s="98"/>
      <c r="J78" s="98">
        <f>L78+O78</f>
        <v>13014798</v>
      </c>
      <c r="K78" s="98">
        <f>1071480-12502+49800+146320</f>
        <v>1255098</v>
      </c>
      <c r="L78" s="98">
        <v>11759700</v>
      </c>
      <c r="M78" s="98"/>
      <c r="N78" s="98"/>
      <c r="O78" s="98">
        <f>1071480-12502+49800+146320</f>
        <v>1255098</v>
      </c>
      <c r="P78" s="98">
        <f t="shared" si="31"/>
        <v>325905884</v>
      </c>
      <c r="Q78" s="23"/>
      <c r="R78" s="3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37.5" customHeight="1" x14ac:dyDescent="0.25">
      <c r="A79" s="59" t="s">
        <v>469</v>
      </c>
      <c r="B79" s="59">
        <f>'дод 7'!A38</f>
        <v>1021</v>
      </c>
      <c r="C79" s="92" t="str">
        <f>'дод 7'!B38</f>
        <v>0921</v>
      </c>
      <c r="D79" s="60" t="s">
        <v>580</v>
      </c>
      <c r="E79" s="98">
        <f t="shared" si="30"/>
        <v>224822308.69999999</v>
      </c>
      <c r="F79" s="98">
        <f>209620109.2+17200+10000+700000+100000+14028900-25000+25700+79918.5+186500+1000+36286+297+35678+5720</f>
        <v>224822308.69999999</v>
      </c>
      <c r="G79" s="98">
        <f>116833485.94-160000</f>
        <v>116673485.94</v>
      </c>
      <c r="H79" s="98">
        <f>31973609.55+14028900+186500</f>
        <v>46189009.549999997</v>
      </c>
      <c r="I79" s="98"/>
      <c r="J79" s="98">
        <f t="shared" ref="J79:J126" si="32">L79+O79</f>
        <v>26423904</v>
      </c>
      <c r="K79" s="98">
        <v>1293104</v>
      </c>
      <c r="L79" s="98">
        <v>25130800</v>
      </c>
      <c r="M79" s="98">
        <v>2268060</v>
      </c>
      <c r="N79" s="98">
        <v>139890</v>
      </c>
      <c r="O79" s="98">
        <v>1293104</v>
      </c>
      <c r="P79" s="98">
        <f t="shared" si="31"/>
        <v>251246212.69999999</v>
      </c>
      <c r="Q79" s="23"/>
      <c r="R79" s="3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63" x14ac:dyDescent="0.25">
      <c r="A80" s="59" t="s">
        <v>471</v>
      </c>
      <c r="B80" s="92">
        <v>1022</v>
      </c>
      <c r="C80" s="59" t="s">
        <v>55</v>
      </c>
      <c r="D80" s="36" t="s">
        <v>472</v>
      </c>
      <c r="E80" s="98">
        <f t="shared" si="30"/>
        <v>15021607</v>
      </c>
      <c r="F80" s="98">
        <f>14436307-20200+572000+33500</f>
        <v>15021607</v>
      </c>
      <c r="G80" s="98">
        <v>8830500</v>
      </c>
      <c r="H80" s="98">
        <f>1512107+572000+33500</f>
        <v>2117607</v>
      </c>
      <c r="I80" s="98"/>
      <c r="J80" s="98">
        <f t="shared" si="32"/>
        <v>97000</v>
      </c>
      <c r="K80" s="98">
        <v>97000</v>
      </c>
      <c r="L80" s="98"/>
      <c r="M80" s="98"/>
      <c r="N80" s="98"/>
      <c r="O80" s="98">
        <v>97000</v>
      </c>
      <c r="P80" s="98">
        <f t="shared" si="31"/>
        <v>15118607</v>
      </c>
      <c r="Q80" s="23"/>
      <c r="R80" s="3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2" customFormat="1" ht="63" x14ac:dyDescent="0.25">
      <c r="A81" s="59" t="s">
        <v>597</v>
      </c>
      <c r="B81" s="92">
        <v>1025</v>
      </c>
      <c r="C81" s="59" t="s">
        <v>55</v>
      </c>
      <c r="D81" s="36" t="s">
        <v>598</v>
      </c>
      <c r="E81" s="98">
        <f t="shared" si="30"/>
        <v>4167674.43</v>
      </c>
      <c r="F81" s="98">
        <f>3993974.43+20200+92200+49800+11500</f>
        <v>4167674.43</v>
      </c>
      <c r="G81" s="98">
        <v>2829220.06</v>
      </c>
      <c r="H81" s="98">
        <f>306666.45+92200+11500</f>
        <v>410366.45</v>
      </c>
      <c r="I81" s="98"/>
      <c r="J81" s="98">
        <f t="shared" si="32"/>
        <v>0</v>
      </c>
      <c r="K81" s="98"/>
      <c r="L81" s="98"/>
      <c r="M81" s="98"/>
      <c r="N81" s="98"/>
      <c r="O81" s="98"/>
      <c r="P81" s="98">
        <f t="shared" si="31"/>
        <v>4167674.43</v>
      </c>
      <c r="Q81" s="23"/>
      <c r="R81" s="3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2" customFormat="1" ht="31.5" x14ac:dyDescent="0.25">
      <c r="A82" s="59" t="s">
        <v>473</v>
      </c>
      <c r="B82" s="92">
        <v>1031</v>
      </c>
      <c r="C82" s="59" t="s">
        <v>51</v>
      </c>
      <c r="D82" s="60" t="s">
        <v>503</v>
      </c>
      <c r="E82" s="98">
        <f t="shared" si="30"/>
        <v>468297758.54000002</v>
      </c>
      <c r="F82" s="98">
        <f>468581848.54-284090</f>
        <v>468297758.54000002</v>
      </c>
      <c r="G82" s="98">
        <f>382983978.35-482840</f>
        <v>382501138.35000002</v>
      </c>
      <c r="H82" s="98"/>
      <c r="I82" s="98"/>
      <c r="J82" s="98">
        <f t="shared" si="32"/>
        <v>0</v>
      </c>
      <c r="K82" s="98"/>
      <c r="L82" s="98"/>
      <c r="M82" s="98"/>
      <c r="N82" s="98"/>
      <c r="O82" s="98"/>
      <c r="P82" s="98">
        <f t="shared" si="31"/>
        <v>468297758.54000002</v>
      </c>
      <c r="Q82" s="23"/>
      <c r="R82" s="3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</row>
    <row r="83" spans="1:527" s="24" customFormat="1" ht="33.75" customHeight="1" x14ac:dyDescent="0.25">
      <c r="A83" s="83"/>
      <c r="B83" s="110"/>
      <c r="C83" s="110"/>
      <c r="D83" s="86" t="s">
        <v>389</v>
      </c>
      <c r="E83" s="100">
        <f t="shared" si="30"/>
        <v>466218378.54000002</v>
      </c>
      <c r="F83" s="100">
        <f>466502468.54-284090</f>
        <v>466218378.54000002</v>
      </c>
      <c r="G83" s="100">
        <f>382983978.35-482840</f>
        <v>382501138.35000002</v>
      </c>
      <c r="H83" s="100"/>
      <c r="I83" s="100"/>
      <c r="J83" s="100">
        <f t="shared" si="32"/>
        <v>0</v>
      </c>
      <c r="K83" s="100"/>
      <c r="L83" s="100"/>
      <c r="M83" s="100"/>
      <c r="N83" s="100"/>
      <c r="O83" s="100"/>
      <c r="P83" s="100">
        <f t="shared" si="31"/>
        <v>466218378.54000002</v>
      </c>
      <c r="Q83" s="30"/>
      <c r="R83" s="3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47.25" x14ac:dyDescent="0.25">
      <c r="A84" s="83"/>
      <c r="B84" s="110"/>
      <c r="C84" s="110"/>
      <c r="D84" s="86" t="s">
        <v>384</v>
      </c>
      <c r="E84" s="100">
        <f t="shared" si="30"/>
        <v>2079380</v>
      </c>
      <c r="F84" s="100">
        <v>2079380</v>
      </c>
      <c r="G84" s="100"/>
      <c r="H84" s="100"/>
      <c r="I84" s="100"/>
      <c r="J84" s="100">
        <f t="shared" si="32"/>
        <v>0</v>
      </c>
      <c r="K84" s="100"/>
      <c r="L84" s="100"/>
      <c r="M84" s="100"/>
      <c r="N84" s="100"/>
      <c r="O84" s="100"/>
      <c r="P84" s="100">
        <f t="shared" si="31"/>
        <v>2079380</v>
      </c>
      <c r="Q84" s="30"/>
      <c r="R84" s="3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2" customFormat="1" ht="65.25" customHeight="1" x14ac:dyDescent="0.25">
      <c r="A85" s="59" t="s">
        <v>474</v>
      </c>
      <c r="B85" s="59" t="s">
        <v>475</v>
      </c>
      <c r="C85" s="59" t="s">
        <v>55</v>
      </c>
      <c r="D85" s="60" t="s">
        <v>504</v>
      </c>
      <c r="E85" s="98">
        <f t="shared" si="30"/>
        <v>15808500</v>
      </c>
      <c r="F85" s="98">
        <f>15564500+244000</f>
        <v>15808500</v>
      </c>
      <c r="G85" s="98">
        <f>12769100+200000</f>
        <v>12969100</v>
      </c>
      <c r="H85" s="98"/>
      <c r="I85" s="98"/>
      <c r="J85" s="98">
        <f t="shared" si="32"/>
        <v>0</v>
      </c>
      <c r="K85" s="98"/>
      <c r="L85" s="98"/>
      <c r="M85" s="98"/>
      <c r="N85" s="98"/>
      <c r="O85" s="98"/>
      <c r="P85" s="98">
        <f t="shared" si="31"/>
        <v>15808500</v>
      </c>
      <c r="Q85" s="23"/>
      <c r="R85" s="32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</row>
    <row r="86" spans="1:527" s="24" customFormat="1" ht="31.5" x14ac:dyDescent="0.25">
      <c r="A86" s="83"/>
      <c r="B86" s="110"/>
      <c r="C86" s="110"/>
      <c r="D86" s="86" t="s">
        <v>389</v>
      </c>
      <c r="E86" s="100">
        <f t="shared" ref="E86:E92" si="33">F86+I86</f>
        <v>15808500</v>
      </c>
      <c r="F86" s="100">
        <f>15564500+244000</f>
        <v>15808500</v>
      </c>
      <c r="G86" s="100">
        <f>12769100+200000</f>
        <v>12969100</v>
      </c>
      <c r="H86" s="100"/>
      <c r="I86" s="100"/>
      <c r="J86" s="100">
        <f t="shared" ref="J86:J88" si="34">L86+O86</f>
        <v>0</v>
      </c>
      <c r="K86" s="100"/>
      <c r="L86" s="100"/>
      <c r="M86" s="100"/>
      <c r="N86" s="100"/>
      <c r="O86" s="100"/>
      <c r="P86" s="100">
        <f t="shared" ref="P86:P88" si="35">E86+J86</f>
        <v>15808500</v>
      </c>
      <c r="Q86" s="30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2" customFormat="1" ht="66.75" customHeight="1" x14ac:dyDescent="0.25">
      <c r="A87" s="59" t="s">
        <v>599</v>
      </c>
      <c r="B87" s="92">
        <v>1035</v>
      </c>
      <c r="C87" s="59" t="s">
        <v>55</v>
      </c>
      <c r="D87" s="36" t="s">
        <v>600</v>
      </c>
      <c r="E87" s="98">
        <f t="shared" si="30"/>
        <v>421121.46</v>
      </c>
      <c r="F87" s="98">
        <f>381031.46+40090</f>
        <v>421121.46</v>
      </c>
      <c r="G87" s="98">
        <f>312921.65+32840</f>
        <v>345761.65</v>
      </c>
      <c r="H87" s="98"/>
      <c r="I87" s="98"/>
      <c r="J87" s="98">
        <f t="shared" si="32"/>
        <v>0</v>
      </c>
      <c r="K87" s="98"/>
      <c r="L87" s="98"/>
      <c r="M87" s="98"/>
      <c r="N87" s="98"/>
      <c r="O87" s="98"/>
      <c r="P87" s="98">
        <f t="shared" si="31"/>
        <v>421121.46</v>
      </c>
      <c r="Q87" s="23"/>
      <c r="R87" s="32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</row>
    <row r="88" spans="1:527" s="24" customFormat="1" ht="31.5" x14ac:dyDescent="0.25">
      <c r="A88" s="83"/>
      <c r="B88" s="110"/>
      <c r="C88" s="83"/>
      <c r="D88" s="86" t="s">
        <v>389</v>
      </c>
      <c r="E88" s="100">
        <f t="shared" si="33"/>
        <v>421121.46</v>
      </c>
      <c r="F88" s="100">
        <f>381031.46+40090</f>
        <v>421121.46</v>
      </c>
      <c r="G88" s="100">
        <f>312921.65+32840</f>
        <v>345761.65</v>
      </c>
      <c r="H88" s="100"/>
      <c r="I88" s="100"/>
      <c r="J88" s="100">
        <f t="shared" si="34"/>
        <v>0</v>
      </c>
      <c r="K88" s="100"/>
      <c r="L88" s="100"/>
      <c r="M88" s="100"/>
      <c r="N88" s="100"/>
      <c r="O88" s="100"/>
      <c r="P88" s="100">
        <f t="shared" si="35"/>
        <v>421121.46</v>
      </c>
      <c r="Q88" s="30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31.5" x14ac:dyDescent="0.25">
      <c r="A89" s="59" t="s">
        <v>529</v>
      </c>
      <c r="B89" s="92">
        <v>1061</v>
      </c>
      <c r="C89" s="59" t="s">
        <v>51</v>
      </c>
      <c r="D89" s="36" t="s">
        <v>503</v>
      </c>
      <c r="E89" s="98">
        <f t="shared" si="33"/>
        <v>1064017.6000000001</v>
      </c>
      <c r="F89" s="98">
        <f>947017.6+117000</f>
        <v>1064017.6000000001</v>
      </c>
      <c r="G89" s="100"/>
      <c r="H89" s="100"/>
      <c r="I89" s="100"/>
      <c r="J89" s="98">
        <f t="shared" si="32"/>
        <v>5993725.1799999997</v>
      </c>
      <c r="K89" s="98">
        <f>6110725.18-117000</f>
        <v>5993725.1799999997</v>
      </c>
      <c r="L89" s="98"/>
      <c r="M89" s="98"/>
      <c r="N89" s="98"/>
      <c r="O89" s="98">
        <f>6110725.18-117000</f>
        <v>5993725.1799999997</v>
      </c>
      <c r="P89" s="98">
        <f t="shared" si="31"/>
        <v>7057742.7799999993</v>
      </c>
      <c r="Q89" s="30"/>
      <c r="R89" s="3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4" customFormat="1" ht="46.5" customHeight="1" x14ac:dyDescent="0.25">
      <c r="A90" s="83"/>
      <c r="B90" s="110"/>
      <c r="C90" s="83"/>
      <c r="D90" s="86" t="s">
        <v>543</v>
      </c>
      <c r="E90" s="100">
        <f>F90+I90</f>
        <v>363000</v>
      </c>
      <c r="F90" s="100">
        <f>246000+117000</f>
        <v>363000</v>
      </c>
      <c r="G90" s="100"/>
      <c r="H90" s="100"/>
      <c r="I90" s="100"/>
      <c r="J90" s="100">
        <f>L90+O90</f>
        <v>1637000</v>
      </c>
      <c r="K90" s="100">
        <f>1754000-117000</f>
        <v>1637000</v>
      </c>
      <c r="L90" s="100"/>
      <c r="M90" s="100"/>
      <c r="N90" s="100"/>
      <c r="O90" s="100">
        <f>1754000-117000</f>
        <v>1637000</v>
      </c>
      <c r="P90" s="100">
        <f t="shared" si="31"/>
        <v>2000000</v>
      </c>
      <c r="Q90" s="30"/>
      <c r="R90" s="3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</row>
    <row r="91" spans="1:527" s="24" customFormat="1" ht="31.5" x14ac:dyDescent="0.25">
      <c r="A91" s="83"/>
      <c r="B91" s="110"/>
      <c r="C91" s="83"/>
      <c r="D91" s="86" t="s">
        <v>540</v>
      </c>
      <c r="E91" s="100">
        <f t="shared" ref="E91:E93" si="36">F91+I91</f>
        <v>701017.59999999998</v>
      </c>
      <c r="F91" s="100">
        <v>701017.59999999998</v>
      </c>
      <c r="G91" s="100"/>
      <c r="H91" s="100"/>
      <c r="I91" s="100"/>
      <c r="J91" s="100">
        <f t="shared" ref="J91" si="37">L91+O91</f>
        <v>4356725.18</v>
      </c>
      <c r="K91" s="100">
        <v>4356725.18</v>
      </c>
      <c r="L91" s="100"/>
      <c r="M91" s="100"/>
      <c r="N91" s="100"/>
      <c r="O91" s="100">
        <v>4356725.18</v>
      </c>
      <c r="P91" s="100">
        <f t="shared" si="31"/>
        <v>5057742.7799999993</v>
      </c>
      <c r="Q91" s="30"/>
      <c r="R91" s="3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</row>
    <row r="92" spans="1:527" s="24" customFormat="1" ht="63" x14ac:dyDescent="0.25">
      <c r="A92" s="59" t="s">
        <v>535</v>
      </c>
      <c r="B92" s="92">
        <v>1062</v>
      </c>
      <c r="C92" s="59" t="s">
        <v>55</v>
      </c>
      <c r="D92" s="60" t="s">
        <v>504</v>
      </c>
      <c r="E92" s="98">
        <f t="shared" si="33"/>
        <v>40000</v>
      </c>
      <c r="F92" s="98">
        <v>40000</v>
      </c>
      <c r="G92" s="100"/>
      <c r="H92" s="100"/>
      <c r="I92" s="100"/>
      <c r="J92" s="98">
        <f>L92+O92</f>
        <v>0</v>
      </c>
      <c r="K92" s="100"/>
      <c r="L92" s="100"/>
      <c r="M92" s="100"/>
      <c r="N92" s="100"/>
      <c r="O92" s="100"/>
      <c r="P92" s="98">
        <f t="shared" si="31"/>
        <v>40000</v>
      </c>
      <c r="Q92" s="30"/>
      <c r="R92" s="3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4" customFormat="1" ht="31.5" x14ac:dyDescent="0.25">
      <c r="A93" s="83"/>
      <c r="B93" s="110"/>
      <c r="C93" s="83"/>
      <c r="D93" s="86" t="s">
        <v>540</v>
      </c>
      <c r="E93" s="100">
        <f t="shared" si="36"/>
        <v>40000</v>
      </c>
      <c r="F93" s="100">
        <v>40000</v>
      </c>
      <c r="G93" s="100"/>
      <c r="H93" s="100"/>
      <c r="I93" s="100"/>
      <c r="J93" s="100">
        <f>L93+O93</f>
        <v>0</v>
      </c>
      <c r="K93" s="100"/>
      <c r="L93" s="100"/>
      <c r="M93" s="100"/>
      <c r="N93" s="100"/>
      <c r="O93" s="100"/>
      <c r="P93" s="100">
        <f t="shared" si="31"/>
        <v>40000</v>
      </c>
      <c r="Q93" s="30"/>
      <c r="R93" s="3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</row>
    <row r="94" spans="1:527" s="22" customFormat="1" ht="47.25" x14ac:dyDescent="0.25">
      <c r="A94" s="59" t="s">
        <v>476</v>
      </c>
      <c r="B94" s="59" t="s">
        <v>54</v>
      </c>
      <c r="C94" s="59" t="s">
        <v>57</v>
      </c>
      <c r="D94" s="60" t="s">
        <v>365</v>
      </c>
      <c r="E94" s="98">
        <f t="shared" si="30"/>
        <v>36446395</v>
      </c>
      <c r="F94" s="98">
        <f>35044945+407200+25850+900500+67900</f>
        <v>36446395</v>
      </c>
      <c r="G94" s="98">
        <f>25836800+348600</f>
        <v>26185400</v>
      </c>
      <c r="H94" s="98">
        <f>2805445+900500+67900</f>
        <v>3773845</v>
      </c>
      <c r="I94" s="98"/>
      <c r="J94" s="98">
        <f t="shared" si="32"/>
        <v>112500</v>
      </c>
      <c r="K94" s="98">
        <v>112500</v>
      </c>
      <c r="L94" s="98"/>
      <c r="M94" s="98"/>
      <c r="N94" s="98"/>
      <c r="O94" s="98">
        <v>112500</v>
      </c>
      <c r="P94" s="98">
        <f t="shared" si="31"/>
        <v>36558895</v>
      </c>
      <c r="Q94" s="23"/>
      <c r="R94" s="32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31.5" x14ac:dyDescent="0.25">
      <c r="A95" s="59" t="s">
        <v>477</v>
      </c>
      <c r="B95" s="59" t="s">
        <v>478</v>
      </c>
      <c r="C95" s="59" t="s">
        <v>58</v>
      </c>
      <c r="D95" s="36" t="s">
        <v>510</v>
      </c>
      <c r="E95" s="98">
        <f t="shared" si="30"/>
        <v>11570150</v>
      </c>
      <c r="F95" s="98">
        <f>11387250+175200+7700</f>
        <v>11570150</v>
      </c>
      <c r="G95" s="98">
        <v>8331500</v>
      </c>
      <c r="H95" s="98">
        <f>585250+175200+7700</f>
        <v>768150</v>
      </c>
      <c r="I95" s="98"/>
      <c r="J95" s="98">
        <f t="shared" si="32"/>
        <v>0</v>
      </c>
      <c r="K95" s="98">
        <v>0</v>
      </c>
      <c r="L95" s="98"/>
      <c r="M95" s="98"/>
      <c r="N95" s="98"/>
      <c r="O95" s="98">
        <v>0</v>
      </c>
      <c r="P95" s="98">
        <f t="shared" si="31"/>
        <v>11570150</v>
      </c>
      <c r="Q95" s="23"/>
      <c r="R95" s="32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2" customFormat="1" ht="18" customHeight="1" x14ac:dyDescent="0.25">
      <c r="A96" s="59" t="s">
        <v>479</v>
      </c>
      <c r="B96" s="59" t="s">
        <v>480</v>
      </c>
      <c r="C96" s="59" t="s">
        <v>58</v>
      </c>
      <c r="D96" s="36" t="s">
        <v>281</v>
      </c>
      <c r="E96" s="98">
        <f t="shared" si="30"/>
        <v>113000</v>
      </c>
      <c r="F96" s="98">
        <v>113000</v>
      </c>
      <c r="G96" s="98"/>
      <c r="H96" s="98"/>
      <c r="I96" s="98"/>
      <c r="J96" s="98">
        <f t="shared" ref="J96" si="38">L96+O96</f>
        <v>0</v>
      </c>
      <c r="K96" s="98"/>
      <c r="L96" s="98"/>
      <c r="M96" s="98"/>
      <c r="N96" s="98"/>
      <c r="O96" s="98"/>
      <c r="P96" s="98">
        <f t="shared" ref="P96" si="39">E96+J96</f>
        <v>113000</v>
      </c>
      <c r="Q96" s="23"/>
      <c r="R96" s="32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31.5" x14ac:dyDescent="0.25">
      <c r="A97" s="59" t="s">
        <v>481</v>
      </c>
      <c r="B97" s="59" t="s">
        <v>482</v>
      </c>
      <c r="C97" s="59" t="s">
        <v>58</v>
      </c>
      <c r="D97" s="60" t="s">
        <v>483</v>
      </c>
      <c r="E97" s="98">
        <f t="shared" si="30"/>
        <v>135033</v>
      </c>
      <c r="F97" s="98">
        <f>445933-324800+13900</f>
        <v>135033</v>
      </c>
      <c r="G97" s="98">
        <f>266200-266200</f>
        <v>0</v>
      </c>
      <c r="H97" s="98">
        <f>66733+13900</f>
        <v>80633</v>
      </c>
      <c r="I97" s="98"/>
      <c r="J97" s="98">
        <f t="shared" si="32"/>
        <v>0</v>
      </c>
      <c r="K97" s="98"/>
      <c r="L97" s="98"/>
      <c r="M97" s="98"/>
      <c r="N97" s="98"/>
      <c r="O97" s="98"/>
      <c r="P97" s="98">
        <f t="shared" si="31"/>
        <v>135033</v>
      </c>
      <c r="Q97" s="23"/>
      <c r="R97" s="32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2" customFormat="1" ht="45.75" customHeight="1" x14ac:dyDescent="0.25">
      <c r="A98" s="59" t="s">
        <v>484</v>
      </c>
      <c r="B98" s="59" t="s">
        <v>485</v>
      </c>
      <c r="C98" s="59" t="str">
        <f>'дод 7'!B64</f>
        <v>0990</v>
      </c>
      <c r="D98" s="60" t="s">
        <v>505</v>
      </c>
      <c r="E98" s="98">
        <f t="shared" si="30"/>
        <v>1499036</v>
      </c>
      <c r="F98" s="98">
        <v>1499036</v>
      </c>
      <c r="G98" s="98">
        <v>1228720</v>
      </c>
      <c r="H98" s="98"/>
      <c r="I98" s="98"/>
      <c r="J98" s="98">
        <f t="shared" si="32"/>
        <v>0</v>
      </c>
      <c r="K98" s="98"/>
      <c r="L98" s="98"/>
      <c r="M98" s="98"/>
      <c r="N98" s="98"/>
      <c r="O98" s="98"/>
      <c r="P98" s="98">
        <f t="shared" si="31"/>
        <v>1499036</v>
      </c>
      <c r="Q98" s="23"/>
      <c r="R98" s="32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  <c r="TG98" s="23"/>
    </row>
    <row r="99" spans="1:527" s="24" customFormat="1" ht="45.75" customHeight="1" x14ac:dyDescent="0.25">
      <c r="A99" s="83"/>
      <c r="B99" s="83"/>
      <c r="C99" s="83"/>
      <c r="D99" s="86" t="s">
        <v>384</v>
      </c>
      <c r="E99" s="100">
        <f t="shared" si="30"/>
        <v>1499036</v>
      </c>
      <c r="F99" s="100">
        <v>1499036</v>
      </c>
      <c r="G99" s="100">
        <v>1228720</v>
      </c>
      <c r="H99" s="100"/>
      <c r="I99" s="100"/>
      <c r="J99" s="100">
        <f t="shared" si="32"/>
        <v>0</v>
      </c>
      <c r="K99" s="100"/>
      <c r="L99" s="100"/>
      <c r="M99" s="100"/>
      <c r="N99" s="100"/>
      <c r="O99" s="100"/>
      <c r="P99" s="100">
        <f t="shared" si="31"/>
        <v>1499036</v>
      </c>
      <c r="Q99" s="30"/>
      <c r="R99" s="3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2" customFormat="1" ht="36" customHeight="1" x14ac:dyDescent="0.25">
      <c r="A100" s="59" t="s">
        <v>486</v>
      </c>
      <c r="B100" s="59" t="s">
        <v>487</v>
      </c>
      <c r="C100" s="59" t="str">
        <f>'дод 7'!B65</f>
        <v>0990</v>
      </c>
      <c r="D100" s="60" t="s">
        <v>488</v>
      </c>
      <c r="E100" s="98">
        <f t="shared" si="30"/>
        <v>2552577</v>
      </c>
      <c r="F100" s="98">
        <f>2521377+9000+22200</f>
        <v>2552577</v>
      </c>
      <c r="G100" s="98">
        <f>1880000-3000</f>
        <v>1877000</v>
      </c>
      <c r="H100" s="98">
        <f>92977+22200</f>
        <v>115177</v>
      </c>
      <c r="I100" s="98"/>
      <c r="J100" s="98">
        <f t="shared" si="32"/>
        <v>41000</v>
      </c>
      <c r="K100" s="98">
        <f>50000-9000</f>
        <v>41000</v>
      </c>
      <c r="L100" s="98"/>
      <c r="M100" s="98"/>
      <c r="N100" s="98"/>
      <c r="O100" s="98">
        <f>50000-9000</f>
        <v>41000</v>
      </c>
      <c r="P100" s="98">
        <f t="shared" si="31"/>
        <v>2593577</v>
      </c>
      <c r="Q100" s="23"/>
      <c r="R100" s="3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66" customHeight="1" x14ac:dyDescent="0.25">
      <c r="A101" s="59" t="s">
        <v>566</v>
      </c>
      <c r="B101" s="59" t="s">
        <v>567</v>
      </c>
      <c r="C101" s="59" t="s">
        <v>58</v>
      </c>
      <c r="D101" s="60" t="s">
        <v>570</v>
      </c>
      <c r="E101" s="98">
        <f t="shared" si="30"/>
        <v>0</v>
      </c>
      <c r="F101" s="98"/>
      <c r="G101" s="98"/>
      <c r="H101" s="98"/>
      <c r="I101" s="98"/>
      <c r="J101" s="98">
        <f t="shared" si="32"/>
        <v>1522670</v>
      </c>
      <c r="K101" s="98">
        <f>1610670-88000</f>
        <v>1522670</v>
      </c>
      <c r="L101" s="98"/>
      <c r="M101" s="98"/>
      <c r="N101" s="98"/>
      <c r="O101" s="98">
        <f>1610670-88000</f>
        <v>1522670</v>
      </c>
      <c r="P101" s="98">
        <f t="shared" si="31"/>
        <v>1522670</v>
      </c>
      <c r="Q101" s="23"/>
      <c r="R101" s="32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2" customFormat="1" ht="63" x14ac:dyDescent="0.25">
      <c r="A102" s="59" t="s">
        <v>555</v>
      </c>
      <c r="B102" s="59" t="s">
        <v>557</v>
      </c>
      <c r="C102" s="59" t="s">
        <v>58</v>
      </c>
      <c r="D102" s="60" t="s">
        <v>616</v>
      </c>
      <c r="E102" s="98">
        <f t="shared" si="30"/>
        <v>287772</v>
      </c>
      <c r="F102" s="98">
        <v>287772</v>
      </c>
      <c r="G102" s="98"/>
      <c r="H102" s="98"/>
      <c r="I102" s="98"/>
      <c r="J102" s="98">
        <f t="shared" si="32"/>
        <v>2859728</v>
      </c>
      <c r="K102" s="98">
        <v>2859728</v>
      </c>
      <c r="L102" s="98"/>
      <c r="M102" s="98"/>
      <c r="N102" s="98"/>
      <c r="O102" s="98">
        <v>2859728</v>
      </c>
      <c r="P102" s="98">
        <f t="shared" si="31"/>
        <v>3147500</v>
      </c>
      <c r="Q102" s="23"/>
      <c r="R102" s="32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</row>
    <row r="103" spans="1:527" s="24" customFormat="1" ht="52.5" customHeight="1" x14ac:dyDescent="0.25">
      <c r="A103" s="83"/>
      <c r="B103" s="83"/>
      <c r="C103" s="83"/>
      <c r="D103" s="86" t="s">
        <v>602</v>
      </c>
      <c r="E103" s="100">
        <f t="shared" si="30"/>
        <v>287772</v>
      </c>
      <c r="F103" s="100">
        <v>287772</v>
      </c>
      <c r="G103" s="100"/>
      <c r="H103" s="100"/>
      <c r="I103" s="100"/>
      <c r="J103" s="100">
        <f t="shared" si="32"/>
        <v>2859728</v>
      </c>
      <c r="K103" s="100">
        <v>2859728</v>
      </c>
      <c r="L103" s="100"/>
      <c r="M103" s="100"/>
      <c r="N103" s="100"/>
      <c r="O103" s="100">
        <v>2859728</v>
      </c>
      <c r="P103" s="100">
        <f t="shared" si="31"/>
        <v>3147500</v>
      </c>
      <c r="Q103" s="30"/>
      <c r="R103" s="3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2" customFormat="1" ht="84.75" customHeight="1" x14ac:dyDescent="0.25">
      <c r="A104" s="59" t="s">
        <v>568</v>
      </c>
      <c r="B104" s="59" t="s">
        <v>569</v>
      </c>
      <c r="C104" s="59" t="s">
        <v>58</v>
      </c>
      <c r="D104" s="60" t="s">
        <v>595</v>
      </c>
      <c r="E104" s="98">
        <f t="shared" si="30"/>
        <v>2092093.9</v>
      </c>
      <c r="F104" s="98">
        <f>2037825+54276+11295.9-11303</f>
        <v>2092093.9</v>
      </c>
      <c r="G104" s="98"/>
      <c r="H104" s="98"/>
      <c r="I104" s="98"/>
      <c r="J104" s="98">
        <f t="shared" si="32"/>
        <v>364158.1</v>
      </c>
      <c r="K104" s="98">
        <f>330427+88000-54276-11295.9+11303</f>
        <v>364158.1</v>
      </c>
      <c r="L104" s="98"/>
      <c r="M104" s="98"/>
      <c r="N104" s="98"/>
      <c r="O104" s="98">
        <f>330427+88000-54276-11295.9+11303</f>
        <v>364158.1</v>
      </c>
      <c r="P104" s="98">
        <f t="shared" si="31"/>
        <v>2456252</v>
      </c>
      <c r="Q104" s="23"/>
      <c r="R104" s="32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</row>
    <row r="105" spans="1:527" s="22" customFormat="1" ht="21" customHeight="1" x14ac:dyDescent="0.25">
      <c r="A105" s="59"/>
      <c r="B105" s="59"/>
      <c r="C105" s="59"/>
      <c r="D105" s="86" t="s">
        <v>395</v>
      </c>
      <c r="E105" s="100">
        <f t="shared" si="30"/>
        <v>150000</v>
      </c>
      <c r="F105" s="100">
        <v>150000</v>
      </c>
      <c r="G105" s="98"/>
      <c r="H105" s="98"/>
      <c r="I105" s="98"/>
      <c r="J105" s="100">
        <f t="shared" si="32"/>
        <v>0</v>
      </c>
      <c r="K105" s="98"/>
      <c r="L105" s="98"/>
      <c r="M105" s="98"/>
      <c r="N105" s="98"/>
      <c r="O105" s="98"/>
      <c r="P105" s="100">
        <f t="shared" si="31"/>
        <v>150000</v>
      </c>
      <c r="Q105" s="23"/>
      <c r="R105" s="32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</row>
    <row r="106" spans="1:527" s="22" customFormat="1" ht="78.75" x14ac:dyDescent="0.25">
      <c r="A106" s="59" t="s">
        <v>556</v>
      </c>
      <c r="B106" s="59" t="s">
        <v>558</v>
      </c>
      <c r="C106" s="59" t="s">
        <v>58</v>
      </c>
      <c r="D106" s="60" t="s">
        <v>603</v>
      </c>
      <c r="E106" s="98">
        <f t="shared" si="30"/>
        <v>4801508.3</v>
      </c>
      <c r="F106" s="98">
        <f>6109696+126648+26357.1-1461192.8</f>
        <v>4801508.3</v>
      </c>
      <c r="G106" s="98">
        <f>57829-57829</f>
        <v>0</v>
      </c>
      <c r="H106" s="98"/>
      <c r="I106" s="98"/>
      <c r="J106" s="98">
        <f t="shared" si="32"/>
        <v>644352.70000000007</v>
      </c>
      <c r="K106" s="98">
        <f>797367-126648-26357.1-9.2</f>
        <v>644352.70000000007</v>
      </c>
      <c r="L106" s="98"/>
      <c r="M106" s="98"/>
      <c r="N106" s="98"/>
      <c r="O106" s="98">
        <f>797367-126648-26357.1-9.2</f>
        <v>644352.70000000007</v>
      </c>
      <c r="P106" s="98">
        <f t="shared" si="31"/>
        <v>5445861</v>
      </c>
      <c r="Q106" s="23"/>
      <c r="R106" s="32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</row>
    <row r="107" spans="1:527" s="24" customFormat="1" ht="79.5" customHeight="1" x14ac:dyDescent="0.25">
      <c r="A107" s="83"/>
      <c r="B107" s="83"/>
      <c r="C107" s="83"/>
      <c r="D107" s="86" t="s">
        <v>559</v>
      </c>
      <c r="E107" s="100">
        <f t="shared" si="30"/>
        <v>4801508.3</v>
      </c>
      <c r="F107" s="100">
        <f>6109696+126648+26357.1-1461192.8</f>
        <v>4801508.3</v>
      </c>
      <c r="G107" s="100">
        <f>57829-57829</f>
        <v>0</v>
      </c>
      <c r="H107" s="100"/>
      <c r="I107" s="100"/>
      <c r="J107" s="100">
        <f t="shared" si="32"/>
        <v>644352.70000000007</v>
      </c>
      <c r="K107" s="100">
        <f>797367-126648-26357.1-9.2</f>
        <v>644352.70000000007</v>
      </c>
      <c r="L107" s="100"/>
      <c r="M107" s="100"/>
      <c r="N107" s="100"/>
      <c r="O107" s="100">
        <f>797367-126648-26357.1-9.2</f>
        <v>644352.70000000007</v>
      </c>
      <c r="P107" s="100">
        <f t="shared" si="31"/>
        <v>5445861</v>
      </c>
      <c r="Q107" s="30"/>
      <c r="R107" s="3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2" customFormat="1" ht="65.25" customHeight="1" x14ac:dyDescent="0.25">
      <c r="A108" s="59" t="s">
        <v>489</v>
      </c>
      <c r="B108" s="59" t="s">
        <v>490</v>
      </c>
      <c r="C108" s="59" t="s">
        <v>58</v>
      </c>
      <c r="D108" s="93" t="s">
        <v>506</v>
      </c>
      <c r="E108" s="98">
        <f t="shared" si="30"/>
        <v>2417470</v>
      </c>
      <c r="F108" s="98">
        <f>2612700-195230</f>
        <v>2417470</v>
      </c>
      <c r="G108" s="98">
        <f>1459720-160025</f>
        <v>1299695</v>
      </c>
      <c r="H108" s="98"/>
      <c r="I108" s="98"/>
      <c r="J108" s="98">
        <f t="shared" si="32"/>
        <v>72000</v>
      </c>
      <c r="K108" s="98">
        <v>72000</v>
      </c>
      <c r="L108" s="98"/>
      <c r="M108" s="98"/>
      <c r="N108" s="98"/>
      <c r="O108" s="98">
        <v>72000</v>
      </c>
      <c r="P108" s="98">
        <f t="shared" si="31"/>
        <v>2489470</v>
      </c>
      <c r="Q108" s="23"/>
      <c r="R108" s="32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</row>
    <row r="109" spans="1:527" s="24" customFormat="1" ht="63" x14ac:dyDescent="0.25">
      <c r="A109" s="83"/>
      <c r="B109" s="110"/>
      <c r="C109" s="110"/>
      <c r="D109" s="86" t="s">
        <v>383</v>
      </c>
      <c r="E109" s="100">
        <f t="shared" si="30"/>
        <v>2417470</v>
      </c>
      <c r="F109" s="100">
        <f>2612700-195230</f>
        <v>2417470</v>
      </c>
      <c r="G109" s="100">
        <f>1459720-160025</f>
        <v>1299695</v>
      </c>
      <c r="H109" s="100"/>
      <c r="I109" s="100"/>
      <c r="J109" s="100">
        <f t="shared" si="32"/>
        <v>72000</v>
      </c>
      <c r="K109" s="100">
        <v>72000</v>
      </c>
      <c r="L109" s="100"/>
      <c r="M109" s="100"/>
      <c r="N109" s="100"/>
      <c r="O109" s="100">
        <v>72000</v>
      </c>
      <c r="P109" s="100">
        <f t="shared" si="31"/>
        <v>2489470</v>
      </c>
      <c r="Q109" s="30"/>
      <c r="R109" s="3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78.75" x14ac:dyDescent="0.25">
      <c r="A110" s="59" t="s">
        <v>521</v>
      </c>
      <c r="B110" s="92">
        <v>1210</v>
      </c>
      <c r="C110" s="59" t="s">
        <v>58</v>
      </c>
      <c r="D110" s="36" t="s">
        <v>522</v>
      </c>
      <c r="E110" s="98">
        <f t="shared" si="30"/>
        <v>1315285.79</v>
      </c>
      <c r="F110" s="98">
        <f>1174231+141054.79</f>
        <v>1315285.79</v>
      </c>
      <c r="G110" s="98">
        <f>962484+72136</f>
        <v>1034620</v>
      </c>
      <c r="H110" s="100"/>
      <c r="I110" s="100"/>
      <c r="J110" s="98">
        <f t="shared" si="32"/>
        <v>0</v>
      </c>
      <c r="K110" s="100"/>
      <c r="L110" s="100"/>
      <c r="M110" s="100"/>
      <c r="N110" s="100"/>
      <c r="O110" s="100"/>
      <c r="P110" s="98">
        <f t="shared" si="31"/>
        <v>1315285.79</v>
      </c>
      <c r="Q110" s="30"/>
      <c r="R110" s="3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78.75" customHeight="1" x14ac:dyDescent="0.25">
      <c r="A111" s="83"/>
      <c r="B111" s="110"/>
      <c r="C111" s="110"/>
      <c r="D111" s="86" t="s">
        <v>523</v>
      </c>
      <c r="E111" s="100">
        <f t="shared" si="30"/>
        <v>1315285.79</v>
      </c>
      <c r="F111" s="100">
        <f>1174231+141054.79</f>
        <v>1315285.79</v>
      </c>
      <c r="G111" s="100">
        <f>962484+72136</f>
        <v>1034620</v>
      </c>
      <c r="H111" s="100"/>
      <c r="I111" s="100"/>
      <c r="J111" s="100">
        <f t="shared" si="32"/>
        <v>0</v>
      </c>
      <c r="K111" s="100"/>
      <c r="L111" s="100"/>
      <c r="M111" s="100"/>
      <c r="N111" s="100"/>
      <c r="O111" s="100"/>
      <c r="P111" s="100">
        <f t="shared" si="31"/>
        <v>1315285.79</v>
      </c>
      <c r="Q111" s="30"/>
      <c r="R111" s="3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64.5" customHeight="1" x14ac:dyDescent="0.25">
      <c r="A112" s="59" t="s">
        <v>491</v>
      </c>
      <c r="B112" s="92">
        <v>3140</v>
      </c>
      <c r="C112" s="92">
        <v>1040</v>
      </c>
      <c r="D112" s="6" t="s">
        <v>20</v>
      </c>
      <c r="E112" s="98">
        <f t="shared" si="30"/>
        <v>5500000</v>
      </c>
      <c r="F112" s="98">
        <v>5500000</v>
      </c>
      <c r="G112" s="98"/>
      <c r="H112" s="98"/>
      <c r="I112" s="98"/>
      <c r="J112" s="98">
        <f t="shared" si="32"/>
        <v>0</v>
      </c>
      <c r="K112" s="100"/>
      <c r="L112" s="100"/>
      <c r="M112" s="100"/>
      <c r="N112" s="100"/>
      <c r="O112" s="100"/>
      <c r="P112" s="98">
        <f t="shared" si="31"/>
        <v>5500000</v>
      </c>
      <c r="Q112" s="30"/>
      <c r="R112" s="3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31.5" x14ac:dyDescent="0.25">
      <c r="A113" s="59" t="s">
        <v>492</v>
      </c>
      <c r="B113" s="92">
        <v>3242</v>
      </c>
      <c r="C113" s="92">
        <v>1090</v>
      </c>
      <c r="D113" s="36" t="s">
        <v>412</v>
      </c>
      <c r="E113" s="98">
        <f t="shared" si="30"/>
        <v>59730</v>
      </c>
      <c r="F113" s="98">
        <f>54300+5430</f>
        <v>59730</v>
      </c>
      <c r="G113" s="98"/>
      <c r="H113" s="98"/>
      <c r="I113" s="98"/>
      <c r="J113" s="98">
        <f t="shared" si="32"/>
        <v>0</v>
      </c>
      <c r="K113" s="100"/>
      <c r="L113" s="100"/>
      <c r="M113" s="100"/>
      <c r="N113" s="100"/>
      <c r="O113" s="100"/>
      <c r="P113" s="98">
        <f t="shared" si="31"/>
        <v>59730</v>
      </c>
      <c r="Q113" s="30"/>
      <c r="R113" s="3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47.25" x14ac:dyDescent="0.25">
      <c r="A114" s="59" t="s">
        <v>494</v>
      </c>
      <c r="B114" s="92">
        <v>5031</v>
      </c>
      <c r="C114" s="59" t="s">
        <v>80</v>
      </c>
      <c r="D114" s="3" t="s">
        <v>562</v>
      </c>
      <c r="E114" s="98">
        <f t="shared" si="30"/>
        <v>8855725</v>
      </c>
      <c r="F114" s="98">
        <f>8813255+70500-25700+3100-5430</f>
        <v>8855725</v>
      </c>
      <c r="G114" s="98">
        <v>6510800</v>
      </c>
      <c r="H114" s="98">
        <f>202167+70500+3100</f>
        <v>275767</v>
      </c>
      <c r="I114" s="98"/>
      <c r="J114" s="98">
        <f t="shared" si="32"/>
        <v>0</v>
      </c>
      <c r="K114" s="100"/>
      <c r="L114" s="100"/>
      <c r="M114" s="100"/>
      <c r="N114" s="100"/>
      <c r="O114" s="100"/>
      <c r="P114" s="98">
        <f t="shared" si="31"/>
        <v>8855725</v>
      </c>
      <c r="Q114" s="30"/>
      <c r="R114" s="3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23.25" customHeight="1" x14ac:dyDescent="0.25">
      <c r="A115" s="83"/>
      <c r="B115" s="110"/>
      <c r="C115" s="83"/>
      <c r="D115" s="86" t="s">
        <v>395</v>
      </c>
      <c r="E115" s="100">
        <f t="shared" si="30"/>
        <v>134064</v>
      </c>
      <c r="F115" s="100">
        <v>134064</v>
      </c>
      <c r="G115" s="100"/>
      <c r="H115" s="100"/>
      <c r="I115" s="100"/>
      <c r="J115" s="100">
        <f t="shared" si="32"/>
        <v>0</v>
      </c>
      <c r="K115" s="100"/>
      <c r="L115" s="100"/>
      <c r="M115" s="100"/>
      <c r="N115" s="100"/>
      <c r="O115" s="100"/>
      <c r="P115" s="100">
        <f t="shared" si="31"/>
        <v>134064</v>
      </c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34.5" x14ac:dyDescent="0.25">
      <c r="A116" s="59" t="s">
        <v>495</v>
      </c>
      <c r="B116" s="92">
        <v>7321</v>
      </c>
      <c r="C116" s="59" t="s">
        <v>111</v>
      </c>
      <c r="D116" s="6" t="s">
        <v>608</v>
      </c>
      <c r="E116" s="98">
        <f t="shared" si="30"/>
        <v>0</v>
      </c>
      <c r="F116" s="98"/>
      <c r="G116" s="98"/>
      <c r="H116" s="98"/>
      <c r="I116" s="98"/>
      <c r="J116" s="98">
        <f t="shared" si="32"/>
        <v>24543487.5</v>
      </c>
      <c r="K116" s="98">
        <f>24799566-17200+12502+204100+323280+207900+392634+299500-700000-276038.5-36286-588880-77590</f>
        <v>24543487.5</v>
      </c>
      <c r="L116" s="98"/>
      <c r="M116" s="98"/>
      <c r="N116" s="98"/>
      <c r="O116" s="98">
        <f>24799566-17200+12502+204100+323280+207900+392634+299500-700000-276038.5-36286-588880-77590</f>
        <v>24543487.5</v>
      </c>
      <c r="P116" s="98">
        <f t="shared" si="31"/>
        <v>24543487.5</v>
      </c>
      <c r="Q116" s="30"/>
      <c r="R116" s="3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18.75" customHeight="1" x14ac:dyDescent="0.25">
      <c r="A117" s="59"/>
      <c r="B117" s="92"/>
      <c r="C117" s="59"/>
      <c r="D117" s="86" t="s">
        <v>395</v>
      </c>
      <c r="E117" s="100">
        <f t="shared" si="30"/>
        <v>0</v>
      </c>
      <c r="F117" s="98"/>
      <c r="G117" s="98"/>
      <c r="H117" s="98"/>
      <c r="I117" s="98"/>
      <c r="J117" s="100">
        <f t="shared" si="32"/>
        <v>250000</v>
      </c>
      <c r="K117" s="100">
        <v>250000</v>
      </c>
      <c r="L117" s="98"/>
      <c r="M117" s="98"/>
      <c r="N117" s="98"/>
      <c r="O117" s="100">
        <v>250000</v>
      </c>
      <c r="P117" s="100">
        <f t="shared" si="31"/>
        <v>250000</v>
      </c>
      <c r="Q117" s="30"/>
      <c r="R117" s="3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51" customHeight="1" x14ac:dyDescent="0.25">
      <c r="A118" s="59" t="s">
        <v>552</v>
      </c>
      <c r="B118" s="92">
        <v>7363</v>
      </c>
      <c r="C118" s="59" t="s">
        <v>82</v>
      </c>
      <c r="D118" s="6" t="s">
        <v>398</v>
      </c>
      <c r="E118" s="98">
        <f t="shared" si="30"/>
        <v>0</v>
      </c>
      <c r="F118" s="98"/>
      <c r="G118" s="98"/>
      <c r="H118" s="98"/>
      <c r="I118" s="98"/>
      <c r="J118" s="98">
        <f t="shared" si="32"/>
        <v>20939667</v>
      </c>
      <c r="K118" s="98">
        <f>11792250+6755557+25000+700000+197000+100000+320000+40000-3149560+588880+77590</f>
        <v>17446717</v>
      </c>
      <c r="L118" s="98"/>
      <c r="M118" s="98"/>
      <c r="N118" s="98"/>
      <c r="O118" s="98">
        <f>15285200+6755557+25000+700000+197000+100000+320000+40000-3149560+588880+77590</f>
        <v>20939667</v>
      </c>
      <c r="P118" s="98">
        <f t="shared" si="31"/>
        <v>20939667</v>
      </c>
      <c r="Q118" s="30"/>
      <c r="R118" s="3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47.25" x14ac:dyDescent="0.25">
      <c r="A119" s="83"/>
      <c r="B119" s="110"/>
      <c r="C119" s="83"/>
      <c r="D119" s="80" t="s">
        <v>563</v>
      </c>
      <c r="E119" s="100">
        <f t="shared" si="30"/>
        <v>0</v>
      </c>
      <c r="F119" s="100"/>
      <c r="G119" s="100"/>
      <c r="H119" s="100"/>
      <c r="I119" s="100"/>
      <c r="J119" s="100">
        <f t="shared" si="32"/>
        <v>13762433</v>
      </c>
      <c r="K119" s="100">
        <f>6006486+6755557-2492560</f>
        <v>10269483</v>
      </c>
      <c r="L119" s="100"/>
      <c r="M119" s="100"/>
      <c r="N119" s="100"/>
      <c r="O119" s="100">
        <f>9499436+6755557-2492560</f>
        <v>13762433</v>
      </c>
      <c r="P119" s="100">
        <f t="shared" si="31"/>
        <v>13762433</v>
      </c>
      <c r="Q119" s="30"/>
      <c r="R119" s="3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21" customHeight="1" x14ac:dyDescent="0.25">
      <c r="A120" s="59" t="s">
        <v>496</v>
      </c>
      <c r="B120" s="92">
        <v>7640</v>
      </c>
      <c r="C120" s="59" t="s">
        <v>86</v>
      </c>
      <c r="D120" s="3" t="s">
        <v>422</v>
      </c>
      <c r="E120" s="98">
        <f t="shared" si="30"/>
        <v>665150</v>
      </c>
      <c r="F120" s="98">
        <f>691000-25850</f>
        <v>665150</v>
      </c>
      <c r="G120" s="98"/>
      <c r="H120" s="98"/>
      <c r="I120" s="98"/>
      <c r="J120" s="98">
        <f t="shared" si="32"/>
        <v>11580816</v>
      </c>
      <c r="K120" s="98">
        <f>11554696-53880+80000</f>
        <v>11580816</v>
      </c>
      <c r="L120" s="98"/>
      <c r="M120" s="98"/>
      <c r="N120" s="98"/>
      <c r="O120" s="98">
        <f>11554696-53880+80000</f>
        <v>11580816</v>
      </c>
      <c r="P120" s="98">
        <f t="shared" si="31"/>
        <v>12245966</v>
      </c>
      <c r="Q120" s="30"/>
      <c r="R120" s="3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47.25" x14ac:dyDescent="0.25">
      <c r="A121" s="59" t="s">
        <v>499</v>
      </c>
      <c r="B121" s="92">
        <v>7700</v>
      </c>
      <c r="C121" s="59" t="s">
        <v>93</v>
      </c>
      <c r="D121" s="3" t="s">
        <v>362</v>
      </c>
      <c r="E121" s="98">
        <f t="shared" si="30"/>
        <v>0</v>
      </c>
      <c r="F121" s="98"/>
      <c r="G121" s="98"/>
      <c r="H121" s="98"/>
      <c r="I121" s="98"/>
      <c r="J121" s="98">
        <f t="shared" si="32"/>
        <v>630000</v>
      </c>
      <c r="K121" s="98"/>
      <c r="L121" s="98"/>
      <c r="M121" s="98"/>
      <c r="N121" s="98"/>
      <c r="O121" s="98">
        <v>630000</v>
      </c>
      <c r="P121" s="98">
        <f t="shared" si="31"/>
        <v>630000</v>
      </c>
      <c r="Q121" s="30"/>
      <c r="R121" s="3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4" customFormat="1" ht="37.5" customHeight="1" x14ac:dyDescent="0.25">
      <c r="A122" s="59" t="s">
        <v>497</v>
      </c>
      <c r="B122" s="92">
        <v>8340</v>
      </c>
      <c r="C122" s="59" t="s">
        <v>92</v>
      </c>
      <c r="D122" s="3" t="s">
        <v>10</v>
      </c>
      <c r="E122" s="98">
        <f t="shared" si="30"/>
        <v>0</v>
      </c>
      <c r="F122" s="98"/>
      <c r="G122" s="98"/>
      <c r="H122" s="98"/>
      <c r="I122" s="98"/>
      <c r="J122" s="98">
        <f t="shared" si="32"/>
        <v>625000</v>
      </c>
      <c r="K122" s="98"/>
      <c r="L122" s="98">
        <v>575100</v>
      </c>
      <c r="M122" s="98"/>
      <c r="N122" s="98"/>
      <c r="O122" s="98">
        <v>49900</v>
      </c>
      <c r="P122" s="98">
        <f t="shared" si="31"/>
        <v>625000</v>
      </c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</row>
    <row r="123" spans="1:527" s="24" customFormat="1" ht="47.25" x14ac:dyDescent="0.25">
      <c r="A123" s="59" t="s">
        <v>536</v>
      </c>
      <c r="B123" s="92">
        <v>9320</v>
      </c>
      <c r="C123" s="59" t="s">
        <v>45</v>
      </c>
      <c r="D123" s="6" t="s">
        <v>609</v>
      </c>
      <c r="E123" s="98">
        <f t="shared" si="30"/>
        <v>693000</v>
      </c>
      <c r="F123" s="98">
        <v>693000</v>
      </c>
      <c r="G123" s="98"/>
      <c r="H123" s="98"/>
      <c r="I123" s="98"/>
      <c r="J123" s="98">
        <f t="shared" si="32"/>
        <v>3307000</v>
      </c>
      <c r="K123" s="98">
        <v>3307000</v>
      </c>
      <c r="L123" s="98"/>
      <c r="M123" s="98"/>
      <c r="N123" s="98"/>
      <c r="O123" s="98">
        <v>3307000</v>
      </c>
      <c r="P123" s="98">
        <f t="shared" si="31"/>
        <v>4000000</v>
      </c>
      <c r="Q123" s="30"/>
      <c r="R123" s="3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31.5" x14ac:dyDescent="0.25">
      <c r="A124" s="83"/>
      <c r="B124" s="110"/>
      <c r="C124" s="83"/>
      <c r="D124" s="86" t="s">
        <v>531</v>
      </c>
      <c r="E124" s="100">
        <f t="shared" si="30"/>
        <v>693000</v>
      </c>
      <c r="F124" s="100">
        <v>693000</v>
      </c>
      <c r="G124" s="100"/>
      <c r="H124" s="100"/>
      <c r="I124" s="100"/>
      <c r="J124" s="100">
        <f t="shared" si="32"/>
        <v>3307000</v>
      </c>
      <c r="K124" s="100">
        <v>3307000</v>
      </c>
      <c r="L124" s="100"/>
      <c r="M124" s="100"/>
      <c r="N124" s="100"/>
      <c r="O124" s="100">
        <v>3307000</v>
      </c>
      <c r="P124" s="100">
        <f t="shared" si="31"/>
        <v>4000000</v>
      </c>
      <c r="Q124" s="30"/>
      <c r="R124" s="3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22.5" customHeight="1" x14ac:dyDescent="0.25">
      <c r="A125" s="59" t="s">
        <v>498</v>
      </c>
      <c r="B125" s="92">
        <v>9770</v>
      </c>
      <c r="C125" s="59" t="s">
        <v>45</v>
      </c>
      <c r="D125" s="6" t="s">
        <v>356</v>
      </c>
      <c r="E125" s="98">
        <f t="shared" ref="E125" si="40">F125+I125</f>
        <v>72650000</v>
      </c>
      <c r="F125" s="98">
        <f>67650000+5000000</f>
        <v>72650000</v>
      </c>
      <c r="G125" s="98"/>
      <c r="H125" s="98"/>
      <c r="I125" s="98"/>
      <c r="J125" s="98">
        <f t="shared" ref="J125" si="41">L125+O125</f>
        <v>1256508</v>
      </c>
      <c r="K125" s="98">
        <v>1256508</v>
      </c>
      <c r="L125" s="98"/>
      <c r="M125" s="98"/>
      <c r="N125" s="98"/>
      <c r="O125" s="98">
        <v>1256508</v>
      </c>
      <c r="P125" s="98">
        <f t="shared" ref="P125" si="42">E125+J125</f>
        <v>73906508</v>
      </c>
      <c r="Q125" s="30"/>
      <c r="R125" s="3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4" customFormat="1" ht="48.75" customHeight="1" x14ac:dyDescent="0.25">
      <c r="A126" s="59" t="s">
        <v>526</v>
      </c>
      <c r="B126" s="92">
        <v>9800</v>
      </c>
      <c r="C126" s="59" t="s">
        <v>45</v>
      </c>
      <c r="D126" s="6" t="s">
        <v>367</v>
      </c>
      <c r="E126" s="98">
        <f t="shared" si="30"/>
        <v>58930</v>
      </c>
      <c r="F126" s="98">
        <f>49600+9330</f>
        <v>58930</v>
      </c>
      <c r="G126" s="98"/>
      <c r="H126" s="98"/>
      <c r="I126" s="98"/>
      <c r="J126" s="98">
        <f t="shared" si="32"/>
        <v>0</v>
      </c>
      <c r="K126" s="98"/>
      <c r="L126" s="98"/>
      <c r="M126" s="98"/>
      <c r="N126" s="98"/>
      <c r="O126" s="98"/>
      <c r="P126" s="98">
        <f t="shared" si="31"/>
        <v>58930</v>
      </c>
      <c r="Q126" s="30"/>
      <c r="R126" s="3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</row>
    <row r="127" spans="1:527" s="27" customFormat="1" ht="33.75" customHeight="1" x14ac:dyDescent="0.25">
      <c r="A127" s="109" t="s">
        <v>169</v>
      </c>
      <c r="B127" s="111"/>
      <c r="C127" s="111"/>
      <c r="D127" s="106" t="s">
        <v>462</v>
      </c>
      <c r="E127" s="94">
        <f>E128</f>
        <v>100297931.23</v>
      </c>
      <c r="F127" s="94">
        <f t="shared" ref="F127:P127" si="43">F128</f>
        <v>100297931.23</v>
      </c>
      <c r="G127" s="94">
        <f t="shared" si="43"/>
        <v>4343800</v>
      </c>
      <c r="H127" s="94">
        <f t="shared" si="43"/>
        <v>119268</v>
      </c>
      <c r="I127" s="94">
        <f t="shared" si="43"/>
        <v>0</v>
      </c>
      <c r="J127" s="94">
        <f t="shared" si="43"/>
        <v>159953805.37</v>
      </c>
      <c r="K127" s="94">
        <f t="shared" si="43"/>
        <v>154953805.37</v>
      </c>
      <c r="L127" s="94">
        <f t="shared" si="43"/>
        <v>0</v>
      </c>
      <c r="M127" s="94">
        <f t="shared" si="43"/>
        <v>0</v>
      </c>
      <c r="N127" s="94">
        <f t="shared" si="43"/>
        <v>0</v>
      </c>
      <c r="O127" s="94">
        <f t="shared" si="43"/>
        <v>159953805.37</v>
      </c>
      <c r="P127" s="94">
        <f t="shared" si="43"/>
        <v>260251736.60000002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</row>
    <row r="128" spans="1:527" s="34" customFormat="1" ht="33" customHeight="1" x14ac:dyDescent="0.25">
      <c r="A128" s="95" t="s">
        <v>170</v>
      </c>
      <c r="B128" s="108"/>
      <c r="C128" s="108"/>
      <c r="D128" s="76" t="s">
        <v>468</v>
      </c>
      <c r="E128" s="97">
        <f>E137+E138+E144+E146+E148+E150+E153+E154+E155+E157+E158+E160+E162+E163+E143</f>
        <v>100297931.23</v>
      </c>
      <c r="F128" s="97">
        <f t="shared" ref="F128:P128" si="44">F137+F138+F144+F146+F148+F150+F153+F154+F155+F157+F158+F160+F162+F163+F143</f>
        <v>100297931.23</v>
      </c>
      <c r="G128" s="97">
        <f t="shared" si="44"/>
        <v>4343800</v>
      </c>
      <c r="H128" s="97">
        <f t="shared" si="44"/>
        <v>119268</v>
      </c>
      <c r="I128" s="97">
        <f t="shared" si="44"/>
        <v>0</v>
      </c>
      <c r="J128" s="97">
        <f t="shared" si="44"/>
        <v>159953805.37</v>
      </c>
      <c r="K128" s="97">
        <f>K137+K138+K144+K146+K148+K150+K153+K154+K155+K157+K158+K160+K162+K163+K143</f>
        <v>154953805.37</v>
      </c>
      <c r="L128" s="97">
        <f t="shared" si="44"/>
        <v>0</v>
      </c>
      <c r="M128" s="97">
        <f t="shared" si="44"/>
        <v>0</v>
      </c>
      <c r="N128" s="97">
        <f t="shared" si="44"/>
        <v>0</v>
      </c>
      <c r="O128" s="97">
        <f t="shared" si="44"/>
        <v>159953805.37</v>
      </c>
      <c r="P128" s="97">
        <f t="shared" si="44"/>
        <v>260251736.60000002</v>
      </c>
      <c r="Q128" s="33"/>
      <c r="R128" s="3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31.5" hidden="1" customHeight="1" x14ac:dyDescent="0.25">
      <c r="A129" s="95"/>
      <c r="B129" s="108"/>
      <c r="C129" s="108"/>
      <c r="D129" s="76" t="s">
        <v>390</v>
      </c>
      <c r="E129" s="97">
        <f>E139+E145+E147</f>
        <v>0</v>
      </c>
      <c r="F129" s="97">
        <f t="shared" ref="F129:P129" si="45">F139+F145+F147</f>
        <v>0</v>
      </c>
      <c r="G129" s="97">
        <f t="shared" si="45"/>
        <v>0</v>
      </c>
      <c r="H129" s="97">
        <f t="shared" si="45"/>
        <v>0</v>
      </c>
      <c r="I129" s="97">
        <f t="shared" si="45"/>
        <v>0</v>
      </c>
      <c r="J129" s="97">
        <f t="shared" si="45"/>
        <v>0</v>
      </c>
      <c r="K129" s="97">
        <f t="shared" si="45"/>
        <v>0</v>
      </c>
      <c r="L129" s="97">
        <f t="shared" si="45"/>
        <v>0</v>
      </c>
      <c r="M129" s="97">
        <f t="shared" si="45"/>
        <v>0</v>
      </c>
      <c r="N129" s="97">
        <f t="shared" si="45"/>
        <v>0</v>
      </c>
      <c r="O129" s="97">
        <f t="shared" si="45"/>
        <v>0</v>
      </c>
      <c r="P129" s="97">
        <f t="shared" si="45"/>
        <v>0</v>
      </c>
      <c r="Q129" s="33"/>
      <c r="R129" s="3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34" customFormat="1" ht="63" hidden="1" customHeight="1" x14ac:dyDescent="0.25">
      <c r="A130" s="95"/>
      <c r="B130" s="108"/>
      <c r="C130" s="108"/>
      <c r="D130" s="76" t="s">
        <v>388</v>
      </c>
      <c r="E130" s="97">
        <f>E159</f>
        <v>0</v>
      </c>
      <c r="F130" s="97">
        <f>F159</f>
        <v>0</v>
      </c>
      <c r="G130" s="97">
        <f t="shared" ref="G130:I130" si="46">G159</f>
        <v>0</v>
      </c>
      <c r="H130" s="97">
        <f t="shared" si="46"/>
        <v>0</v>
      </c>
      <c r="I130" s="97">
        <f t="shared" si="46"/>
        <v>0</v>
      </c>
      <c r="J130" s="97">
        <f>J159</f>
        <v>3580860</v>
      </c>
      <c r="K130" s="97">
        <f t="shared" ref="K130:P130" si="47">K159</f>
        <v>3580860</v>
      </c>
      <c r="L130" s="97">
        <f t="shared" si="47"/>
        <v>0</v>
      </c>
      <c r="M130" s="97">
        <f t="shared" si="47"/>
        <v>0</v>
      </c>
      <c r="N130" s="97">
        <f t="shared" si="47"/>
        <v>0</v>
      </c>
      <c r="O130" s="97">
        <f t="shared" si="47"/>
        <v>3580860</v>
      </c>
      <c r="P130" s="97">
        <f t="shared" si="47"/>
        <v>3580860</v>
      </c>
      <c r="Q130" s="33"/>
      <c r="R130" s="3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</row>
    <row r="131" spans="1:527" s="34" customFormat="1" ht="47.25" hidden="1" customHeight="1" x14ac:dyDescent="0.25">
      <c r="A131" s="95"/>
      <c r="B131" s="108"/>
      <c r="C131" s="108"/>
      <c r="D131" s="76" t="s">
        <v>391</v>
      </c>
      <c r="E131" s="97">
        <f>E140+E151</f>
        <v>0</v>
      </c>
      <c r="F131" s="97">
        <f t="shared" ref="F131:P131" si="48">F140+F151</f>
        <v>0</v>
      </c>
      <c r="G131" s="97">
        <f t="shared" si="48"/>
        <v>0</v>
      </c>
      <c r="H131" s="97">
        <f t="shared" si="48"/>
        <v>0</v>
      </c>
      <c r="I131" s="97">
        <f t="shared" si="48"/>
        <v>0</v>
      </c>
      <c r="J131" s="97">
        <f t="shared" si="48"/>
        <v>0</v>
      </c>
      <c r="K131" s="97">
        <f t="shared" si="48"/>
        <v>0</v>
      </c>
      <c r="L131" s="97">
        <f t="shared" si="48"/>
        <v>0</v>
      </c>
      <c r="M131" s="97">
        <f t="shared" si="48"/>
        <v>0</v>
      </c>
      <c r="N131" s="97">
        <f t="shared" si="48"/>
        <v>0</v>
      </c>
      <c r="O131" s="97">
        <f t="shared" si="48"/>
        <v>0</v>
      </c>
      <c r="P131" s="97">
        <f t="shared" si="48"/>
        <v>0</v>
      </c>
      <c r="Q131" s="33"/>
      <c r="R131" s="3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</row>
    <row r="132" spans="1:527" s="34" customFormat="1" ht="63" x14ac:dyDescent="0.25">
      <c r="A132" s="95"/>
      <c r="B132" s="108"/>
      <c r="C132" s="108"/>
      <c r="D132" s="76" t="s">
        <v>392</v>
      </c>
      <c r="E132" s="97">
        <f>E141+E149+E152</f>
        <v>11403653.83</v>
      </c>
      <c r="F132" s="97">
        <f t="shared" ref="F132:P132" si="49">F141+F149+F152</f>
        <v>11403653.83</v>
      </c>
      <c r="G132" s="97">
        <f t="shared" si="49"/>
        <v>0</v>
      </c>
      <c r="H132" s="97">
        <f t="shared" si="49"/>
        <v>0</v>
      </c>
      <c r="I132" s="97">
        <f t="shared" si="49"/>
        <v>0</v>
      </c>
      <c r="J132" s="97">
        <f t="shared" si="49"/>
        <v>5000000</v>
      </c>
      <c r="K132" s="97">
        <f t="shared" si="49"/>
        <v>0</v>
      </c>
      <c r="L132" s="97">
        <f t="shared" si="49"/>
        <v>0</v>
      </c>
      <c r="M132" s="97">
        <f t="shared" si="49"/>
        <v>0</v>
      </c>
      <c r="N132" s="97">
        <f t="shared" si="49"/>
        <v>0</v>
      </c>
      <c r="O132" s="97">
        <f t="shared" si="49"/>
        <v>5000000</v>
      </c>
      <c r="P132" s="97">
        <f t="shared" si="49"/>
        <v>16403653.83</v>
      </c>
      <c r="Q132" s="33"/>
      <c r="R132" s="3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</row>
    <row r="133" spans="1:527" s="34" customFormat="1" ht="49.5" customHeight="1" x14ac:dyDescent="0.25">
      <c r="A133" s="95"/>
      <c r="B133" s="108"/>
      <c r="C133" s="108"/>
      <c r="D133" s="76" t="s">
        <v>388</v>
      </c>
      <c r="E133" s="97">
        <f>E159</f>
        <v>0</v>
      </c>
      <c r="F133" s="97">
        <f t="shared" ref="F133:P133" si="50">F159</f>
        <v>0</v>
      </c>
      <c r="G133" s="97">
        <f t="shared" si="50"/>
        <v>0</v>
      </c>
      <c r="H133" s="97">
        <f t="shared" si="50"/>
        <v>0</v>
      </c>
      <c r="I133" s="97">
        <f t="shared" si="50"/>
        <v>0</v>
      </c>
      <c r="J133" s="97">
        <f t="shared" si="50"/>
        <v>3580860</v>
      </c>
      <c r="K133" s="97">
        <f t="shared" si="50"/>
        <v>3580860</v>
      </c>
      <c r="L133" s="97">
        <f t="shared" si="50"/>
        <v>0</v>
      </c>
      <c r="M133" s="97">
        <f t="shared" si="50"/>
        <v>0</v>
      </c>
      <c r="N133" s="97">
        <f t="shared" si="50"/>
        <v>0</v>
      </c>
      <c r="O133" s="97">
        <f t="shared" si="50"/>
        <v>3580860</v>
      </c>
      <c r="P133" s="97">
        <f t="shared" si="50"/>
        <v>3580860</v>
      </c>
      <c r="Q133" s="33"/>
      <c r="R133" s="32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</row>
    <row r="134" spans="1:527" s="34" customFormat="1" ht="78.75" x14ac:dyDescent="0.25">
      <c r="A134" s="95"/>
      <c r="B134" s="108"/>
      <c r="C134" s="108"/>
      <c r="D134" s="134" t="s">
        <v>619</v>
      </c>
      <c r="E134" s="97">
        <f>E156</f>
        <v>0</v>
      </c>
      <c r="F134" s="97">
        <f t="shared" ref="F134:P134" si="51">F156</f>
        <v>0</v>
      </c>
      <c r="G134" s="97">
        <f t="shared" si="51"/>
        <v>0</v>
      </c>
      <c r="H134" s="97">
        <f t="shared" si="51"/>
        <v>0</v>
      </c>
      <c r="I134" s="97">
        <f t="shared" si="51"/>
        <v>0</v>
      </c>
      <c r="J134" s="97">
        <f t="shared" si="51"/>
        <v>1530600</v>
      </c>
      <c r="K134" s="97">
        <f t="shared" si="51"/>
        <v>1530600</v>
      </c>
      <c r="L134" s="97">
        <f t="shared" si="51"/>
        <v>0</v>
      </c>
      <c r="M134" s="97">
        <f t="shared" si="51"/>
        <v>0</v>
      </c>
      <c r="N134" s="97">
        <f t="shared" si="51"/>
        <v>0</v>
      </c>
      <c r="O134" s="97">
        <f t="shared" si="51"/>
        <v>1530600</v>
      </c>
      <c r="P134" s="97">
        <f t="shared" si="51"/>
        <v>1530600</v>
      </c>
      <c r="Q134" s="33"/>
      <c r="R134" s="32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</row>
    <row r="135" spans="1:527" s="34" customFormat="1" ht="15.75" x14ac:dyDescent="0.25">
      <c r="A135" s="95"/>
      <c r="B135" s="108"/>
      <c r="C135" s="108"/>
      <c r="D135" s="76" t="s">
        <v>393</v>
      </c>
      <c r="E135" s="97">
        <f>E142</f>
        <v>124646</v>
      </c>
      <c r="F135" s="97">
        <f>F142</f>
        <v>124646</v>
      </c>
      <c r="G135" s="97">
        <f t="shared" ref="G135:O135" si="52">G142</f>
        <v>0</v>
      </c>
      <c r="H135" s="97">
        <f t="shared" si="52"/>
        <v>0</v>
      </c>
      <c r="I135" s="97">
        <f t="shared" si="52"/>
        <v>0</v>
      </c>
      <c r="J135" s="97">
        <f t="shared" si="52"/>
        <v>5750000</v>
      </c>
      <c r="K135" s="97">
        <f t="shared" si="52"/>
        <v>5750000</v>
      </c>
      <c r="L135" s="97">
        <f t="shared" si="52"/>
        <v>0</v>
      </c>
      <c r="M135" s="97">
        <f t="shared" si="52"/>
        <v>0</v>
      </c>
      <c r="N135" s="97">
        <f t="shared" si="52"/>
        <v>0</v>
      </c>
      <c r="O135" s="97">
        <f t="shared" si="52"/>
        <v>5750000</v>
      </c>
      <c r="P135" s="97">
        <f>P142</f>
        <v>5874646</v>
      </c>
      <c r="Q135" s="33"/>
      <c r="R135" s="32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</row>
    <row r="136" spans="1:527" s="34" customFormat="1" ht="15.75" x14ac:dyDescent="0.25">
      <c r="A136" s="95"/>
      <c r="B136" s="108"/>
      <c r="C136" s="108"/>
      <c r="D136" s="82" t="s">
        <v>419</v>
      </c>
      <c r="E136" s="97">
        <f>E161</f>
        <v>0</v>
      </c>
      <c r="F136" s="97">
        <f t="shared" ref="F136:P136" si="53">F161</f>
        <v>0</v>
      </c>
      <c r="G136" s="97">
        <f t="shared" si="53"/>
        <v>0</v>
      </c>
      <c r="H136" s="97">
        <f t="shared" si="53"/>
        <v>0</v>
      </c>
      <c r="I136" s="97">
        <f t="shared" si="53"/>
        <v>0</v>
      </c>
      <c r="J136" s="97">
        <f t="shared" si="53"/>
        <v>4662070.12</v>
      </c>
      <c r="K136" s="97">
        <f t="shared" si="53"/>
        <v>4662070.12</v>
      </c>
      <c r="L136" s="97">
        <f t="shared" si="53"/>
        <v>0</v>
      </c>
      <c r="M136" s="97">
        <f t="shared" si="53"/>
        <v>0</v>
      </c>
      <c r="N136" s="97">
        <f t="shared" si="53"/>
        <v>0</v>
      </c>
      <c r="O136" s="97">
        <f t="shared" si="53"/>
        <v>4662070.12</v>
      </c>
      <c r="P136" s="97">
        <f t="shared" si="53"/>
        <v>4662070.12</v>
      </c>
      <c r="Q136" s="33"/>
      <c r="R136" s="32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</row>
    <row r="137" spans="1:527" s="22" customFormat="1" ht="48" customHeight="1" x14ac:dyDescent="0.25">
      <c r="A137" s="59" t="s">
        <v>171</v>
      </c>
      <c r="B137" s="92" t="str">
        <f>'дод 7'!A19</f>
        <v>0160</v>
      </c>
      <c r="C137" s="92" t="str">
        <f>'дод 7'!B19</f>
        <v>0111</v>
      </c>
      <c r="D137" s="36" t="s">
        <v>493</v>
      </c>
      <c r="E137" s="98">
        <f t="shared" ref="E137:E163" si="54">F137+I137</f>
        <v>2564384</v>
      </c>
      <c r="F137" s="98">
        <v>2564384</v>
      </c>
      <c r="G137" s="98">
        <v>1956200</v>
      </c>
      <c r="H137" s="98">
        <f>35584+8500</f>
        <v>44084</v>
      </c>
      <c r="I137" s="98"/>
      <c r="J137" s="98">
        <f>L137+O137</f>
        <v>600000</v>
      </c>
      <c r="K137" s="98">
        <v>600000</v>
      </c>
      <c r="L137" s="98"/>
      <c r="M137" s="98"/>
      <c r="N137" s="98"/>
      <c r="O137" s="98">
        <v>600000</v>
      </c>
      <c r="P137" s="98">
        <f t="shared" ref="P137:P163" si="55">E137+J137</f>
        <v>3164384</v>
      </c>
      <c r="Q137" s="23"/>
      <c r="R137" s="32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2" customFormat="1" ht="33" customHeight="1" x14ac:dyDescent="0.25">
      <c r="A138" s="59" t="s">
        <v>172</v>
      </c>
      <c r="B138" s="92" t="str">
        <f>'дод 7'!A84</f>
        <v>2010</v>
      </c>
      <c r="C138" s="92" t="str">
        <f>'дод 7'!B84</f>
        <v>0731</v>
      </c>
      <c r="D138" s="6" t="s">
        <v>610</v>
      </c>
      <c r="E138" s="98">
        <f t="shared" si="54"/>
        <v>46642713.399999999</v>
      </c>
      <c r="F138" s="98">
        <f>45832353.4+24939+6281+230000+439140+110000</f>
        <v>46642713.399999999</v>
      </c>
      <c r="G138" s="98"/>
      <c r="H138" s="98"/>
      <c r="I138" s="112"/>
      <c r="J138" s="98">
        <f t="shared" ref="J138:J163" si="56">L138+O138</f>
        <v>58545966.82</v>
      </c>
      <c r="K138" s="98">
        <f>45245966.82+1300000+7000000</f>
        <v>53545966.82</v>
      </c>
      <c r="L138" s="98"/>
      <c r="M138" s="98"/>
      <c r="N138" s="98"/>
      <c r="O138" s="98">
        <f>45245966.82+1300000+7000000+5000000</f>
        <v>58545966.82</v>
      </c>
      <c r="P138" s="98">
        <f t="shared" si="55"/>
        <v>105188680.22</v>
      </c>
      <c r="Q138" s="23"/>
      <c r="R138" s="32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4" customFormat="1" ht="31.5" hidden="1" x14ac:dyDescent="0.25">
      <c r="A139" s="83"/>
      <c r="B139" s="110"/>
      <c r="C139" s="110"/>
      <c r="D139" s="86" t="s">
        <v>390</v>
      </c>
      <c r="E139" s="100">
        <f t="shared" si="54"/>
        <v>0</v>
      </c>
      <c r="F139" s="100"/>
      <c r="G139" s="100"/>
      <c r="H139" s="100"/>
      <c r="I139" s="113"/>
      <c r="J139" s="100">
        <f t="shared" si="56"/>
        <v>0</v>
      </c>
      <c r="K139" s="100"/>
      <c r="L139" s="100"/>
      <c r="M139" s="100"/>
      <c r="N139" s="100"/>
      <c r="O139" s="100"/>
      <c r="P139" s="100">
        <f t="shared" si="55"/>
        <v>0</v>
      </c>
      <c r="Q139" s="30"/>
      <c r="R139" s="3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4" customFormat="1" ht="47.25" hidden="1" x14ac:dyDescent="0.25">
      <c r="A140" s="83"/>
      <c r="B140" s="110"/>
      <c r="C140" s="110"/>
      <c r="D140" s="86" t="s">
        <v>391</v>
      </c>
      <c r="E140" s="100">
        <f t="shared" si="54"/>
        <v>0</v>
      </c>
      <c r="F140" s="100"/>
      <c r="G140" s="100"/>
      <c r="H140" s="100"/>
      <c r="I140" s="100"/>
      <c r="J140" s="100">
        <f t="shared" si="56"/>
        <v>0</v>
      </c>
      <c r="K140" s="100"/>
      <c r="L140" s="100"/>
      <c r="M140" s="100"/>
      <c r="N140" s="100"/>
      <c r="O140" s="100"/>
      <c r="P140" s="100">
        <f t="shared" si="55"/>
        <v>0</v>
      </c>
      <c r="Q140" s="30"/>
      <c r="R140" s="3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</row>
    <row r="141" spans="1:527" s="24" customFormat="1" ht="63" x14ac:dyDescent="0.25">
      <c r="A141" s="83"/>
      <c r="B141" s="110"/>
      <c r="C141" s="110"/>
      <c r="D141" s="86" t="s">
        <v>392</v>
      </c>
      <c r="E141" s="100">
        <f t="shared" si="54"/>
        <v>0</v>
      </c>
      <c r="F141" s="100"/>
      <c r="G141" s="100"/>
      <c r="H141" s="100"/>
      <c r="I141" s="100"/>
      <c r="J141" s="100">
        <f t="shared" si="56"/>
        <v>5000000</v>
      </c>
      <c r="K141" s="100"/>
      <c r="L141" s="100"/>
      <c r="M141" s="100"/>
      <c r="N141" s="100"/>
      <c r="O141" s="100">
        <v>5000000</v>
      </c>
      <c r="P141" s="100">
        <f t="shared" si="55"/>
        <v>5000000</v>
      </c>
      <c r="Q141" s="30"/>
      <c r="R141" s="32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</row>
    <row r="142" spans="1:527" s="24" customFormat="1" ht="15.75" x14ac:dyDescent="0.25">
      <c r="A142" s="83"/>
      <c r="B142" s="110"/>
      <c r="C142" s="110"/>
      <c r="D142" s="86" t="s">
        <v>393</v>
      </c>
      <c r="E142" s="100">
        <f t="shared" si="54"/>
        <v>124646</v>
      </c>
      <c r="F142" s="100">
        <f>93426+24939+6281</f>
        <v>124646</v>
      </c>
      <c r="G142" s="100"/>
      <c r="H142" s="100"/>
      <c r="I142" s="113"/>
      <c r="J142" s="100">
        <f t="shared" si="56"/>
        <v>5750000</v>
      </c>
      <c r="K142" s="100">
        <f>5750000</f>
        <v>5750000</v>
      </c>
      <c r="L142" s="100"/>
      <c r="M142" s="100"/>
      <c r="N142" s="100"/>
      <c r="O142" s="100">
        <f>5750000</f>
        <v>5750000</v>
      </c>
      <c r="P142" s="100">
        <f t="shared" si="55"/>
        <v>5874646</v>
      </c>
      <c r="Q142" s="30"/>
      <c r="R142" s="32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</row>
    <row r="143" spans="1:527" s="22" customFormat="1" ht="31.5" x14ac:dyDescent="0.25">
      <c r="A143" s="59" t="s">
        <v>446</v>
      </c>
      <c r="B143" s="92">
        <v>2020</v>
      </c>
      <c r="C143" s="59" t="s">
        <v>447</v>
      </c>
      <c r="D143" s="60" t="s">
        <v>629</v>
      </c>
      <c r="E143" s="98">
        <f t="shared" si="54"/>
        <v>90000</v>
      </c>
      <c r="F143" s="98">
        <v>90000</v>
      </c>
      <c r="G143" s="112"/>
      <c r="H143" s="112"/>
      <c r="I143" s="112"/>
      <c r="J143" s="98">
        <f t="shared" si="56"/>
        <v>0</v>
      </c>
      <c r="K143" s="98"/>
      <c r="L143" s="98"/>
      <c r="M143" s="98"/>
      <c r="N143" s="98"/>
      <c r="O143" s="98"/>
      <c r="P143" s="98">
        <f t="shared" si="55"/>
        <v>90000</v>
      </c>
      <c r="Q143" s="23"/>
      <c r="R143" s="32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</row>
    <row r="144" spans="1:527" s="22" customFormat="1" ht="36.75" customHeight="1" x14ac:dyDescent="0.25">
      <c r="A144" s="59" t="s">
        <v>177</v>
      </c>
      <c r="B144" s="92" t="str">
        <f>'дод 7'!A90</f>
        <v>2030</v>
      </c>
      <c r="C144" s="92" t="str">
        <f>'дод 7'!B90</f>
        <v>0733</v>
      </c>
      <c r="D144" s="60" t="s">
        <v>463</v>
      </c>
      <c r="E144" s="98">
        <f t="shared" si="54"/>
        <v>4498159</v>
      </c>
      <c r="F144" s="98">
        <v>4498159</v>
      </c>
      <c r="G144" s="114"/>
      <c r="H144" s="114"/>
      <c r="I144" s="112"/>
      <c r="J144" s="98">
        <f t="shared" si="56"/>
        <v>5100000</v>
      </c>
      <c r="K144" s="98">
        <v>5100000</v>
      </c>
      <c r="L144" s="98"/>
      <c r="M144" s="98"/>
      <c r="N144" s="98"/>
      <c r="O144" s="98">
        <v>5100000</v>
      </c>
      <c r="P144" s="98">
        <f t="shared" si="55"/>
        <v>9598159</v>
      </c>
      <c r="Q144" s="23"/>
      <c r="R144" s="32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  <c r="TG144" s="23"/>
    </row>
    <row r="145" spans="1:527" s="24" customFormat="1" ht="30" hidden="1" customHeight="1" x14ac:dyDescent="0.25">
      <c r="A145" s="83"/>
      <c r="B145" s="110"/>
      <c r="C145" s="110"/>
      <c r="D145" s="86" t="s">
        <v>390</v>
      </c>
      <c r="E145" s="100">
        <f t="shared" si="54"/>
        <v>0</v>
      </c>
      <c r="F145" s="100"/>
      <c r="G145" s="113"/>
      <c r="H145" s="113"/>
      <c r="I145" s="113"/>
      <c r="J145" s="100"/>
      <c r="K145" s="100"/>
      <c r="L145" s="100"/>
      <c r="M145" s="100"/>
      <c r="N145" s="100"/>
      <c r="O145" s="100"/>
      <c r="P145" s="100">
        <f t="shared" si="55"/>
        <v>0</v>
      </c>
      <c r="Q145" s="30"/>
      <c r="R145" s="3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  <c r="TG145" s="30"/>
    </row>
    <row r="146" spans="1:527" s="22" customFormat="1" ht="24" customHeight="1" x14ac:dyDescent="0.25">
      <c r="A146" s="59" t="s">
        <v>176</v>
      </c>
      <c r="B146" s="92" t="str">
        <f>'дод 7'!A92</f>
        <v>2100</v>
      </c>
      <c r="C146" s="92" t="str">
        <f>'дод 7'!B92</f>
        <v>0722</v>
      </c>
      <c r="D146" s="60" t="str">
        <f>'дод 7'!C92</f>
        <v>Стоматологічна допомога населенню</v>
      </c>
      <c r="E146" s="98">
        <f t="shared" si="54"/>
        <v>7745106</v>
      </c>
      <c r="F146" s="98">
        <v>7745106</v>
      </c>
      <c r="G146" s="114"/>
      <c r="H146" s="114"/>
      <c r="I146" s="112"/>
      <c r="J146" s="98">
        <f t="shared" si="56"/>
        <v>0</v>
      </c>
      <c r="K146" s="98"/>
      <c r="L146" s="98"/>
      <c r="M146" s="98"/>
      <c r="N146" s="98"/>
      <c r="O146" s="98"/>
      <c r="P146" s="98">
        <f t="shared" si="55"/>
        <v>7745106</v>
      </c>
      <c r="Q146" s="23"/>
      <c r="R146" s="32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</row>
    <row r="147" spans="1:527" s="24" customFormat="1" ht="30" hidden="1" customHeight="1" x14ac:dyDescent="0.25">
      <c r="A147" s="83"/>
      <c r="B147" s="110"/>
      <c r="C147" s="110"/>
      <c r="D147" s="86" t="s">
        <v>390</v>
      </c>
      <c r="E147" s="100">
        <f t="shared" si="54"/>
        <v>0</v>
      </c>
      <c r="F147" s="100"/>
      <c r="G147" s="113"/>
      <c r="H147" s="113"/>
      <c r="I147" s="113"/>
      <c r="J147" s="100">
        <f t="shared" si="56"/>
        <v>0</v>
      </c>
      <c r="K147" s="100"/>
      <c r="L147" s="100"/>
      <c r="M147" s="100"/>
      <c r="N147" s="100"/>
      <c r="O147" s="100"/>
      <c r="P147" s="100">
        <f t="shared" si="55"/>
        <v>0</v>
      </c>
      <c r="Q147" s="30"/>
      <c r="R147" s="32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  <c r="SO147" s="30"/>
      <c r="SP147" s="30"/>
      <c r="SQ147" s="30"/>
      <c r="SR147" s="30"/>
      <c r="SS147" s="30"/>
      <c r="ST147" s="30"/>
      <c r="SU147" s="30"/>
      <c r="SV147" s="30"/>
      <c r="SW147" s="30"/>
      <c r="SX147" s="30"/>
      <c r="SY147" s="30"/>
      <c r="SZ147" s="30"/>
      <c r="TA147" s="30"/>
      <c r="TB147" s="30"/>
      <c r="TC147" s="30"/>
      <c r="TD147" s="30"/>
      <c r="TE147" s="30"/>
      <c r="TF147" s="30"/>
      <c r="TG147" s="30"/>
    </row>
    <row r="148" spans="1:527" s="22" customFormat="1" ht="48" customHeight="1" x14ac:dyDescent="0.25">
      <c r="A148" s="59" t="s">
        <v>175</v>
      </c>
      <c r="B148" s="92" t="str">
        <f>'дод 7'!A94</f>
        <v>2111</v>
      </c>
      <c r="C148" s="92" t="str">
        <f>'дод 7'!B94</f>
        <v>0726</v>
      </c>
      <c r="D148" s="60" t="str">
        <f>'дод 7'!C94</f>
        <v>Первинна медична допомога населенню, що надається центрами первинної медичної (медико-санітарної) допомоги</v>
      </c>
      <c r="E148" s="98">
        <f t="shared" si="54"/>
        <v>3732831</v>
      </c>
      <c r="F148" s="98">
        <f>3962831-230000</f>
        <v>3732831</v>
      </c>
      <c r="G148" s="112"/>
      <c r="H148" s="114"/>
      <c r="I148" s="112"/>
      <c r="J148" s="98">
        <f t="shared" si="56"/>
        <v>0</v>
      </c>
      <c r="K148" s="98"/>
      <c r="L148" s="98"/>
      <c r="M148" s="98"/>
      <c r="N148" s="98"/>
      <c r="O148" s="98"/>
      <c r="P148" s="98">
        <f t="shared" si="55"/>
        <v>3732831</v>
      </c>
      <c r="Q148" s="23"/>
      <c r="R148" s="32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</row>
    <row r="149" spans="1:527" s="24" customFormat="1" ht="63" hidden="1" x14ac:dyDescent="0.25">
      <c r="A149" s="83"/>
      <c r="B149" s="110"/>
      <c r="C149" s="110"/>
      <c r="D149" s="84" t="s">
        <v>392</v>
      </c>
      <c r="E149" s="100">
        <f t="shared" si="54"/>
        <v>0</v>
      </c>
      <c r="F149" s="100"/>
      <c r="G149" s="113"/>
      <c r="H149" s="113"/>
      <c r="I149" s="113"/>
      <c r="J149" s="100">
        <f t="shared" si="56"/>
        <v>0</v>
      </c>
      <c r="K149" s="100"/>
      <c r="L149" s="100"/>
      <c r="M149" s="100"/>
      <c r="N149" s="100"/>
      <c r="O149" s="100"/>
      <c r="P149" s="100">
        <f t="shared" si="55"/>
        <v>0</v>
      </c>
      <c r="Q149" s="30"/>
      <c r="R149" s="32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</row>
    <row r="150" spans="1:527" s="22" customFormat="1" ht="31.5" x14ac:dyDescent="0.25">
      <c r="A150" s="59" t="s">
        <v>174</v>
      </c>
      <c r="B150" s="92">
        <f>'дод 7'!A96</f>
        <v>2144</v>
      </c>
      <c r="C150" s="92" t="str">
        <f>'дод 7'!B96</f>
        <v>0763</v>
      </c>
      <c r="D150" s="122" t="str">
        <f>'дод 7'!C96</f>
        <v>Централізовані заходи з лікування хворих на цукровий та нецукровий діабет, у т.ч. за рахунок:</v>
      </c>
      <c r="E150" s="98">
        <f t="shared" si="54"/>
        <v>11403653.83</v>
      </c>
      <c r="F150" s="98">
        <f>11403700-46.17</f>
        <v>11403653.83</v>
      </c>
      <c r="G150" s="112"/>
      <c r="H150" s="112"/>
      <c r="I150" s="112"/>
      <c r="J150" s="98">
        <f t="shared" si="56"/>
        <v>0</v>
      </c>
      <c r="K150" s="98"/>
      <c r="L150" s="98"/>
      <c r="M150" s="98"/>
      <c r="N150" s="98"/>
      <c r="O150" s="98"/>
      <c r="P150" s="98">
        <f t="shared" si="55"/>
        <v>11403653.83</v>
      </c>
      <c r="Q150" s="23"/>
      <c r="R150" s="32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</row>
    <row r="151" spans="1:527" s="24" customFormat="1" ht="47.25" hidden="1" customHeight="1" x14ac:dyDescent="0.25">
      <c r="A151" s="83"/>
      <c r="B151" s="110"/>
      <c r="C151" s="110"/>
      <c r="D151" s="123" t="s">
        <v>391</v>
      </c>
      <c r="E151" s="100">
        <f t="shared" si="54"/>
        <v>0</v>
      </c>
      <c r="F151" s="100"/>
      <c r="G151" s="100"/>
      <c r="H151" s="100"/>
      <c r="I151" s="100"/>
      <c r="J151" s="100">
        <f t="shared" si="56"/>
        <v>0</v>
      </c>
      <c r="K151" s="100"/>
      <c r="L151" s="100"/>
      <c r="M151" s="100"/>
      <c r="N151" s="100"/>
      <c r="O151" s="100"/>
      <c r="P151" s="100">
        <f t="shared" si="55"/>
        <v>0</v>
      </c>
      <c r="Q151" s="30"/>
      <c r="R151" s="32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  <c r="TG151" s="30"/>
    </row>
    <row r="152" spans="1:527" s="24" customFormat="1" ht="63" x14ac:dyDescent="0.25">
      <c r="A152" s="83"/>
      <c r="B152" s="110"/>
      <c r="C152" s="110"/>
      <c r="D152" s="123" t="s">
        <v>392</v>
      </c>
      <c r="E152" s="100">
        <f t="shared" si="54"/>
        <v>11403653.83</v>
      </c>
      <c r="F152" s="100">
        <f>11403700-46.17</f>
        <v>11403653.83</v>
      </c>
      <c r="G152" s="113"/>
      <c r="H152" s="113"/>
      <c r="I152" s="113"/>
      <c r="J152" s="100">
        <f t="shared" si="56"/>
        <v>0</v>
      </c>
      <c r="K152" s="100"/>
      <c r="L152" s="100"/>
      <c r="M152" s="100"/>
      <c r="N152" s="100"/>
      <c r="O152" s="100"/>
      <c r="P152" s="100">
        <f t="shared" si="55"/>
        <v>11403653.83</v>
      </c>
      <c r="Q152" s="30"/>
      <c r="R152" s="32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  <c r="TF152" s="30"/>
      <c r="TG152" s="30"/>
    </row>
    <row r="153" spans="1:527" s="22" customFormat="1" ht="30" customHeight="1" x14ac:dyDescent="0.25">
      <c r="A153" s="59" t="s">
        <v>325</v>
      </c>
      <c r="B153" s="42" t="str">
        <f>'дод 7'!A99</f>
        <v>2151</v>
      </c>
      <c r="C153" s="42" t="str">
        <f>'дод 7'!B99</f>
        <v>0763</v>
      </c>
      <c r="D153" s="60" t="str">
        <f>'дод 7'!C99</f>
        <v>Забезпечення діяльності інших закладів у сфері охорони здоров’я</v>
      </c>
      <c r="E153" s="98">
        <f t="shared" si="54"/>
        <v>3075784</v>
      </c>
      <c r="F153" s="98">
        <f>3069484+6300</f>
        <v>3075784</v>
      </c>
      <c r="G153" s="114">
        <v>2387600</v>
      </c>
      <c r="H153" s="114">
        <f>68884+6300</f>
        <v>75184</v>
      </c>
      <c r="I153" s="112"/>
      <c r="J153" s="98">
        <f t="shared" si="56"/>
        <v>0</v>
      </c>
      <c r="K153" s="98"/>
      <c r="L153" s="98"/>
      <c r="M153" s="98"/>
      <c r="N153" s="98"/>
      <c r="O153" s="98"/>
      <c r="P153" s="98">
        <f t="shared" si="55"/>
        <v>3075784</v>
      </c>
      <c r="Q153" s="23"/>
      <c r="R153" s="32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24.75" customHeight="1" x14ac:dyDescent="0.25">
      <c r="A154" s="59" t="s">
        <v>326</v>
      </c>
      <c r="B154" s="42" t="str">
        <f>'дод 7'!A100</f>
        <v>2152</v>
      </c>
      <c r="C154" s="42" t="str">
        <f>'дод 7'!B100</f>
        <v>0763</v>
      </c>
      <c r="D154" s="36" t="str">
        <f>'дод 7'!C100</f>
        <v>Інші програми та заходи у сфері охорони здоров’я</v>
      </c>
      <c r="E154" s="98">
        <f>F154+I154</f>
        <v>20438800</v>
      </c>
      <c r="F154" s="98">
        <v>20438800</v>
      </c>
      <c r="G154" s="98"/>
      <c r="H154" s="98"/>
      <c r="I154" s="98"/>
      <c r="J154" s="98">
        <f t="shared" si="56"/>
        <v>39891354</v>
      </c>
      <c r="K154" s="98">
        <f>23031354+13000000+3860000</f>
        <v>39891354</v>
      </c>
      <c r="L154" s="98"/>
      <c r="M154" s="98"/>
      <c r="N154" s="98"/>
      <c r="O154" s="98">
        <f>23031354+13000000+3860000</f>
        <v>39891354</v>
      </c>
      <c r="P154" s="98">
        <f t="shared" si="55"/>
        <v>60330154</v>
      </c>
      <c r="Q154" s="23"/>
      <c r="R154" s="32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2" customFormat="1" ht="24.75" customHeight="1" x14ac:dyDescent="0.25">
      <c r="A155" s="59" t="s">
        <v>416</v>
      </c>
      <c r="B155" s="42">
        <v>7322</v>
      </c>
      <c r="C155" s="102" t="s">
        <v>111</v>
      </c>
      <c r="D155" s="6" t="s">
        <v>548</v>
      </c>
      <c r="E155" s="98">
        <f>F155+I155</f>
        <v>0</v>
      </c>
      <c r="F155" s="98"/>
      <c r="G155" s="98"/>
      <c r="H155" s="98"/>
      <c r="I155" s="98"/>
      <c r="J155" s="98">
        <f t="shared" si="56"/>
        <v>35908576</v>
      </c>
      <c r="K155" s="98">
        <f>31128372-45000+3893200+259400+1530600-857996</f>
        <v>35908576</v>
      </c>
      <c r="L155" s="98"/>
      <c r="M155" s="98"/>
      <c r="N155" s="98"/>
      <c r="O155" s="98">
        <f>31128372-45000+3893200+259400+1530600-857996</f>
        <v>35908576</v>
      </c>
      <c r="P155" s="98">
        <f t="shared" si="55"/>
        <v>35908576</v>
      </c>
      <c r="Q155" s="23"/>
      <c r="R155" s="32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</row>
    <row r="156" spans="1:527" s="24" customFormat="1" ht="78.75" x14ac:dyDescent="0.25">
      <c r="A156" s="83"/>
      <c r="B156" s="87"/>
      <c r="C156" s="104"/>
      <c r="D156" s="80" t="s">
        <v>619</v>
      </c>
      <c r="E156" s="100">
        <f>F156+I156</f>
        <v>0</v>
      </c>
      <c r="F156" s="100"/>
      <c r="G156" s="100"/>
      <c r="H156" s="100"/>
      <c r="I156" s="100"/>
      <c r="J156" s="100">
        <f t="shared" si="56"/>
        <v>1530600</v>
      </c>
      <c r="K156" s="100">
        <v>1530600</v>
      </c>
      <c r="L156" s="100"/>
      <c r="M156" s="100"/>
      <c r="N156" s="100"/>
      <c r="O156" s="100">
        <v>1530600</v>
      </c>
      <c r="P156" s="100">
        <f t="shared" si="55"/>
        <v>1530600</v>
      </c>
      <c r="Q156" s="30"/>
      <c r="R156" s="33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  <c r="TF156" s="30"/>
      <c r="TG156" s="30"/>
    </row>
    <row r="157" spans="1:527" s="22" customFormat="1" ht="47.25" x14ac:dyDescent="0.25">
      <c r="A157" s="59" t="s">
        <v>373</v>
      </c>
      <c r="B157" s="42">
        <f>'дод 7'!A194</f>
        <v>7361</v>
      </c>
      <c r="C157" s="42" t="str">
        <f>'дод 7'!B194</f>
        <v>0490</v>
      </c>
      <c r="D157" s="36" t="str">
        <f>'дод 7'!C194</f>
        <v>Співфінансування інвестиційних проектів, що реалізуються за рахунок коштів державного фонду регіонального розвитку</v>
      </c>
      <c r="E157" s="98">
        <f t="shared" si="54"/>
        <v>0</v>
      </c>
      <c r="F157" s="98"/>
      <c r="G157" s="98"/>
      <c r="H157" s="98"/>
      <c r="I157" s="98"/>
      <c r="J157" s="98">
        <f t="shared" si="56"/>
        <v>6711507</v>
      </c>
      <c r="K157" s="98">
        <f>4289000+1389000+1033507</f>
        <v>6711507</v>
      </c>
      <c r="L157" s="98"/>
      <c r="M157" s="98"/>
      <c r="N157" s="98"/>
      <c r="O157" s="98">
        <f>4289000+1389000+1033507</f>
        <v>6711507</v>
      </c>
      <c r="P157" s="98">
        <f t="shared" si="55"/>
        <v>6711507</v>
      </c>
      <c r="Q157" s="23"/>
      <c r="R157" s="32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</row>
    <row r="158" spans="1:527" s="22" customFormat="1" ht="47.25" x14ac:dyDescent="0.25">
      <c r="A158" s="59" t="s">
        <v>423</v>
      </c>
      <c r="B158" s="42">
        <v>7363</v>
      </c>
      <c r="C158" s="102" t="s">
        <v>82</v>
      </c>
      <c r="D158" s="60" t="s">
        <v>398</v>
      </c>
      <c r="E158" s="98">
        <f t="shared" si="54"/>
        <v>0</v>
      </c>
      <c r="F158" s="98"/>
      <c r="G158" s="98"/>
      <c r="H158" s="98"/>
      <c r="I158" s="98"/>
      <c r="J158" s="98">
        <f t="shared" si="56"/>
        <v>3580860</v>
      </c>
      <c r="K158" s="98">
        <f>156000+1695000+96300+1000000+1789560-156000-1000000</f>
        <v>3580860</v>
      </c>
      <c r="L158" s="98"/>
      <c r="M158" s="98"/>
      <c r="N158" s="98"/>
      <c r="O158" s="98">
        <f>156000+1695000+96300+1000000+1789560-156000-1000000</f>
        <v>3580860</v>
      </c>
      <c r="P158" s="98">
        <f t="shared" si="55"/>
        <v>3580860</v>
      </c>
      <c r="Q158" s="23"/>
      <c r="R158" s="32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</row>
    <row r="159" spans="1:527" s="22" customFormat="1" ht="47.25" x14ac:dyDescent="0.25">
      <c r="A159" s="59"/>
      <c r="B159" s="42"/>
      <c r="C159" s="42"/>
      <c r="D159" s="86" t="s">
        <v>388</v>
      </c>
      <c r="E159" s="100">
        <f t="shared" si="54"/>
        <v>0</v>
      </c>
      <c r="F159" s="100"/>
      <c r="G159" s="100"/>
      <c r="H159" s="100"/>
      <c r="I159" s="100"/>
      <c r="J159" s="100">
        <f t="shared" si="56"/>
        <v>3580860</v>
      </c>
      <c r="K159" s="100">
        <f>156000+1695000+2729860-1000000</f>
        <v>3580860</v>
      </c>
      <c r="L159" s="100"/>
      <c r="M159" s="100"/>
      <c r="N159" s="100"/>
      <c r="O159" s="100">
        <f>156000+1695000+2729860-1000000</f>
        <v>3580860</v>
      </c>
      <c r="P159" s="100">
        <f t="shared" si="55"/>
        <v>3580860</v>
      </c>
      <c r="Q159" s="23"/>
      <c r="R159" s="32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2" customFormat="1" ht="18.75" customHeight="1" x14ac:dyDescent="0.25">
      <c r="A160" s="59" t="s">
        <v>173</v>
      </c>
      <c r="B160" s="92" t="str">
        <f>'дод 7'!A222</f>
        <v>7640</v>
      </c>
      <c r="C160" s="92" t="str">
        <f>'дод 7'!B222</f>
        <v>0470</v>
      </c>
      <c r="D160" s="60" t="s">
        <v>418</v>
      </c>
      <c r="E160" s="98">
        <f t="shared" si="54"/>
        <v>106500</v>
      </c>
      <c r="F160" s="98">
        <f>121500-15000</f>
        <v>106500</v>
      </c>
      <c r="G160" s="98"/>
      <c r="H160" s="98"/>
      <c r="I160" s="98"/>
      <c r="J160" s="98">
        <f t="shared" si="56"/>
        <v>6795310.1199999992</v>
      </c>
      <c r="K160" s="98">
        <f>10527570.12-3446749-285511</f>
        <v>6795310.1199999992</v>
      </c>
      <c r="L160" s="98"/>
      <c r="M160" s="98"/>
      <c r="N160" s="98"/>
      <c r="O160" s="98">
        <f>10527570.12-3446749-285511</f>
        <v>6795310.1199999992</v>
      </c>
      <c r="P160" s="98">
        <f t="shared" si="55"/>
        <v>6901810.1199999992</v>
      </c>
      <c r="Q160" s="23"/>
      <c r="R160" s="32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</row>
    <row r="161" spans="1:527" s="24" customFormat="1" ht="15" customHeight="1" x14ac:dyDescent="0.25">
      <c r="A161" s="83"/>
      <c r="B161" s="110"/>
      <c r="C161" s="110"/>
      <c r="D161" s="84" t="s">
        <v>419</v>
      </c>
      <c r="E161" s="100">
        <f t="shared" si="54"/>
        <v>0</v>
      </c>
      <c r="F161" s="100"/>
      <c r="G161" s="100"/>
      <c r="H161" s="100"/>
      <c r="I161" s="100"/>
      <c r="J161" s="100">
        <f t="shared" si="56"/>
        <v>4662070.12</v>
      </c>
      <c r="K161" s="100">
        <v>4662070.12</v>
      </c>
      <c r="L161" s="100"/>
      <c r="M161" s="100"/>
      <c r="N161" s="100"/>
      <c r="O161" s="100">
        <v>4662070.12</v>
      </c>
      <c r="P161" s="100">
        <f t="shared" si="55"/>
        <v>4662070.12</v>
      </c>
      <c r="Q161" s="30"/>
      <c r="R161" s="32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</row>
    <row r="162" spans="1:527" s="22" customFormat="1" ht="45" hidden="1" customHeight="1" x14ac:dyDescent="0.25">
      <c r="A162" s="59" t="s">
        <v>361</v>
      </c>
      <c r="B162" s="92">
        <v>7700</v>
      </c>
      <c r="C162" s="59" t="s">
        <v>93</v>
      </c>
      <c r="D162" s="60" t="s">
        <v>362</v>
      </c>
      <c r="E162" s="98">
        <f t="shared" si="54"/>
        <v>0</v>
      </c>
      <c r="F162" s="98"/>
      <c r="G162" s="98"/>
      <c r="H162" s="98"/>
      <c r="I162" s="98"/>
      <c r="J162" s="98">
        <f t="shared" si="56"/>
        <v>0</v>
      </c>
      <c r="K162" s="98"/>
      <c r="L162" s="98"/>
      <c r="M162" s="98"/>
      <c r="N162" s="98"/>
      <c r="O162" s="98">
        <v>0</v>
      </c>
      <c r="P162" s="98">
        <f t="shared" si="55"/>
        <v>0</v>
      </c>
      <c r="Q162" s="23"/>
      <c r="R162" s="32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</row>
    <row r="163" spans="1:527" s="22" customFormat="1" ht="15.75" x14ac:dyDescent="0.25">
      <c r="A163" s="59" t="s">
        <v>432</v>
      </c>
      <c r="B163" s="92">
        <v>9770</v>
      </c>
      <c r="C163" s="59" t="s">
        <v>45</v>
      </c>
      <c r="D163" s="60" t="s">
        <v>433</v>
      </c>
      <c r="E163" s="98">
        <f t="shared" si="54"/>
        <v>0</v>
      </c>
      <c r="F163" s="98"/>
      <c r="G163" s="98"/>
      <c r="H163" s="98"/>
      <c r="I163" s="98"/>
      <c r="J163" s="98">
        <f t="shared" si="56"/>
        <v>2820231.4299999997</v>
      </c>
      <c r="K163" s="98">
        <f>10000111.6-179880.17-7000000</f>
        <v>2820231.4299999997</v>
      </c>
      <c r="L163" s="98"/>
      <c r="M163" s="98"/>
      <c r="N163" s="98"/>
      <c r="O163" s="98">
        <f>10000111.6-179880.17-7000000</f>
        <v>2820231.4299999997</v>
      </c>
      <c r="P163" s="98">
        <f t="shared" si="55"/>
        <v>2820231.4299999997</v>
      </c>
      <c r="Q163" s="23"/>
      <c r="R163" s="32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</row>
    <row r="164" spans="1:527" s="27" customFormat="1" ht="36" customHeight="1" x14ac:dyDescent="0.25">
      <c r="A164" s="109" t="s">
        <v>178</v>
      </c>
      <c r="B164" s="111"/>
      <c r="C164" s="111"/>
      <c r="D164" s="106" t="s">
        <v>38</v>
      </c>
      <c r="E164" s="94">
        <f>E165</f>
        <v>198630104.35000002</v>
      </c>
      <c r="F164" s="94">
        <f t="shared" ref="F164:J164" si="57">F165</f>
        <v>198630104.35000002</v>
      </c>
      <c r="G164" s="94">
        <f t="shared" si="57"/>
        <v>60863900</v>
      </c>
      <c r="H164" s="94">
        <f t="shared" si="57"/>
        <v>1771829</v>
      </c>
      <c r="I164" s="94">
        <f t="shared" si="57"/>
        <v>0</v>
      </c>
      <c r="J164" s="94">
        <f t="shared" si="57"/>
        <v>2926614.05</v>
      </c>
      <c r="K164" s="94">
        <f t="shared" ref="K164" si="58">K165</f>
        <v>2830414.05</v>
      </c>
      <c r="L164" s="94">
        <f t="shared" ref="L164" si="59">L165</f>
        <v>96200</v>
      </c>
      <c r="M164" s="94">
        <f t="shared" ref="M164" si="60">M165</f>
        <v>75000</v>
      </c>
      <c r="N164" s="94">
        <f t="shared" ref="N164" si="61">N165</f>
        <v>0</v>
      </c>
      <c r="O164" s="94">
        <f t="shared" ref="O164:P164" si="62">O165</f>
        <v>2830414.05</v>
      </c>
      <c r="P164" s="94">
        <f t="shared" si="62"/>
        <v>201556718.40000004</v>
      </c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  <c r="IW164" s="32"/>
      <c r="IX164" s="32"/>
      <c r="IY164" s="32"/>
      <c r="IZ164" s="32"/>
      <c r="JA164" s="32"/>
      <c r="JB164" s="32"/>
      <c r="JC164" s="32"/>
      <c r="JD164" s="32"/>
      <c r="JE164" s="32"/>
      <c r="JF164" s="32"/>
      <c r="JG164" s="32"/>
      <c r="JH164" s="32"/>
      <c r="JI164" s="32"/>
      <c r="JJ164" s="32"/>
      <c r="JK164" s="32"/>
      <c r="JL164" s="32"/>
      <c r="JM164" s="32"/>
      <c r="JN164" s="32"/>
      <c r="JO164" s="32"/>
      <c r="JP164" s="32"/>
      <c r="JQ164" s="32"/>
      <c r="JR164" s="32"/>
      <c r="JS164" s="32"/>
      <c r="JT164" s="32"/>
      <c r="JU164" s="32"/>
      <c r="JV164" s="32"/>
      <c r="JW164" s="32"/>
      <c r="JX164" s="32"/>
      <c r="JY164" s="32"/>
      <c r="JZ164" s="32"/>
      <c r="KA164" s="32"/>
      <c r="KB164" s="32"/>
      <c r="KC164" s="32"/>
      <c r="KD164" s="32"/>
      <c r="KE164" s="32"/>
      <c r="KF164" s="32"/>
      <c r="KG164" s="32"/>
      <c r="KH164" s="32"/>
      <c r="KI164" s="32"/>
      <c r="KJ164" s="32"/>
      <c r="KK164" s="32"/>
      <c r="KL164" s="32"/>
      <c r="KM164" s="32"/>
      <c r="KN164" s="32"/>
      <c r="KO164" s="32"/>
      <c r="KP164" s="32"/>
      <c r="KQ164" s="32"/>
      <c r="KR164" s="32"/>
      <c r="KS164" s="32"/>
      <c r="KT164" s="32"/>
      <c r="KU164" s="32"/>
      <c r="KV164" s="32"/>
      <c r="KW164" s="32"/>
      <c r="KX164" s="32"/>
      <c r="KY164" s="32"/>
      <c r="KZ164" s="32"/>
      <c r="LA164" s="32"/>
      <c r="LB164" s="32"/>
      <c r="LC164" s="32"/>
      <c r="LD164" s="32"/>
      <c r="LE164" s="32"/>
      <c r="LF164" s="32"/>
      <c r="LG164" s="32"/>
      <c r="LH164" s="32"/>
      <c r="LI164" s="32"/>
      <c r="LJ164" s="32"/>
      <c r="LK164" s="32"/>
      <c r="LL164" s="32"/>
      <c r="LM164" s="32"/>
      <c r="LN164" s="32"/>
      <c r="LO164" s="32"/>
      <c r="LP164" s="32"/>
      <c r="LQ164" s="32"/>
      <c r="LR164" s="32"/>
      <c r="LS164" s="32"/>
      <c r="LT164" s="32"/>
      <c r="LU164" s="32"/>
      <c r="LV164" s="32"/>
      <c r="LW164" s="32"/>
      <c r="LX164" s="32"/>
      <c r="LY164" s="32"/>
      <c r="LZ164" s="32"/>
      <c r="MA164" s="32"/>
      <c r="MB164" s="32"/>
      <c r="MC164" s="32"/>
      <c r="MD164" s="32"/>
      <c r="ME164" s="32"/>
      <c r="MF164" s="32"/>
      <c r="MG164" s="32"/>
      <c r="MH164" s="32"/>
      <c r="MI164" s="32"/>
      <c r="MJ164" s="32"/>
      <c r="MK164" s="32"/>
      <c r="ML164" s="32"/>
      <c r="MM164" s="32"/>
      <c r="MN164" s="32"/>
      <c r="MO164" s="32"/>
      <c r="MP164" s="32"/>
      <c r="MQ164" s="32"/>
      <c r="MR164" s="32"/>
      <c r="MS164" s="32"/>
      <c r="MT164" s="32"/>
      <c r="MU164" s="32"/>
      <c r="MV164" s="32"/>
      <c r="MW164" s="32"/>
      <c r="MX164" s="32"/>
      <c r="MY164" s="32"/>
      <c r="MZ164" s="32"/>
      <c r="NA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</row>
    <row r="165" spans="1:527" s="34" customFormat="1" ht="32.25" customHeight="1" x14ac:dyDescent="0.25">
      <c r="A165" s="95" t="s">
        <v>179</v>
      </c>
      <c r="B165" s="108"/>
      <c r="C165" s="108"/>
      <c r="D165" s="76" t="s">
        <v>394</v>
      </c>
      <c r="E165" s="97">
        <f>E171+E172+E173+E174+E175+E177+E178+E179+E181+E183+E184+E185+E187+E189+E190+E191+E192+E193+E194+E196+E198+E200+E201+E203+E204</f>
        <v>198630104.35000002</v>
      </c>
      <c r="F165" s="97">
        <f t="shared" ref="F165:P165" si="63">F171+F172+F173+F174+F175+F177+F178+F179+F181+F183+F184+F185+F187+F189+F190+F191+F192+F193+F194+F196+F198+F200+F201+F203+F204</f>
        <v>198630104.35000002</v>
      </c>
      <c r="G165" s="97">
        <f t="shared" si="63"/>
        <v>60863900</v>
      </c>
      <c r="H165" s="97">
        <f t="shared" si="63"/>
        <v>1771829</v>
      </c>
      <c r="I165" s="97">
        <f t="shared" si="63"/>
        <v>0</v>
      </c>
      <c r="J165" s="97">
        <f t="shared" si="63"/>
        <v>2926614.05</v>
      </c>
      <c r="K165" s="97">
        <f t="shared" si="63"/>
        <v>2830414.05</v>
      </c>
      <c r="L165" s="97">
        <f t="shared" si="63"/>
        <v>96200</v>
      </c>
      <c r="M165" s="97">
        <f t="shared" si="63"/>
        <v>75000</v>
      </c>
      <c r="N165" s="97">
        <f t="shared" si="63"/>
        <v>0</v>
      </c>
      <c r="O165" s="97">
        <f t="shared" si="63"/>
        <v>2830414.05</v>
      </c>
      <c r="P165" s="97">
        <f t="shared" si="63"/>
        <v>201556718.40000004</v>
      </c>
      <c r="Q165" s="33"/>
      <c r="R165" s="32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</row>
    <row r="166" spans="1:527" s="34" customFormat="1" ht="275.25" hidden="1" customHeight="1" x14ac:dyDescent="0.25">
      <c r="A166" s="95"/>
      <c r="B166" s="108"/>
      <c r="C166" s="108"/>
      <c r="D166" s="76" t="str">
        <f>'дод 7'!C102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97">
        <f>E195</f>
        <v>0</v>
      </c>
      <c r="F166" s="97">
        <f>L195</f>
        <v>0</v>
      </c>
      <c r="G166" s="97">
        <f t="shared" ref="G166:P166" si="64">G195</f>
        <v>0</v>
      </c>
      <c r="H166" s="97">
        <f t="shared" si="64"/>
        <v>0</v>
      </c>
      <c r="I166" s="97">
        <f t="shared" si="64"/>
        <v>0</v>
      </c>
      <c r="J166" s="97">
        <f t="shared" si="64"/>
        <v>975480.06</v>
      </c>
      <c r="K166" s="97">
        <f t="shared" si="64"/>
        <v>975480.06</v>
      </c>
      <c r="L166" s="97">
        <f t="shared" si="64"/>
        <v>0</v>
      </c>
      <c r="M166" s="97">
        <f t="shared" si="64"/>
        <v>0</v>
      </c>
      <c r="N166" s="97">
        <f t="shared" si="64"/>
        <v>0</v>
      </c>
      <c r="O166" s="97">
        <f t="shared" si="64"/>
        <v>975480.06</v>
      </c>
      <c r="P166" s="97">
        <f t="shared" si="64"/>
        <v>975480.06</v>
      </c>
      <c r="Q166" s="33"/>
      <c r="R166" s="32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</row>
    <row r="167" spans="1:527" s="34" customFormat="1" ht="255" hidden="1" customHeight="1" x14ac:dyDescent="0.25">
      <c r="A167" s="95"/>
      <c r="B167" s="108"/>
      <c r="C167" s="108"/>
      <c r="D167" s="76" t="str">
        <f>'дод 7'!C103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7" s="97">
        <f>E199</f>
        <v>0</v>
      </c>
      <c r="F167" s="97">
        <f t="shared" ref="F167:P167" si="65">F199</f>
        <v>0</v>
      </c>
      <c r="G167" s="97">
        <f t="shared" si="65"/>
        <v>0</v>
      </c>
      <c r="H167" s="97">
        <f t="shared" si="65"/>
        <v>0</v>
      </c>
      <c r="I167" s="97">
        <f t="shared" si="65"/>
        <v>0</v>
      </c>
      <c r="J167" s="97">
        <f t="shared" si="65"/>
        <v>0</v>
      </c>
      <c r="K167" s="97">
        <f t="shared" si="65"/>
        <v>0</v>
      </c>
      <c r="L167" s="97">
        <f t="shared" si="65"/>
        <v>0</v>
      </c>
      <c r="M167" s="97">
        <f t="shared" si="65"/>
        <v>0</v>
      </c>
      <c r="N167" s="97">
        <f t="shared" si="65"/>
        <v>0</v>
      </c>
      <c r="O167" s="97">
        <f t="shared" si="65"/>
        <v>0</v>
      </c>
      <c r="P167" s="97">
        <f t="shared" si="65"/>
        <v>0</v>
      </c>
      <c r="Q167" s="33"/>
      <c r="R167" s="32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</row>
    <row r="168" spans="1:527" s="34" customFormat="1" ht="15.75" x14ac:dyDescent="0.25">
      <c r="A168" s="95"/>
      <c r="B168" s="108"/>
      <c r="C168" s="108"/>
      <c r="D168" s="76" t="s">
        <v>395</v>
      </c>
      <c r="E168" s="97">
        <f>E176+E180+E182+E186+E188+E202</f>
        <v>7402508.2400000002</v>
      </c>
      <c r="F168" s="97">
        <f>F176+F180+F182+F186+F188+F202</f>
        <v>7402508.2400000002</v>
      </c>
      <c r="G168" s="97">
        <f t="shared" ref="G168:P168" si="66">G176+G180+G182+G186+G188+G202</f>
        <v>0</v>
      </c>
      <c r="H168" s="97">
        <f t="shared" si="66"/>
        <v>0</v>
      </c>
      <c r="I168" s="97">
        <f t="shared" si="66"/>
        <v>0</v>
      </c>
      <c r="J168" s="97">
        <f t="shared" si="66"/>
        <v>0</v>
      </c>
      <c r="K168" s="97">
        <f t="shared" si="66"/>
        <v>0</v>
      </c>
      <c r="L168" s="97">
        <f t="shared" si="66"/>
        <v>0</v>
      </c>
      <c r="M168" s="97">
        <f t="shared" si="66"/>
        <v>0</v>
      </c>
      <c r="N168" s="97">
        <f t="shared" si="66"/>
        <v>0</v>
      </c>
      <c r="O168" s="97">
        <f t="shared" si="66"/>
        <v>0</v>
      </c>
      <c r="P168" s="97">
        <f t="shared" si="66"/>
        <v>7402508.2400000002</v>
      </c>
      <c r="Q168" s="33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</row>
    <row r="169" spans="1:527" s="34" customFormat="1" ht="309.75" customHeight="1" x14ac:dyDescent="0.25">
      <c r="A169" s="95"/>
      <c r="B169" s="108"/>
      <c r="C169" s="108"/>
      <c r="D169" s="76" t="s">
        <v>579</v>
      </c>
      <c r="E169" s="97">
        <f>E195</f>
        <v>0</v>
      </c>
      <c r="F169" s="97">
        <f t="shared" ref="F169:P169" si="67">F195</f>
        <v>0</v>
      </c>
      <c r="G169" s="97">
        <f t="shared" si="67"/>
        <v>0</v>
      </c>
      <c r="H169" s="97">
        <f t="shared" si="67"/>
        <v>0</v>
      </c>
      <c r="I169" s="97">
        <f t="shared" si="67"/>
        <v>0</v>
      </c>
      <c r="J169" s="97">
        <f t="shared" si="67"/>
        <v>975480.06</v>
      </c>
      <c r="K169" s="97">
        <f t="shared" si="67"/>
        <v>975480.06</v>
      </c>
      <c r="L169" s="97">
        <f t="shared" si="67"/>
        <v>0</v>
      </c>
      <c r="M169" s="97">
        <f t="shared" si="67"/>
        <v>0</v>
      </c>
      <c r="N169" s="97">
        <f t="shared" si="67"/>
        <v>0</v>
      </c>
      <c r="O169" s="97">
        <f t="shared" si="67"/>
        <v>975480.06</v>
      </c>
      <c r="P169" s="97">
        <f t="shared" si="67"/>
        <v>975480.06</v>
      </c>
      <c r="Q169" s="33"/>
      <c r="R169" s="32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</row>
    <row r="170" spans="1:527" s="34" customFormat="1" ht="369.75" customHeight="1" x14ac:dyDescent="0.25">
      <c r="A170" s="95"/>
      <c r="B170" s="108"/>
      <c r="C170" s="108"/>
      <c r="D170" s="76" t="s">
        <v>604</v>
      </c>
      <c r="E170" s="97">
        <f>E197</f>
        <v>0</v>
      </c>
      <c r="F170" s="97">
        <f t="shared" ref="F170:P170" si="68">F197</f>
        <v>0</v>
      </c>
      <c r="G170" s="97">
        <f t="shared" si="68"/>
        <v>0</v>
      </c>
      <c r="H170" s="97">
        <f t="shared" si="68"/>
        <v>0</v>
      </c>
      <c r="I170" s="97">
        <f t="shared" si="68"/>
        <v>0</v>
      </c>
      <c r="J170" s="97">
        <f t="shared" si="68"/>
        <v>1176130.99</v>
      </c>
      <c r="K170" s="97">
        <f t="shared" si="68"/>
        <v>1176130.99</v>
      </c>
      <c r="L170" s="97">
        <f t="shared" si="68"/>
        <v>0</v>
      </c>
      <c r="M170" s="97">
        <f t="shared" si="68"/>
        <v>0</v>
      </c>
      <c r="N170" s="97">
        <f t="shared" si="68"/>
        <v>0</v>
      </c>
      <c r="O170" s="97">
        <f t="shared" si="68"/>
        <v>1176130.99</v>
      </c>
      <c r="P170" s="97">
        <f t="shared" si="68"/>
        <v>1176130.99</v>
      </c>
      <c r="Q170" s="33"/>
      <c r="R170" s="32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  <c r="TF170" s="33"/>
      <c r="TG170" s="33"/>
    </row>
    <row r="171" spans="1:527" s="22" customFormat="1" ht="50.25" customHeight="1" x14ac:dyDescent="0.25">
      <c r="A171" s="59" t="s">
        <v>180</v>
      </c>
      <c r="B171" s="92" t="str">
        <f>'дод 7'!A19</f>
        <v>0160</v>
      </c>
      <c r="C171" s="92" t="str">
        <f>'дод 7'!B19</f>
        <v>0111</v>
      </c>
      <c r="D171" s="36" t="s">
        <v>493</v>
      </c>
      <c r="E171" s="98">
        <f t="shared" ref="E171:E204" si="69">F171+I171</f>
        <v>55760954</v>
      </c>
      <c r="F171" s="98">
        <f>55404100-2500-39500+158460+68000-38700+143094+68000</f>
        <v>55760954</v>
      </c>
      <c r="G171" s="98">
        <f>43270200-41500-31700</f>
        <v>43197000</v>
      </c>
      <c r="H171" s="98">
        <f>762000+158460+68000</f>
        <v>988460</v>
      </c>
      <c r="I171" s="98"/>
      <c r="J171" s="98">
        <f>L171+O171</f>
        <v>0</v>
      </c>
      <c r="K171" s="98">
        <f>68000-68000</f>
        <v>0</v>
      </c>
      <c r="L171" s="98"/>
      <c r="M171" s="98"/>
      <c r="N171" s="98"/>
      <c r="O171" s="98">
        <f>68000-68000</f>
        <v>0</v>
      </c>
      <c r="P171" s="98">
        <f t="shared" ref="P171:P204" si="70">E171+J171</f>
        <v>55760954</v>
      </c>
      <c r="Q171" s="23"/>
      <c r="R171" s="32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</row>
    <row r="172" spans="1:527" s="22" customFormat="1" ht="23.25" customHeight="1" x14ac:dyDescent="0.25">
      <c r="A172" s="59" t="s">
        <v>533</v>
      </c>
      <c r="B172" s="59" t="s">
        <v>45</v>
      </c>
      <c r="C172" s="59" t="s">
        <v>93</v>
      </c>
      <c r="D172" s="36" t="s">
        <v>242</v>
      </c>
      <c r="E172" s="98">
        <f t="shared" si="69"/>
        <v>39500</v>
      </c>
      <c r="F172" s="98">
        <v>39500</v>
      </c>
      <c r="G172" s="98"/>
      <c r="H172" s="98"/>
      <c r="I172" s="98"/>
      <c r="J172" s="98">
        <f>L172+O172</f>
        <v>0</v>
      </c>
      <c r="K172" s="98"/>
      <c r="L172" s="98"/>
      <c r="M172" s="98"/>
      <c r="N172" s="98"/>
      <c r="O172" s="98"/>
      <c r="P172" s="98">
        <f t="shared" si="70"/>
        <v>39500</v>
      </c>
      <c r="Q172" s="23"/>
      <c r="R172" s="32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</row>
    <row r="173" spans="1:527" s="23" customFormat="1" ht="36" customHeight="1" x14ac:dyDescent="0.25">
      <c r="A173" s="59" t="s">
        <v>181</v>
      </c>
      <c r="B173" s="92" t="str">
        <f>'дод 7'!A107</f>
        <v>3031</v>
      </c>
      <c r="C173" s="92" t="str">
        <f>'дод 7'!B107</f>
        <v>1030</v>
      </c>
      <c r="D173" s="60" t="str">
        <f>'дод 7'!C107</f>
        <v>Надання інших пільг окремим категоріям громадян відповідно до законодавства</v>
      </c>
      <c r="E173" s="98">
        <f t="shared" si="69"/>
        <v>806663</v>
      </c>
      <c r="F173" s="98">
        <f>604900+1763+200000</f>
        <v>806663</v>
      </c>
      <c r="G173" s="98"/>
      <c r="H173" s="98"/>
      <c r="I173" s="98"/>
      <c r="J173" s="98">
        <f t="shared" ref="J173:J199" si="71">L173+O173</f>
        <v>0</v>
      </c>
      <c r="K173" s="98"/>
      <c r="L173" s="98"/>
      <c r="M173" s="98"/>
      <c r="N173" s="98"/>
      <c r="O173" s="98"/>
      <c r="P173" s="98">
        <f t="shared" si="70"/>
        <v>806663</v>
      </c>
      <c r="R173" s="32"/>
    </row>
    <row r="174" spans="1:527" s="23" customFormat="1" ht="33" customHeight="1" x14ac:dyDescent="0.25">
      <c r="A174" s="59" t="s">
        <v>182</v>
      </c>
      <c r="B174" s="92" t="str">
        <f>'дод 7'!A108</f>
        <v>3032</v>
      </c>
      <c r="C174" s="92" t="str">
        <f>'дод 7'!B108</f>
        <v>1070</v>
      </c>
      <c r="D174" s="60" t="str">
        <f>'дод 7'!C108</f>
        <v>Надання пільг окремим категоріям громадян з оплати послуг зв'язку</v>
      </c>
      <c r="E174" s="98">
        <f t="shared" si="69"/>
        <v>900230</v>
      </c>
      <c r="F174" s="98">
        <f>1150000-20770-229000</f>
        <v>900230</v>
      </c>
      <c r="G174" s="98"/>
      <c r="H174" s="98"/>
      <c r="I174" s="98"/>
      <c r="J174" s="98">
        <f t="shared" si="71"/>
        <v>0</v>
      </c>
      <c r="K174" s="98"/>
      <c r="L174" s="98"/>
      <c r="M174" s="98"/>
      <c r="N174" s="98"/>
      <c r="O174" s="98"/>
      <c r="P174" s="98">
        <f t="shared" si="70"/>
        <v>900230</v>
      </c>
      <c r="R174" s="32"/>
    </row>
    <row r="175" spans="1:527" s="23" customFormat="1" ht="48.75" customHeight="1" x14ac:dyDescent="0.25">
      <c r="A175" s="59" t="s">
        <v>352</v>
      </c>
      <c r="B175" s="92" t="str">
        <f>'дод 7'!A109</f>
        <v>3033</v>
      </c>
      <c r="C175" s="92" t="str">
        <f>'дод 7'!B109</f>
        <v>1070</v>
      </c>
      <c r="D175" s="60" t="str">
        <f>'дод 7'!C109</f>
        <v>Компенсаційні виплати на пільговий проїзд автомобільним транспортом окремим категоріям громадян, у т.ч. за рахунок:</v>
      </c>
      <c r="E175" s="98">
        <f t="shared" si="69"/>
        <v>21876867.240000002</v>
      </c>
      <c r="F175" s="98">
        <f>3342111.24+19700200+44220+1920+11410+500000+678100-2550000+958608-2048700+1585440-114426-111016-121000</f>
        <v>21876867.240000002</v>
      </c>
      <c r="G175" s="98"/>
      <c r="H175" s="98"/>
      <c r="I175" s="98"/>
      <c r="J175" s="98">
        <f t="shared" si="71"/>
        <v>0</v>
      </c>
      <c r="K175" s="98"/>
      <c r="L175" s="98"/>
      <c r="M175" s="98"/>
      <c r="N175" s="98"/>
      <c r="O175" s="98"/>
      <c r="P175" s="98">
        <f t="shared" si="70"/>
        <v>21876867.240000002</v>
      </c>
      <c r="R175" s="32"/>
    </row>
    <row r="176" spans="1:527" s="30" customFormat="1" ht="20.25" customHeight="1" x14ac:dyDescent="0.25">
      <c r="A176" s="83"/>
      <c r="B176" s="110"/>
      <c r="C176" s="110"/>
      <c r="D176" s="84" t="s">
        <v>393</v>
      </c>
      <c r="E176" s="100">
        <f t="shared" si="69"/>
        <v>5943709.2400000002</v>
      </c>
      <c r="F176" s="100">
        <f>3342111.24+44220+1920+11410+958608+1585440</f>
        <v>5943709.2400000002</v>
      </c>
      <c r="G176" s="100"/>
      <c r="H176" s="100"/>
      <c r="I176" s="100"/>
      <c r="J176" s="100">
        <f t="shared" si="71"/>
        <v>0</v>
      </c>
      <c r="K176" s="100"/>
      <c r="L176" s="100"/>
      <c r="M176" s="100"/>
      <c r="N176" s="100"/>
      <c r="O176" s="100"/>
      <c r="P176" s="100">
        <f t="shared" si="70"/>
        <v>5943709.2400000002</v>
      </c>
      <c r="R176" s="32"/>
    </row>
    <row r="177" spans="1:527" s="23" customFormat="1" ht="47.25" x14ac:dyDescent="0.25">
      <c r="A177" s="59" t="s">
        <v>324</v>
      </c>
      <c r="B177" s="92" t="str">
        <f>'дод 7'!A111</f>
        <v>3035</v>
      </c>
      <c r="C177" s="92" t="str">
        <f>'дод 7'!B111</f>
        <v>1070</v>
      </c>
      <c r="D177" s="60" t="str">
        <f>'дод 7'!C111</f>
        <v>Компенсаційні виплати за пільговий проїзд окремих категорій громадян на залізничному транспорті</v>
      </c>
      <c r="E177" s="98">
        <f t="shared" si="69"/>
        <v>2000000</v>
      </c>
      <c r="F177" s="98">
        <f>1500000+500000</f>
        <v>2000000</v>
      </c>
      <c r="G177" s="98"/>
      <c r="H177" s="98"/>
      <c r="I177" s="98"/>
      <c r="J177" s="98">
        <f t="shared" si="71"/>
        <v>0</v>
      </c>
      <c r="K177" s="98"/>
      <c r="L177" s="98"/>
      <c r="M177" s="98"/>
      <c r="N177" s="98"/>
      <c r="O177" s="98"/>
      <c r="P177" s="98">
        <f t="shared" si="70"/>
        <v>2000000</v>
      </c>
      <c r="R177" s="32"/>
    </row>
    <row r="178" spans="1:527" s="23" customFormat="1" ht="36" customHeight="1" x14ac:dyDescent="0.25">
      <c r="A178" s="59" t="s">
        <v>183</v>
      </c>
      <c r="B178" s="92" t="str">
        <f>'дод 7'!A112</f>
        <v>3036</v>
      </c>
      <c r="C178" s="92" t="str">
        <f>'дод 7'!B112</f>
        <v>1070</v>
      </c>
      <c r="D178" s="60" t="str">
        <f>'дод 7'!C112</f>
        <v>Компенсаційні виплати на пільговий проїзд електротранспортом окремим категоріям громадян</v>
      </c>
      <c r="E178" s="98">
        <f t="shared" si="69"/>
        <v>35575500</v>
      </c>
      <c r="F178" s="98">
        <f>37333000+3760700-5950000+431800</f>
        <v>35575500</v>
      </c>
      <c r="G178" s="98"/>
      <c r="H178" s="98"/>
      <c r="I178" s="98"/>
      <c r="J178" s="98">
        <f t="shared" si="71"/>
        <v>0</v>
      </c>
      <c r="K178" s="98"/>
      <c r="L178" s="98"/>
      <c r="M178" s="98"/>
      <c r="N178" s="98"/>
      <c r="O178" s="98"/>
      <c r="P178" s="98">
        <f t="shared" si="70"/>
        <v>35575500</v>
      </c>
      <c r="R178" s="32"/>
    </row>
    <row r="179" spans="1:527" s="22" customFormat="1" ht="47.25" x14ac:dyDescent="0.25">
      <c r="A179" s="59" t="s">
        <v>350</v>
      </c>
      <c r="B179" s="92" t="str">
        <f>'дод 7'!A113</f>
        <v>3050</v>
      </c>
      <c r="C179" s="92" t="str">
        <f>'дод 7'!B113</f>
        <v>1070</v>
      </c>
      <c r="D179" s="60" t="str">
        <f>'дод 7'!C113</f>
        <v>Пільгове медичне обслуговування осіб, які постраждали внаслідок Чорнобильської катастрофи, у т.ч. за рахунок:</v>
      </c>
      <c r="E179" s="98">
        <f t="shared" si="69"/>
        <v>667500</v>
      </c>
      <c r="F179" s="98">
        <v>667500</v>
      </c>
      <c r="G179" s="98"/>
      <c r="H179" s="98"/>
      <c r="I179" s="98"/>
      <c r="J179" s="98">
        <f t="shared" si="71"/>
        <v>0</v>
      </c>
      <c r="K179" s="98"/>
      <c r="L179" s="98"/>
      <c r="M179" s="98"/>
      <c r="N179" s="98"/>
      <c r="O179" s="98"/>
      <c r="P179" s="98">
        <f t="shared" si="70"/>
        <v>667500</v>
      </c>
      <c r="Q179" s="23"/>
      <c r="R179" s="32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</row>
    <row r="180" spans="1:527" s="24" customFormat="1" ht="15.75" x14ac:dyDescent="0.25">
      <c r="A180" s="83"/>
      <c r="B180" s="110"/>
      <c r="C180" s="110"/>
      <c r="D180" s="84" t="s">
        <v>393</v>
      </c>
      <c r="E180" s="100">
        <f t="shared" si="69"/>
        <v>667500</v>
      </c>
      <c r="F180" s="100">
        <v>667500</v>
      </c>
      <c r="G180" s="100"/>
      <c r="H180" s="100"/>
      <c r="I180" s="100"/>
      <c r="J180" s="100">
        <f t="shared" si="71"/>
        <v>0</v>
      </c>
      <c r="K180" s="100"/>
      <c r="L180" s="100"/>
      <c r="M180" s="100"/>
      <c r="N180" s="100"/>
      <c r="O180" s="100"/>
      <c r="P180" s="100">
        <f t="shared" si="70"/>
        <v>667500</v>
      </c>
      <c r="Q180" s="30"/>
      <c r="R180" s="32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</row>
    <row r="181" spans="1:527" s="22" customFormat="1" ht="47.25" x14ac:dyDescent="0.25">
      <c r="A181" s="59" t="s">
        <v>351</v>
      </c>
      <c r="B181" s="92" t="str">
        <f>'дод 7'!A115</f>
        <v>3090</v>
      </c>
      <c r="C181" s="92" t="str">
        <f>'дод 7'!B115</f>
        <v>1030</v>
      </c>
      <c r="D181" s="60" t="str">
        <f>'дод 7'!C115</f>
        <v>Видатки на поховання учасників бойових дій та осіб з інвалідністю внаслідок війни, у т.ч. за рахунок:</v>
      </c>
      <c r="E181" s="98">
        <f t="shared" si="69"/>
        <v>245000</v>
      </c>
      <c r="F181" s="98">
        <v>245000</v>
      </c>
      <c r="G181" s="98"/>
      <c r="H181" s="98"/>
      <c r="I181" s="98"/>
      <c r="J181" s="98">
        <f t="shared" si="71"/>
        <v>0</v>
      </c>
      <c r="K181" s="98"/>
      <c r="L181" s="98"/>
      <c r="M181" s="98"/>
      <c r="N181" s="98"/>
      <c r="O181" s="98"/>
      <c r="P181" s="98">
        <f t="shared" si="70"/>
        <v>245000</v>
      </c>
      <c r="Q181" s="23"/>
      <c r="R181" s="32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4" customFormat="1" ht="15.75" x14ac:dyDescent="0.25">
      <c r="A182" s="83"/>
      <c r="B182" s="110"/>
      <c r="C182" s="110"/>
      <c r="D182" s="84" t="s">
        <v>393</v>
      </c>
      <c r="E182" s="100">
        <f t="shared" si="69"/>
        <v>245000</v>
      </c>
      <c r="F182" s="100">
        <v>245000</v>
      </c>
      <c r="G182" s="100"/>
      <c r="H182" s="100"/>
      <c r="I182" s="100"/>
      <c r="J182" s="100">
        <f t="shared" si="71"/>
        <v>0</v>
      </c>
      <c r="K182" s="100"/>
      <c r="L182" s="100"/>
      <c r="M182" s="100"/>
      <c r="N182" s="100"/>
      <c r="O182" s="100"/>
      <c r="P182" s="100">
        <f t="shared" si="70"/>
        <v>245000</v>
      </c>
      <c r="Q182" s="30"/>
      <c r="R182" s="32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  <c r="SO182" s="30"/>
      <c r="SP182" s="30"/>
      <c r="SQ182" s="30"/>
      <c r="SR182" s="30"/>
      <c r="SS182" s="30"/>
      <c r="ST182" s="30"/>
      <c r="SU182" s="30"/>
      <c r="SV182" s="30"/>
      <c r="SW182" s="30"/>
      <c r="SX182" s="30"/>
      <c r="SY182" s="30"/>
      <c r="SZ182" s="30"/>
      <c r="TA182" s="30"/>
      <c r="TB182" s="30"/>
      <c r="TC182" s="30"/>
      <c r="TD182" s="30"/>
      <c r="TE182" s="30"/>
      <c r="TF182" s="30"/>
      <c r="TG182" s="30"/>
    </row>
    <row r="183" spans="1:527" s="22" customFormat="1" ht="64.5" customHeight="1" x14ac:dyDescent="0.25">
      <c r="A183" s="59" t="s">
        <v>184</v>
      </c>
      <c r="B183" s="92" t="str">
        <f>'дод 7'!A117</f>
        <v>3104</v>
      </c>
      <c r="C183" s="92" t="str">
        <f>'дод 7'!B117</f>
        <v>1020</v>
      </c>
      <c r="D183" s="60" t="str">
        <f>'дод 7'!C117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3" s="98">
        <f t="shared" si="69"/>
        <v>18402127.48</v>
      </c>
      <c r="F183" s="98">
        <f>17394450+20000+20000-20000+65000+42515+19000+796052.48+8000+44900+12210</f>
        <v>18402127.48</v>
      </c>
      <c r="G183" s="98">
        <f>13551350+476164.66</f>
        <v>14027514.66</v>
      </c>
      <c r="H183" s="98">
        <f>208050+26750+42515+74659.4+44900+13040</f>
        <v>409914.4</v>
      </c>
      <c r="I183" s="98"/>
      <c r="J183" s="98">
        <f t="shared" si="71"/>
        <v>96200</v>
      </c>
      <c r="K183" s="98"/>
      <c r="L183" s="98">
        <v>96200</v>
      </c>
      <c r="M183" s="98">
        <v>75000</v>
      </c>
      <c r="N183" s="98"/>
      <c r="O183" s="98"/>
      <c r="P183" s="98">
        <f t="shared" si="70"/>
        <v>18498327.48</v>
      </c>
      <c r="Q183" s="23"/>
      <c r="R183" s="32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2" customFormat="1" ht="81.75" customHeight="1" x14ac:dyDescent="0.25">
      <c r="A184" s="59" t="s">
        <v>185</v>
      </c>
      <c r="B184" s="92" t="str">
        <f>'дод 7'!A123</f>
        <v>3160</v>
      </c>
      <c r="C184" s="92">
        <f>'дод 7'!B123</f>
        <v>1010</v>
      </c>
      <c r="D184" s="60" t="str">
        <f>'дод 7'!C123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4" s="98">
        <f t="shared" si="69"/>
        <v>4071000</v>
      </c>
      <c r="F184" s="98">
        <f>2500000+500000+956000+115000</f>
        <v>4071000</v>
      </c>
      <c r="G184" s="98"/>
      <c r="H184" s="98"/>
      <c r="I184" s="98"/>
      <c r="J184" s="98">
        <f t="shared" si="71"/>
        <v>0</v>
      </c>
      <c r="K184" s="98"/>
      <c r="L184" s="98"/>
      <c r="M184" s="98"/>
      <c r="N184" s="98"/>
      <c r="O184" s="98"/>
      <c r="P184" s="98">
        <f t="shared" si="70"/>
        <v>4071000</v>
      </c>
      <c r="Q184" s="23"/>
      <c r="R184" s="32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2" customFormat="1" ht="63" x14ac:dyDescent="0.25">
      <c r="A185" s="59" t="s">
        <v>353</v>
      </c>
      <c r="B185" s="92" t="str">
        <f>'дод 7'!A124</f>
        <v>3171</v>
      </c>
      <c r="C185" s="92">
        <f>'дод 7'!B124</f>
        <v>1010</v>
      </c>
      <c r="D185" s="60" t="str">
        <f>'дод 7'!C124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5" s="98">
        <f t="shared" si="69"/>
        <v>198209</v>
      </c>
      <c r="F185" s="98">
        <v>198209</v>
      </c>
      <c r="G185" s="98"/>
      <c r="H185" s="98"/>
      <c r="I185" s="98"/>
      <c r="J185" s="98">
        <f t="shared" si="71"/>
        <v>0</v>
      </c>
      <c r="K185" s="98"/>
      <c r="L185" s="98"/>
      <c r="M185" s="98"/>
      <c r="N185" s="98"/>
      <c r="O185" s="98"/>
      <c r="P185" s="98">
        <f t="shared" si="70"/>
        <v>198209</v>
      </c>
      <c r="Q185" s="23"/>
      <c r="R185" s="32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</row>
    <row r="186" spans="1:527" s="24" customFormat="1" ht="18" customHeight="1" x14ac:dyDescent="0.25">
      <c r="A186" s="83"/>
      <c r="B186" s="110"/>
      <c r="C186" s="110"/>
      <c r="D186" s="84" t="s">
        <v>393</v>
      </c>
      <c r="E186" s="100">
        <f t="shared" si="69"/>
        <v>198209</v>
      </c>
      <c r="F186" s="100">
        <v>198209</v>
      </c>
      <c r="G186" s="100"/>
      <c r="H186" s="100"/>
      <c r="I186" s="100"/>
      <c r="J186" s="100">
        <f t="shared" si="71"/>
        <v>0</v>
      </c>
      <c r="K186" s="100"/>
      <c r="L186" s="100"/>
      <c r="M186" s="100"/>
      <c r="N186" s="100"/>
      <c r="O186" s="100"/>
      <c r="P186" s="100">
        <f t="shared" si="70"/>
        <v>198209</v>
      </c>
      <c r="Q186" s="30"/>
      <c r="R186" s="32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</row>
    <row r="187" spans="1:527" s="22" customFormat="1" ht="31.5" x14ac:dyDescent="0.25">
      <c r="A187" s="59" t="s">
        <v>354</v>
      </c>
      <c r="B187" s="92" t="str">
        <f>'дод 7'!A126</f>
        <v>3172</v>
      </c>
      <c r="C187" s="92">
        <f>'дод 7'!B126</f>
        <v>1010</v>
      </c>
      <c r="D187" s="60" t="s">
        <v>406</v>
      </c>
      <c r="E187" s="98">
        <f t="shared" si="69"/>
        <v>90</v>
      </c>
      <c r="F187" s="98">
        <v>90</v>
      </c>
      <c r="G187" s="98"/>
      <c r="H187" s="98"/>
      <c r="I187" s="98"/>
      <c r="J187" s="98">
        <f t="shared" si="71"/>
        <v>0</v>
      </c>
      <c r="K187" s="98"/>
      <c r="L187" s="98"/>
      <c r="M187" s="98"/>
      <c r="N187" s="98"/>
      <c r="O187" s="98"/>
      <c r="P187" s="98">
        <f t="shared" si="70"/>
        <v>90</v>
      </c>
      <c r="Q187" s="23"/>
      <c r="R187" s="32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4" customFormat="1" ht="15.75" x14ac:dyDescent="0.25">
      <c r="A188" s="83"/>
      <c r="B188" s="110"/>
      <c r="C188" s="110"/>
      <c r="D188" s="84" t="s">
        <v>393</v>
      </c>
      <c r="E188" s="100">
        <f t="shared" si="69"/>
        <v>90</v>
      </c>
      <c r="F188" s="100">
        <v>90</v>
      </c>
      <c r="G188" s="100"/>
      <c r="H188" s="100"/>
      <c r="I188" s="100"/>
      <c r="J188" s="100">
        <f t="shared" si="71"/>
        <v>0</v>
      </c>
      <c r="K188" s="100"/>
      <c r="L188" s="100"/>
      <c r="M188" s="100"/>
      <c r="N188" s="100"/>
      <c r="O188" s="100"/>
      <c r="P188" s="100">
        <f t="shared" si="70"/>
        <v>90</v>
      </c>
      <c r="Q188" s="30"/>
      <c r="R188" s="32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  <c r="TF188" s="30"/>
      <c r="TG188" s="30"/>
    </row>
    <row r="189" spans="1:527" s="22" customFormat="1" ht="78.75" x14ac:dyDescent="0.25">
      <c r="A189" s="59" t="s">
        <v>186</v>
      </c>
      <c r="B189" s="92" t="str">
        <f>'дод 7'!A128</f>
        <v>3180</v>
      </c>
      <c r="C189" s="92" t="str">
        <f>'дод 7'!B128</f>
        <v>1060</v>
      </c>
      <c r="D189" s="60" t="str">
        <f>'дод 7'!C128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9" s="98">
        <f t="shared" si="69"/>
        <v>2505011</v>
      </c>
      <c r="F189" s="98">
        <f>2213520+239291+52200</f>
        <v>2505011</v>
      </c>
      <c r="G189" s="98"/>
      <c r="H189" s="98"/>
      <c r="I189" s="98"/>
      <c r="J189" s="98">
        <f t="shared" si="71"/>
        <v>0</v>
      </c>
      <c r="K189" s="98"/>
      <c r="L189" s="98"/>
      <c r="M189" s="98"/>
      <c r="N189" s="98"/>
      <c r="O189" s="98"/>
      <c r="P189" s="98">
        <f t="shared" si="70"/>
        <v>2505011</v>
      </c>
      <c r="Q189" s="23"/>
      <c r="R189" s="32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31.5" customHeight="1" x14ac:dyDescent="0.25">
      <c r="A190" s="59" t="s">
        <v>308</v>
      </c>
      <c r="B190" s="92" t="str">
        <f>'дод 7'!A129</f>
        <v>3191</v>
      </c>
      <c r="C190" s="92" t="str">
        <f>'дод 7'!B129</f>
        <v>1030</v>
      </c>
      <c r="D190" s="60" t="str">
        <f>'дод 7'!C129</f>
        <v>Інші видатки на соціальний захист ветеранів війни та праці</v>
      </c>
      <c r="E190" s="98">
        <f t="shared" si="69"/>
        <v>1890666</v>
      </c>
      <c r="F190" s="98">
        <f>2089960-47000-90801-61493</f>
        <v>1890666</v>
      </c>
      <c r="G190" s="98"/>
      <c r="H190" s="98"/>
      <c r="I190" s="98"/>
      <c r="J190" s="98">
        <f t="shared" si="71"/>
        <v>0</v>
      </c>
      <c r="K190" s="98"/>
      <c r="L190" s="98"/>
      <c r="M190" s="98"/>
      <c r="N190" s="98"/>
      <c r="O190" s="98"/>
      <c r="P190" s="98">
        <f t="shared" si="70"/>
        <v>1890666</v>
      </c>
      <c r="Q190" s="23"/>
      <c r="R190" s="32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2" customFormat="1" ht="47.25" x14ac:dyDescent="0.25">
      <c r="A191" s="59" t="s">
        <v>309</v>
      </c>
      <c r="B191" s="92" t="str">
        <f>'дод 7'!A130</f>
        <v>3192</v>
      </c>
      <c r="C191" s="92" t="str">
        <f>'дод 7'!B130</f>
        <v>1030</v>
      </c>
      <c r="D191" s="60" t="s">
        <v>501</v>
      </c>
      <c r="E191" s="98">
        <f t="shared" si="69"/>
        <v>2250688</v>
      </c>
      <c r="F191" s="98">
        <v>2250688</v>
      </c>
      <c r="G191" s="98"/>
      <c r="H191" s="98"/>
      <c r="I191" s="98"/>
      <c r="J191" s="98">
        <f t="shared" si="71"/>
        <v>0</v>
      </c>
      <c r="K191" s="98"/>
      <c r="L191" s="98"/>
      <c r="M191" s="98"/>
      <c r="N191" s="98"/>
      <c r="O191" s="98"/>
      <c r="P191" s="98">
        <f t="shared" si="70"/>
        <v>2250688</v>
      </c>
      <c r="Q191" s="23"/>
      <c r="R191" s="32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2" customFormat="1" ht="34.5" customHeight="1" x14ac:dyDescent="0.25">
      <c r="A192" s="59" t="s">
        <v>187</v>
      </c>
      <c r="B192" s="92" t="str">
        <f>'дод 7'!A131</f>
        <v>3200</v>
      </c>
      <c r="C192" s="92" t="str">
        <f>'дод 7'!B131</f>
        <v>1090</v>
      </c>
      <c r="D192" s="60" t="str">
        <f>'дод 7'!C131</f>
        <v>Забезпечення обробки інформації з нарахування та виплати допомог і компенсацій</v>
      </c>
      <c r="E192" s="98">
        <f t="shared" si="69"/>
        <v>92000</v>
      </c>
      <c r="F192" s="98">
        <v>92000</v>
      </c>
      <c r="G192" s="98"/>
      <c r="H192" s="98"/>
      <c r="I192" s="98"/>
      <c r="J192" s="98">
        <f t="shared" si="71"/>
        <v>0</v>
      </c>
      <c r="K192" s="98"/>
      <c r="L192" s="98"/>
      <c r="M192" s="98"/>
      <c r="N192" s="98"/>
      <c r="O192" s="98"/>
      <c r="P192" s="98">
        <f t="shared" si="70"/>
        <v>92000</v>
      </c>
      <c r="Q192" s="23"/>
      <c r="R192" s="32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2" customFormat="1" ht="19.5" customHeight="1" x14ac:dyDescent="0.25">
      <c r="A193" s="102" t="s">
        <v>310</v>
      </c>
      <c r="B193" s="42" t="str">
        <f>'дод 7'!A132</f>
        <v>3210</v>
      </c>
      <c r="C193" s="42" t="str">
        <f>'дод 7'!B132</f>
        <v>1050</v>
      </c>
      <c r="D193" s="36" t="str">
        <f>'дод 7'!C132</f>
        <v>Організація та проведення громадських робіт</v>
      </c>
      <c r="E193" s="98">
        <f t="shared" si="69"/>
        <v>50000</v>
      </c>
      <c r="F193" s="98">
        <v>50000</v>
      </c>
      <c r="G193" s="98">
        <v>40900</v>
      </c>
      <c r="H193" s="98"/>
      <c r="I193" s="98"/>
      <c r="J193" s="98">
        <f t="shared" si="71"/>
        <v>0</v>
      </c>
      <c r="K193" s="98"/>
      <c r="L193" s="98"/>
      <c r="M193" s="98"/>
      <c r="N193" s="98"/>
      <c r="O193" s="98"/>
      <c r="P193" s="98">
        <f t="shared" si="70"/>
        <v>50000</v>
      </c>
      <c r="Q193" s="23"/>
      <c r="R193" s="32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</row>
    <row r="194" spans="1:527" s="22" customFormat="1" ht="261" customHeight="1" x14ac:dyDescent="0.25">
      <c r="A194" s="102" t="s">
        <v>441</v>
      </c>
      <c r="B194" s="42">
        <v>3221</v>
      </c>
      <c r="C194" s="102" t="s">
        <v>53</v>
      </c>
      <c r="D194" s="36" t="s">
        <v>581</v>
      </c>
      <c r="E194" s="98">
        <f t="shared" si="69"/>
        <v>0</v>
      </c>
      <c r="F194" s="115"/>
      <c r="G194" s="98"/>
      <c r="H194" s="98"/>
      <c r="I194" s="98"/>
      <c r="J194" s="98">
        <f t="shared" si="71"/>
        <v>975480.06</v>
      </c>
      <c r="K194" s="98">
        <v>975480.06</v>
      </c>
      <c r="L194" s="98"/>
      <c r="M194" s="98"/>
      <c r="N194" s="98"/>
      <c r="O194" s="98">
        <v>975480.06</v>
      </c>
      <c r="P194" s="98">
        <f t="shared" si="70"/>
        <v>975480.06</v>
      </c>
      <c r="Q194" s="23"/>
      <c r="R194" s="32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</row>
    <row r="195" spans="1:527" s="24" customFormat="1" ht="306.75" customHeight="1" x14ac:dyDescent="0.25">
      <c r="A195" s="104"/>
      <c r="B195" s="87"/>
      <c r="C195" s="104"/>
      <c r="D195" s="86" t="s">
        <v>579</v>
      </c>
      <c r="E195" s="98">
        <f t="shared" si="69"/>
        <v>0</v>
      </c>
      <c r="F195" s="135"/>
      <c r="G195" s="100"/>
      <c r="H195" s="100"/>
      <c r="I195" s="100"/>
      <c r="J195" s="98">
        <f t="shared" si="71"/>
        <v>975480.06</v>
      </c>
      <c r="K195" s="100">
        <v>975480.06</v>
      </c>
      <c r="L195" s="100"/>
      <c r="M195" s="100"/>
      <c r="N195" s="100"/>
      <c r="O195" s="100">
        <v>975480.06</v>
      </c>
      <c r="P195" s="100">
        <f t="shared" si="70"/>
        <v>975480.06</v>
      </c>
      <c r="Q195" s="30"/>
      <c r="R195" s="32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</row>
    <row r="196" spans="1:527" s="22" customFormat="1" ht="324.75" customHeight="1" x14ac:dyDescent="0.25">
      <c r="A196" s="102" t="s">
        <v>561</v>
      </c>
      <c r="B196" s="42">
        <v>3222</v>
      </c>
      <c r="C196" s="102" t="s">
        <v>53</v>
      </c>
      <c r="D196" s="36" t="s">
        <v>617</v>
      </c>
      <c r="E196" s="98">
        <f t="shared" ref="E196:E197" si="72">F196+I196</f>
        <v>0</v>
      </c>
      <c r="F196" s="136"/>
      <c r="G196" s="98"/>
      <c r="H196" s="98"/>
      <c r="I196" s="98"/>
      <c r="J196" s="98">
        <f t="shared" ref="J196:J197" si="73">L196+O196</f>
        <v>1176130.99</v>
      </c>
      <c r="K196" s="98">
        <v>1176130.99</v>
      </c>
      <c r="L196" s="98"/>
      <c r="M196" s="98"/>
      <c r="N196" s="98"/>
      <c r="O196" s="98">
        <v>1176130.99</v>
      </c>
      <c r="P196" s="98">
        <f t="shared" si="70"/>
        <v>1176130.99</v>
      </c>
      <c r="Q196" s="23"/>
      <c r="R196" s="32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</row>
    <row r="197" spans="1:527" s="24" customFormat="1" ht="350.25" customHeight="1" x14ac:dyDescent="0.25">
      <c r="A197" s="104"/>
      <c r="B197" s="87"/>
      <c r="C197" s="104"/>
      <c r="D197" s="86" t="s">
        <v>604</v>
      </c>
      <c r="E197" s="100">
        <f t="shared" si="72"/>
        <v>0</v>
      </c>
      <c r="F197" s="135"/>
      <c r="G197" s="100"/>
      <c r="H197" s="100"/>
      <c r="I197" s="100"/>
      <c r="J197" s="100">
        <f t="shared" si="73"/>
        <v>1176130.99</v>
      </c>
      <c r="K197" s="100">
        <v>1176130.99</v>
      </c>
      <c r="L197" s="100"/>
      <c r="M197" s="100"/>
      <c r="N197" s="100"/>
      <c r="O197" s="100">
        <v>1176130.99</v>
      </c>
      <c r="P197" s="100">
        <f t="shared" si="70"/>
        <v>1176130.99</v>
      </c>
      <c r="Q197" s="30"/>
      <c r="R197" s="32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  <c r="TG197" s="30"/>
    </row>
    <row r="198" spans="1:527" s="22" customFormat="1" ht="220.5" hidden="1" x14ac:dyDescent="0.25">
      <c r="A198" s="102" t="s">
        <v>440</v>
      </c>
      <c r="B198" s="42">
        <v>3223</v>
      </c>
      <c r="C198" s="102" t="s">
        <v>53</v>
      </c>
      <c r="D198" s="36" t="str">
        <f>'дод 7'!C137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8" s="98">
        <f t="shared" si="69"/>
        <v>0</v>
      </c>
      <c r="F198" s="98"/>
      <c r="G198" s="98"/>
      <c r="H198" s="98"/>
      <c r="I198" s="98"/>
      <c r="J198" s="98">
        <f t="shared" si="71"/>
        <v>0</v>
      </c>
      <c r="K198" s="98"/>
      <c r="L198" s="98"/>
      <c r="M198" s="98"/>
      <c r="N198" s="98"/>
      <c r="O198" s="98"/>
      <c r="P198" s="98">
        <f t="shared" si="70"/>
        <v>0</v>
      </c>
      <c r="Q198" s="23"/>
      <c r="R198" s="32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</row>
    <row r="199" spans="1:527" s="24" customFormat="1" ht="267.75" hidden="1" x14ac:dyDescent="0.25">
      <c r="A199" s="104"/>
      <c r="B199" s="87"/>
      <c r="C199" s="104"/>
      <c r="D199" s="86" t="str">
        <f>'дод 7'!C138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9" s="100">
        <f t="shared" si="69"/>
        <v>0</v>
      </c>
      <c r="F199" s="100"/>
      <c r="G199" s="100"/>
      <c r="H199" s="100"/>
      <c r="I199" s="100"/>
      <c r="J199" s="100">
        <f t="shared" si="71"/>
        <v>0</v>
      </c>
      <c r="K199" s="100"/>
      <c r="L199" s="100"/>
      <c r="M199" s="100"/>
      <c r="N199" s="100"/>
      <c r="O199" s="100"/>
      <c r="P199" s="100">
        <f t="shared" si="70"/>
        <v>0</v>
      </c>
      <c r="Q199" s="30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</row>
    <row r="200" spans="1:527" s="22" customFormat="1" ht="31.5" customHeight="1" x14ac:dyDescent="0.25">
      <c r="A200" s="59" t="s">
        <v>307</v>
      </c>
      <c r="B200" s="92" t="str">
        <f>'дод 7'!A139</f>
        <v>3241</v>
      </c>
      <c r="C200" s="92" t="str">
        <f>'дод 7'!B139</f>
        <v>1090</v>
      </c>
      <c r="D200" s="60" t="str">
        <f>'дод 7'!C139</f>
        <v>Забезпечення діяльності інших закладів у сфері соціального захисту і соціального забезпечення</v>
      </c>
      <c r="E200" s="98">
        <f t="shared" si="69"/>
        <v>6171670.0800000001</v>
      </c>
      <c r="F200" s="98">
        <f>6615708.56+38000+199000+75614-795852.48+39200</f>
        <v>6171670.0800000001</v>
      </c>
      <c r="G200" s="98">
        <f>4074650-476164.66</f>
        <v>3598485.34</v>
      </c>
      <c r="H200" s="98">
        <f>333300+75614-74659.4+39200</f>
        <v>373454.6</v>
      </c>
      <c r="I200" s="98"/>
      <c r="J200" s="98">
        <f t="shared" ref="J200:J204" si="74">L200+O200</f>
        <v>160800</v>
      </c>
      <c r="K200" s="98">
        <f>360000-199000-200</f>
        <v>160800</v>
      </c>
      <c r="L200" s="98"/>
      <c r="M200" s="98"/>
      <c r="N200" s="98"/>
      <c r="O200" s="98">
        <f>360000-199000-200</f>
        <v>160800</v>
      </c>
      <c r="P200" s="98">
        <f t="shared" si="70"/>
        <v>6332470.0800000001</v>
      </c>
      <c r="Q200" s="23"/>
      <c r="R200" s="32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2" customFormat="1" ht="33" customHeight="1" x14ac:dyDescent="0.25">
      <c r="A201" s="59" t="s">
        <v>355</v>
      </c>
      <c r="B201" s="92" t="str">
        <f>'дод 7'!A140</f>
        <v>3242</v>
      </c>
      <c r="C201" s="92" t="str">
        <f>'дод 7'!B140</f>
        <v>1090</v>
      </c>
      <c r="D201" s="60" t="s">
        <v>515</v>
      </c>
      <c r="E201" s="98">
        <f t="shared" si="69"/>
        <v>39895644.549999997</v>
      </c>
      <c r="F201" s="98">
        <f>34325670+76000+12000+250000+1652252.55+881000+791200+57000+20770+189500+106000+5000+5000+10000+25000+47000+1000+45000+69500+38800+125610-12000+90000+148000+100000+78747+27500+350000+8719+96115+43245+111016+121000</f>
        <v>39895644.549999997</v>
      </c>
      <c r="G201" s="98"/>
      <c r="H201" s="98"/>
      <c r="I201" s="98"/>
      <c r="J201" s="98">
        <f t="shared" si="74"/>
        <v>57000</v>
      </c>
      <c r="K201" s="98">
        <f>45000+12000</f>
        <v>57000</v>
      </c>
      <c r="L201" s="98"/>
      <c r="M201" s="98"/>
      <c r="N201" s="98"/>
      <c r="O201" s="98">
        <f>45000+12000</f>
        <v>57000</v>
      </c>
      <c r="P201" s="98">
        <f t="shared" si="70"/>
        <v>39952644.549999997</v>
      </c>
      <c r="Q201" s="23"/>
      <c r="R201" s="32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</row>
    <row r="202" spans="1:527" s="24" customFormat="1" ht="15" customHeight="1" x14ac:dyDescent="0.25">
      <c r="A202" s="83"/>
      <c r="B202" s="110"/>
      <c r="C202" s="110"/>
      <c r="D202" s="84" t="s">
        <v>393</v>
      </c>
      <c r="E202" s="100">
        <f t="shared" si="69"/>
        <v>348000</v>
      </c>
      <c r="F202" s="100">
        <f>336000+12000</f>
        <v>348000</v>
      </c>
      <c r="G202" s="100"/>
      <c r="H202" s="100"/>
      <c r="I202" s="100"/>
      <c r="J202" s="100">
        <f t="shared" si="74"/>
        <v>0</v>
      </c>
      <c r="K202" s="100"/>
      <c r="L202" s="100"/>
      <c r="M202" s="100"/>
      <c r="N202" s="100"/>
      <c r="O202" s="100"/>
      <c r="P202" s="100">
        <f t="shared" si="70"/>
        <v>348000</v>
      </c>
      <c r="Q202" s="30"/>
      <c r="R202" s="32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  <c r="TF202" s="30"/>
      <c r="TG202" s="30"/>
    </row>
    <row r="203" spans="1:527" s="22" customFormat="1" ht="18.75" x14ac:dyDescent="0.25">
      <c r="A203" s="59" t="s">
        <v>417</v>
      </c>
      <c r="B203" s="92">
        <v>7323</v>
      </c>
      <c r="C203" s="59" t="s">
        <v>111</v>
      </c>
      <c r="D203" s="128" t="s">
        <v>549</v>
      </c>
      <c r="E203" s="98">
        <f t="shared" si="69"/>
        <v>0</v>
      </c>
      <c r="F203" s="98"/>
      <c r="G203" s="98"/>
      <c r="H203" s="98"/>
      <c r="I203" s="98"/>
      <c r="J203" s="98">
        <f t="shared" si="74"/>
        <v>461003</v>
      </c>
      <c r="K203" s="98">
        <f>400000+73213-12210</f>
        <v>461003</v>
      </c>
      <c r="L203" s="98"/>
      <c r="M203" s="98"/>
      <c r="N203" s="98"/>
      <c r="O203" s="98">
        <f>400000+73213-12210</f>
        <v>461003</v>
      </c>
      <c r="P203" s="98">
        <f t="shared" si="70"/>
        <v>461003</v>
      </c>
      <c r="Q203" s="23"/>
      <c r="R203" s="32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</row>
    <row r="204" spans="1:527" s="22" customFormat="1" ht="22.5" customHeight="1" x14ac:dyDescent="0.25">
      <c r="A204" s="59" t="s">
        <v>265</v>
      </c>
      <c r="B204" s="92" t="str">
        <f>'дод 7'!A260</f>
        <v>9770</v>
      </c>
      <c r="C204" s="92" t="str">
        <f>'дод 7'!B260</f>
        <v>0180</v>
      </c>
      <c r="D204" s="60" t="str">
        <f>'дод 7'!C260</f>
        <v>Інші субвенції з місцевого бюджету</v>
      </c>
      <c r="E204" s="98">
        <f t="shared" si="69"/>
        <v>5230784</v>
      </c>
      <c r="F204" s="98">
        <f>2500000+1145344+1585440</f>
        <v>5230784</v>
      </c>
      <c r="G204" s="98"/>
      <c r="H204" s="98"/>
      <c r="I204" s="98"/>
      <c r="J204" s="98">
        <f t="shared" si="74"/>
        <v>0</v>
      </c>
      <c r="K204" s="98"/>
      <c r="L204" s="98"/>
      <c r="M204" s="98"/>
      <c r="N204" s="98"/>
      <c r="O204" s="98"/>
      <c r="P204" s="98">
        <f t="shared" si="70"/>
        <v>5230784</v>
      </c>
      <c r="Q204" s="23"/>
      <c r="R204" s="32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</row>
    <row r="205" spans="1:527" s="27" customFormat="1" ht="31.5" x14ac:dyDescent="0.25">
      <c r="A205" s="105" t="s">
        <v>188</v>
      </c>
      <c r="B205" s="39"/>
      <c r="C205" s="39"/>
      <c r="D205" s="106" t="s">
        <v>363</v>
      </c>
      <c r="E205" s="94">
        <f>E206</f>
        <v>5902461</v>
      </c>
      <c r="F205" s="94">
        <f t="shared" ref="F205:J205" si="75">F206</f>
        <v>5902461</v>
      </c>
      <c r="G205" s="94">
        <f t="shared" si="75"/>
        <v>4512300</v>
      </c>
      <c r="H205" s="94">
        <f t="shared" si="75"/>
        <v>68181</v>
      </c>
      <c r="I205" s="94">
        <f t="shared" si="75"/>
        <v>0</v>
      </c>
      <c r="J205" s="94">
        <f t="shared" si="75"/>
        <v>6169819</v>
      </c>
      <c r="K205" s="94">
        <f t="shared" ref="K205" si="76">K206</f>
        <v>6169819</v>
      </c>
      <c r="L205" s="94">
        <f t="shared" ref="L205" si="77">L206</f>
        <v>0</v>
      </c>
      <c r="M205" s="94">
        <f t="shared" ref="M205" si="78">M206</f>
        <v>0</v>
      </c>
      <c r="N205" s="94">
        <f t="shared" ref="N205" si="79">N206</f>
        <v>0</v>
      </c>
      <c r="O205" s="94">
        <f t="shared" ref="O205:P205" si="80">O206</f>
        <v>6169819</v>
      </c>
      <c r="P205" s="94">
        <f t="shared" si="80"/>
        <v>12072280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  <c r="IU205" s="32"/>
      <c r="IV205" s="32"/>
      <c r="IW205" s="32"/>
      <c r="IX205" s="32"/>
      <c r="IY205" s="32"/>
      <c r="IZ205" s="32"/>
      <c r="JA205" s="32"/>
      <c r="JB205" s="32"/>
      <c r="JC205" s="32"/>
      <c r="JD205" s="32"/>
      <c r="JE205" s="32"/>
      <c r="JF205" s="32"/>
      <c r="JG205" s="32"/>
      <c r="JH205" s="32"/>
      <c r="JI205" s="32"/>
      <c r="JJ205" s="32"/>
      <c r="JK205" s="32"/>
      <c r="JL205" s="32"/>
      <c r="JM205" s="32"/>
      <c r="JN205" s="32"/>
      <c r="JO205" s="32"/>
      <c r="JP205" s="32"/>
      <c r="JQ205" s="32"/>
      <c r="JR205" s="32"/>
      <c r="JS205" s="32"/>
      <c r="JT205" s="32"/>
      <c r="JU205" s="32"/>
      <c r="JV205" s="32"/>
      <c r="JW205" s="32"/>
      <c r="JX205" s="32"/>
      <c r="JY205" s="32"/>
      <c r="JZ205" s="32"/>
      <c r="KA205" s="32"/>
      <c r="KB205" s="32"/>
      <c r="KC205" s="32"/>
      <c r="KD205" s="32"/>
      <c r="KE205" s="32"/>
      <c r="KF205" s="32"/>
      <c r="KG205" s="32"/>
      <c r="KH205" s="32"/>
      <c r="KI205" s="32"/>
      <c r="KJ205" s="32"/>
      <c r="KK205" s="32"/>
      <c r="KL205" s="32"/>
      <c r="KM205" s="32"/>
      <c r="KN205" s="32"/>
      <c r="KO205" s="32"/>
      <c r="KP205" s="32"/>
      <c r="KQ205" s="32"/>
      <c r="KR205" s="32"/>
      <c r="KS205" s="32"/>
      <c r="KT205" s="32"/>
      <c r="KU205" s="32"/>
      <c r="KV205" s="32"/>
      <c r="KW205" s="32"/>
      <c r="KX205" s="32"/>
      <c r="KY205" s="32"/>
      <c r="KZ205" s="32"/>
      <c r="LA205" s="32"/>
      <c r="LB205" s="32"/>
      <c r="LC205" s="32"/>
      <c r="LD205" s="32"/>
      <c r="LE205" s="32"/>
      <c r="LF205" s="32"/>
      <c r="LG205" s="32"/>
      <c r="LH205" s="32"/>
      <c r="LI205" s="32"/>
      <c r="LJ205" s="32"/>
      <c r="LK205" s="32"/>
      <c r="LL205" s="32"/>
      <c r="LM205" s="32"/>
      <c r="LN205" s="32"/>
      <c r="LO205" s="32"/>
      <c r="LP205" s="32"/>
      <c r="LQ205" s="32"/>
      <c r="LR205" s="32"/>
      <c r="LS205" s="32"/>
      <c r="LT205" s="32"/>
      <c r="LU205" s="32"/>
      <c r="LV205" s="32"/>
      <c r="LW205" s="32"/>
      <c r="LX205" s="32"/>
      <c r="LY205" s="32"/>
      <c r="LZ205" s="32"/>
      <c r="MA205" s="32"/>
      <c r="MB205" s="32"/>
      <c r="MC205" s="32"/>
      <c r="MD205" s="32"/>
      <c r="ME205" s="32"/>
      <c r="MF205" s="32"/>
      <c r="MG205" s="32"/>
      <c r="MH205" s="32"/>
      <c r="MI205" s="32"/>
      <c r="MJ205" s="32"/>
      <c r="MK205" s="32"/>
      <c r="ML205" s="32"/>
      <c r="MM205" s="32"/>
      <c r="MN205" s="32"/>
      <c r="MO205" s="32"/>
      <c r="MP205" s="32"/>
      <c r="MQ205" s="32"/>
      <c r="MR205" s="32"/>
      <c r="MS205" s="32"/>
      <c r="MT205" s="32"/>
      <c r="MU205" s="32"/>
      <c r="MV205" s="32"/>
      <c r="MW205" s="32"/>
      <c r="MX205" s="32"/>
      <c r="MY205" s="32"/>
      <c r="MZ205" s="32"/>
      <c r="NA205" s="32"/>
      <c r="NB205" s="32"/>
      <c r="NC205" s="32"/>
      <c r="ND205" s="32"/>
      <c r="NE205" s="32"/>
      <c r="NF205" s="32"/>
      <c r="NG205" s="32"/>
      <c r="NH205" s="32"/>
      <c r="NI205" s="32"/>
      <c r="NJ205" s="32"/>
      <c r="NK205" s="32"/>
      <c r="NL205" s="32"/>
      <c r="NM205" s="32"/>
      <c r="NN205" s="32"/>
      <c r="NO205" s="32"/>
      <c r="NP205" s="32"/>
      <c r="NQ205" s="32"/>
      <c r="NR205" s="32"/>
      <c r="NS205" s="32"/>
      <c r="NT205" s="32"/>
      <c r="NU205" s="32"/>
      <c r="NV205" s="32"/>
      <c r="NW205" s="32"/>
      <c r="NX205" s="32"/>
      <c r="NY205" s="32"/>
      <c r="NZ205" s="32"/>
      <c r="OA205" s="32"/>
      <c r="OB205" s="32"/>
      <c r="OC205" s="32"/>
      <c r="OD205" s="32"/>
      <c r="OE205" s="32"/>
      <c r="OF205" s="32"/>
      <c r="OG205" s="32"/>
      <c r="OH205" s="32"/>
      <c r="OI205" s="32"/>
      <c r="OJ205" s="32"/>
      <c r="OK205" s="32"/>
      <c r="OL205" s="32"/>
      <c r="OM205" s="32"/>
      <c r="ON205" s="32"/>
      <c r="OO205" s="32"/>
      <c r="OP205" s="32"/>
      <c r="OQ205" s="32"/>
      <c r="OR205" s="32"/>
      <c r="OS205" s="32"/>
      <c r="OT205" s="32"/>
      <c r="OU205" s="32"/>
      <c r="OV205" s="32"/>
      <c r="OW205" s="32"/>
      <c r="OX205" s="32"/>
      <c r="OY205" s="32"/>
      <c r="OZ205" s="32"/>
      <c r="PA205" s="32"/>
      <c r="PB205" s="32"/>
      <c r="PC205" s="32"/>
      <c r="PD205" s="32"/>
      <c r="PE205" s="32"/>
      <c r="PF205" s="32"/>
      <c r="PG205" s="32"/>
      <c r="PH205" s="32"/>
      <c r="PI205" s="32"/>
      <c r="PJ205" s="32"/>
      <c r="PK205" s="32"/>
      <c r="PL205" s="32"/>
      <c r="PM205" s="32"/>
      <c r="PN205" s="32"/>
      <c r="PO205" s="32"/>
      <c r="PP205" s="32"/>
      <c r="PQ205" s="32"/>
      <c r="PR205" s="32"/>
      <c r="PS205" s="32"/>
      <c r="PT205" s="32"/>
      <c r="PU205" s="32"/>
      <c r="PV205" s="32"/>
      <c r="PW205" s="32"/>
      <c r="PX205" s="32"/>
      <c r="PY205" s="32"/>
      <c r="PZ205" s="32"/>
      <c r="QA205" s="32"/>
      <c r="QB205" s="32"/>
      <c r="QC205" s="32"/>
      <c r="QD205" s="32"/>
      <c r="QE205" s="32"/>
      <c r="QF205" s="32"/>
      <c r="QG205" s="32"/>
      <c r="QH205" s="32"/>
      <c r="QI205" s="32"/>
      <c r="QJ205" s="32"/>
      <c r="QK205" s="32"/>
      <c r="QL205" s="32"/>
      <c r="QM205" s="32"/>
      <c r="QN205" s="32"/>
      <c r="QO205" s="32"/>
      <c r="QP205" s="32"/>
      <c r="QQ205" s="32"/>
      <c r="QR205" s="32"/>
      <c r="QS205" s="32"/>
      <c r="QT205" s="32"/>
      <c r="QU205" s="32"/>
      <c r="QV205" s="32"/>
      <c r="QW205" s="32"/>
      <c r="QX205" s="32"/>
      <c r="QY205" s="32"/>
      <c r="QZ205" s="32"/>
      <c r="RA205" s="32"/>
      <c r="RB205" s="32"/>
      <c r="RC205" s="32"/>
      <c r="RD205" s="32"/>
      <c r="RE205" s="32"/>
      <c r="RF205" s="32"/>
      <c r="RG205" s="32"/>
      <c r="RH205" s="32"/>
      <c r="RI205" s="32"/>
      <c r="RJ205" s="32"/>
      <c r="RK205" s="32"/>
      <c r="RL205" s="32"/>
      <c r="RM205" s="32"/>
      <c r="RN205" s="32"/>
      <c r="RO205" s="32"/>
      <c r="RP205" s="32"/>
      <c r="RQ205" s="32"/>
      <c r="RR205" s="32"/>
      <c r="RS205" s="32"/>
      <c r="RT205" s="32"/>
      <c r="RU205" s="32"/>
      <c r="RV205" s="32"/>
      <c r="RW205" s="32"/>
      <c r="RX205" s="32"/>
      <c r="RY205" s="32"/>
      <c r="RZ205" s="32"/>
      <c r="SA205" s="32"/>
      <c r="SB205" s="32"/>
      <c r="SC205" s="32"/>
      <c r="SD205" s="32"/>
      <c r="SE205" s="32"/>
      <c r="SF205" s="32"/>
      <c r="SG205" s="32"/>
      <c r="SH205" s="32"/>
      <c r="SI205" s="32"/>
      <c r="SJ205" s="32"/>
      <c r="SK205" s="32"/>
      <c r="SL205" s="32"/>
      <c r="SM205" s="32"/>
      <c r="SN205" s="32"/>
      <c r="SO205" s="32"/>
      <c r="SP205" s="32"/>
      <c r="SQ205" s="32"/>
      <c r="SR205" s="32"/>
      <c r="SS205" s="32"/>
      <c r="ST205" s="32"/>
      <c r="SU205" s="32"/>
      <c r="SV205" s="32"/>
      <c r="SW205" s="32"/>
      <c r="SX205" s="32"/>
      <c r="SY205" s="32"/>
      <c r="SZ205" s="32"/>
      <c r="TA205" s="32"/>
      <c r="TB205" s="32"/>
      <c r="TC205" s="32"/>
      <c r="TD205" s="32"/>
      <c r="TE205" s="32"/>
      <c r="TF205" s="32"/>
      <c r="TG205" s="32"/>
    </row>
    <row r="206" spans="1:527" s="34" customFormat="1" ht="31.5" x14ac:dyDescent="0.25">
      <c r="A206" s="107" t="s">
        <v>189</v>
      </c>
      <c r="B206" s="73"/>
      <c r="C206" s="73"/>
      <c r="D206" s="76" t="s">
        <v>363</v>
      </c>
      <c r="E206" s="97">
        <f>E208+E209+E210+E211</f>
        <v>5902461</v>
      </c>
      <c r="F206" s="97">
        <f t="shared" ref="F206:P206" si="81">F208+F209+F210+F211</f>
        <v>5902461</v>
      </c>
      <c r="G206" s="97">
        <f t="shared" si="81"/>
        <v>4512300</v>
      </c>
      <c r="H206" s="97">
        <f t="shared" si="81"/>
        <v>68181</v>
      </c>
      <c r="I206" s="97">
        <f t="shared" si="81"/>
        <v>0</v>
      </c>
      <c r="J206" s="97">
        <f t="shared" si="81"/>
        <v>6169819</v>
      </c>
      <c r="K206" s="97">
        <f>K208+K209+K210+K211</f>
        <v>6169819</v>
      </c>
      <c r="L206" s="97">
        <f t="shared" si="81"/>
        <v>0</v>
      </c>
      <c r="M206" s="97">
        <f t="shared" si="81"/>
        <v>0</v>
      </c>
      <c r="N206" s="97">
        <f t="shared" si="81"/>
        <v>0</v>
      </c>
      <c r="O206" s="97">
        <f t="shared" si="81"/>
        <v>6169819</v>
      </c>
      <c r="P206" s="97">
        <f t="shared" si="81"/>
        <v>12072280</v>
      </c>
      <c r="Q206" s="33"/>
      <c r="R206" s="32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</row>
    <row r="207" spans="1:527" s="34" customFormat="1" ht="141.75" x14ac:dyDescent="0.25">
      <c r="A207" s="107"/>
      <c r="B207" s="73"/>
      <c r="C207" s="73"/>
      <c r="D207" s="144" t="s">
        <v>618</v>
      </c>
      <c r="E207" s="97">
        <f>E212</f>
        <v>0</v>
      </c>
      <c r="F207" s="97">
        <f t="shared" ref="F207:P207" si="82">F212</f>
        <v>0</v>
      </c>
      <c r="G207" s="97">
        <f t="shared" si="82"/>
        <v>0</v>
      </c>
      <c r="H207" s="97">
        <f t="shared" si="82"/>
        <v>0</v>
      </c>
      <c r="I207" s="97">
        <f t="shared" si="82"/>
        <v>0</v>
      </c>
      <c r="J207" s="97">
        <f t="shared" si="82"/>
        <v>4438108.5</v>
      </c>
      <c r="K207" s="97">
        <f t="shared" si="82"/>
        <v>4438108.5</v>
      </c>
      <c r="L207" s="97">
        <f t="shared" si="82"/>
        <v>0</v>
      </c>
      <c r="M207" s="97">
        <f t="shared" si="82"/>
        <v>0</v>
      </c>
      <c r="N207" s="97">
        <f t="shared" si="82"/>
        <v>0</v>
      </c>
      <c r="O207" s="97">
        <f t="shared" si="82"/>
        <v>4438108.5</v>
      </c>
      <c r="P207" s="97">
        <f t="shared" si="82"/>
        <v>4438108.5</v>
      </c>
      <c r="Q207" s="33"/>
      <c r="R207" s="32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</row>
    <row r="208" spans="1:527" s="22" customFormat="1" ht="47.25" x14ac:dyDescent="0.25">
      <c r="A208" s="59" t="s">
        <v>190</v>
      </c>
      <c r="B208" s="92" t="str">
        <f>'дод 7'!A19</f>
        <v>0160</v>
      </c>
      <c r="C208" s="92" t="str">
        <f>'дод 7'!B19</f>
        <v>0111</v>
      </c>
      <c r="D208" s="36" t="s">
        <v>493</v>
      </c>
      <c r="E208" s="98">
        <f>F208+I208</f>
        <v>5718281</v>
      </c>
      <c r="F208" s="98">
        <f>5689700+12000+4281+12300</f>
        <v>5718281</v>
      </c>
      <c r="G208" s="98">
        <f>4491300+21000</f>
        <v>4512300</v>
      </c>
      <c r="H208" s="98">
        <f>51600+4281+12300</f>
        <v>68181</v>
      </c>
      <c r="I208" s="98"/>
      <c r="J208" s="98">
        <f>L208+O208</f>
        <v>0</v>
      </c>
      <c r="K208" s="98">
        <f>12000-12000</f>
        <v>0</v>
      </c>
      <c r="L208" s="98"/>
      <c r="M208" s="98"/>
      <c r="N208" s="98"/>
      <c r="O208" s="98">
        <f>12000-12000</f>
        <v>0</v>
      </c>
      <c r="P208" s="98">
        <f>E208+J208</f>
        <v>5718281</v>
      </c>
      <c r="Q208" s="23"/>
      <c r="R208" s="32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2" customFormat="1" ht="63" x14ac:dyDescent="0.25">
      <c r="A209" s="59" t="s">
        <v>334</v>
      </c>
      <c r="B209" s="92">
        <v>3111</v>
      </c>
      <c r="C209" s="92">
        <v>1040</v>
      </c>
      <c r="D209" s="36" t="str">
        <f>'дод 7'!C118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9" s="98">
        <f>F209+I209</f>
        <v>91140</v>
      </c>
      <c r="F209" s="98">
        <f>50000+21140+20000</f>
        <v>91140</v>
      </c>
      <c r="G209" s="98"/>
      <c r="H209" s="98"/>
      <c r="I209" s="98"/>
      <c r="J209" s="98">
        <f t="shared" ref="J209:J212" si="83">L209+O209</f>
        <v>0</v>
      </c>
      <c r="K209" s="98">
        <f>21140-21140</f>
        <v>0</v>
      </c>
      <c r="L209" s="98"/>
      <c r="M209" s="98"/>
      <c r="N209" s="98"/>
      <c r="O209" s="98">
        <f>21140-21140</f>
        <v>0</v>
      </c>
      <c r="P209" s="98">
        <f>E209+J209</f>
        <v>91140</v>
      </c>
      <c r="Q209" s="23"/>
      <c r="R209" s="32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2" customFormat="1" ht="31.5" customHeight="1" x14ac:dyDescent="0.25">
      <c r="A210" s="59" t="s">
        <v>191</v>
      </c>
      <c r="B210" s="92" t="str">
        <f>'дод 7'!A119</f>
        <v>3112</v>
      </c>
      <c r="C210" s="92" t="str">
        <f>'дод 7'!B119</f>
        <v>1040</v>
      </c>
      <c r="D210" s="60" t="str">
        <f>'дод 7'!C119</f>
        <v>Заходи державної політики з питань дітей та їх соціального захисту</v>
      </c>
      <c r="E210" s="98">
        <f>F210+I210</f>
        <v>93040</v>
      </c>
      <c r="F210" s="98">
        <f>96240-3200</f>
        <v>93040</v>
      </c>
      <c r="G210" s="98"/>
      <c r="H210" s="98"/>
      <c r="I210" s="98"/>
      <c r="J210" s="98">
        <f t="shared" si="83"/>
        <v>0</v>
      </c>
      <c r="K210" s="98"/>
      <c r="L210" s="98"/>
      <c r="M210" s="98"/>
      <c r="N210" s="98"/>
      <c r="O210" s="98"/>
      <c r="P210" s="98">
        <f>E210+J210</f>
        <v>93040</v>
      </c>
      <c r="Q210" s="23"/>
      <c r="R210" s="32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</row>
    <row r="211" spans="1:527" s="22" customFormat="1" ht="94.5" x14ac:dyDescent="0.25">
      <c r="A211" s="59" t="s">
        <v>437</v>
      </c>
      <c r="B211" s="92">
        <v>6083</v>
      </c>
      <c r="C211" s="59" t="s">
        <v>68</v>
      </c>
      <c r="D211" s="11" t="s">
        <v>438</v>
      </c>
      <c r="E211" s="98">
        <f>F211+I211</f>
        <v>0</v>
      </c>
      <c r="F211" s="98"/>
      <c r="G211" s="98"/>
      <c r="H211" s="98"/>
      <c r="I211" s="98"/>
      <c r="J211" s="98">
        <f t="shared" si="83"/>
        <v>6169819</v>
      </c>
      <c r="K211" s="98">
        <f>30000+3200+11386782-2402628+1305344-2205876.5+393166.5-2340169</f>
        <v>6169819</v>
      </c>
      <c r="L211" s="98"/>
      <c r="M211" s="98"/>
      <c r="N211" s="98"/>
      <c r="O211" s="98">
        <f>30000+3200+11386782-2402628+1305344-2205876.5+393166.5-2340169</f>
        <v>6169819</v>
      </c>
      <c r="P211" s="98">
        <f>E211+J211</f>
        <v>6169819</v>
      </c>
      <c r="Q211" s="23"/>
      <c r="R211" s="32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</row>
    <row r="212" spans="1:527" s="24" customFormat="1" ht="138.75" customHeight="1" x14ac:dyDescent="0.25">
      <c r="A212" s="83"/>
      <c r="B212" s="110"/>
      <c r="C212" s="83"/>
      <c r="D212" s="89" t="s">
        <v>618</v>
      </c>
      <c r="E212" s="98">
        <f>F212+I212</f>
        <v>0</v>
      </c>
      <c r="F212" s="100"/>
      <c r="G212" s="100"/>
      <c r="H212" s="100"/>
      <c r="I212" s="100"/>
      <c r="J212" s="98">
        <f t="shared" si="83"/>
        <v>4438108.5</v>
      </c>
      <c r="K212" s="100">
        <f>11386782-2402628-2205876.5-2340169</f>
        <v>4438108.5</v>
      </c>
      <c r="L212" s="100"/>
      <c r="M212" s="100"/>
      <c r="N212" s="100"/>
      <c r="O212" s="100">
        <f>11386782-2402628-2205876.5-2340169</f>
        <v>4438108.5</v>
      </c>
      <c r="P212" s="98">
        <f>E212+J212</f>
        <v>4438108.5</v>
      </c>
      <c r="Q212" s="30"/>
      <c r="R212" s="32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</row>
    <row r="213" spans="1:527" s="27" customFormat="1" ht="22.5" customHeight="1" x14ac:dyDescent="0.25">
      <c r="A213" s="109" t="s">
        <v>26</v>
      </c>
      <c r="B213" s="111"/>
      <c r="C213" s="111"/>
      <c r="D213" s="106" t="s">
        <v>335</v>
      </c>
      <c r="E213" s="94">
        <f>E214</f>
        <v>82887057</v>
      </c>
      <c r="F213" s="94">
        <f t="shared" ref="F213:J213" si="84">F214</f>
        <v>82887057</v>
      </c>
      <c r="G213" s="94">
        <f t="shared" si="84"/>
        <v>62264330</v>
      </c>
      <c r="H213" s="94">
        <f t="shared" si="84"/>
        <v>2956627</v>
      </c>
      <c r="I213" s="94">
        <f t="shared" si="84"/>
        <v>0</v>
      </c>
      <c r="J213" s="94">
        <f t="shared" si="84"/>
        <v>5080600</v>
      </c>
      <c r="K213" s="94">
        <f t="shared" ref="K213" si="85">K214</f>
        <v>2320500</v>
      </c>
      <c r="L213" s="94">
        <f t="shared" ref="L213" si="86">L214</f>
        <v>2756970</v>
      </c>
      <c r="M213" s="94">
        <f t="shared" ref="M213" si="87">M214</f>
        <v>2239004</v>
      </c>
      <c r="N213" s="94">
        <f t="shared" ref="N213" si="88">N214</f>
        <v>3300</v>
      </c>
      <c r="O213" s="94">
        <f t="shared" ref="O213:P213" si="89">O214</f>
        <v>2323630</v>
      </c>
      <c r="P213" s="94">
        <f t="shared" si="89"/>
        <v>87967657</v>
      </c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  <c r="JS213" s="32"/>
      <c r="JT213" s="32"/>
      <c r="JU213" s="32"/>
      <c r="JV213" s="32"/>
      <c r="JW213" s="32"/>
      <c r="JX213" s="32"/>
      <c r="JY213" s="32"/>
      <c r="JZ213" s="32"/>
      <c r="KA213" s="32"/>
      <c r="KB213" s="32"/>
      <c r="KC213" s="32"/>
      <c r="KD213" s="32"/>
      <c r="KE213" s="32"/>
      <c r="KF213" s="32"/>
      <c r="KG213" s="32"/>
      <c r="KH213" s="32"/>
      <c r="KI213" s="32"/>
      <c r="KJ213" s="32"/>
      <c r="KK213" s="32"/>
      <c r="KL213" s="32"/>
      <c r="KM213" s="32"/>
      <c r="KN213" s="32"/>
      <c r="KO213" s="32"/>
      <c r="KP213" s="32"/>
      <c r="KQ213" s="32"/>
      <c r="KR213" s="32"/>
      <c r="KS213" s="32"/>
      <c r="KT213" s="32"/>
      <c r="KU213" s="32"/>
      <c r="KV213" s="32"/>
      <c r="KW213" s="32"/>
      <c r="KX213" s="32"/>
      <c r="KY213" s="32"/>
      <c r="KZ213" s="32"/>
      <c r="LA213" s="32"/>
      <c r="LB213" s="32"/>
      <c r="LC213" s="32"/>
      <c r="LD213" s="32"/>
      <c r="LE213" s="32"/>
      <c r="LF213" s="32"/>
      <c r="LG213" s="32"/>
      <c r="LH213" s="32"/>
      <c r="LI213" s="32"/>
      <c r="LJ213" s="32"/>
      <c r="LK213" s="32"/>
      <c r="LL213" s="32"/>
      <c r="LM213" s="32"/>
      <c r="LN213" s="32"/>
      <c r="LO213" s="32"/>
      <c r="LP213" s="32"/>
      <c r="LQ213" s="32"/>
      <c r="LR213" s="32"/>
      <c r="LS213" s="32"/>
      <c r="LT213" s="32"/>
      <c r="LU213" s="32"/>
      <c r="LV213" s="32"/>
      <c r="LW213" s="32"/>
      <c r="LX213" s="32"/>
      <c r="LY213" s="32"/>
      <c r="LZ213" s="32"/>
      <c r="MA213" s="32"/>
      <c r="MB213" s="32"/>
      <c r="MC213" s="32"/>
      <c r="MD213" s="32"/>
      <c r="ME213" s="32"/>
      <c r="MF213" s="32"/>
      <c r="MG213" s="32"/>
      <c r="MH213" s="32"/>
      <c r="MI213" s="32"/>
      <c r="MJ213" s="32"/>
      <c r="MK213" s="32"/>
      <c r="ML213" s="32"/>
      <c r="MM213" s="32"/>
      <c r="MN213" s="32"/>
      <c r="MO213" s="32"/>
      <c r="MP213" s="32"/>
      <c r="MQ213" s="32"/>
      <c r="MR213" s="32"/>
      <c r="MS213" s="32"/>
      <c r="MT213" s="32"/>
      <c r="MU213" s="32"/>
      <c r="MV213" s="32"/>
      <c r="MW213" s="32"/>
      <c r="MX213" s="32"/>
      <c r="MY213" s="32"/>
      <c r="MZ213" s="32"/>
      <c r="NA213" s="32"/>
      <c r="NB213" s="32"/>
      <c r="NC213" s="32"/>
      <c r="ND213" s="32"/>
      <c r="NE213" s="32"/>
      <c r="NF213" s="32"/>
      <c r="NG213" s="32"/>
      <c r="NH213" s="32"/>
      <c r="NI213" s="32"/>
      <c r="NJ213" s="32"/>
      <c r="NK213" s="32"/>
      <c r="NL213" s="32"/>
      <c r="NM213" s="32"/>
      <c r="NN213" s="32"/>
      <c r="NO213" s="32"/>
      <c r="NP213" s="32"/>
      <c r="NQ213" s="32"/>
      <c r="NR213" s="32"/>
      <c r="NS213" s="32"/>
      <c r="NT213" s="32"/>
      <c r="NU213" s="32"/>
      <c r="NV213" s="32"/>
      <c r="NW213" s="32"/>
      <c r="NX213" s="32"/>
      <c r="NY213" s="32"/>
      <c r="NZ213" s="32"/>
      <c r="OA213" s="32"/>
      <c r="OB213" s="32"/>
      <c r="OC213" s="32"/>
      <c r="OD213" s="32"/>
      <c r="OE213" s="32"/>
      <c r="OF213" s="32"/>
      <c r="OG213" s="32"/>
      <c r="OH213" s="32"/>
      <c r="OI213" s="32"/>
      <c r="OJ213" s="32"/>
      <c r="OK213" s="32"/>
      <c r="OL213" s="32"/>
      <c r="OM213" s="32"/>
      <c r="ON213" s="32"/>
      <c r="OO213" s="32"/>
      <c r="OP213" s="32"/>
      <c r="OQ213" s="32"/>
      <c r="OR213" s="32"/>
      <c r="OS213" s="32"/>
      <c r="OT213" s="32"/>
      <c r="OU213" s="32"/>
      <c r="OV213" s="32"/>
      <c r="OW213" s="32"/>
      <c r="OX213" s="32"/>
      <c r="OY213" s="32"/>
      <c r="OZ213" s="32"/>
      <c r="PA213" s="32"/>
      <c r="PB213" s="32"/>
      <c r="PC213" s="32"/>
      <c r="PD213" s="32"/>
      <c r="PE213" s="32"/>
      <c r="PF213" s="32"/>
      <c r="PG213" s="32"/>
      <c r="PH213" s="32"/>
      <c r="PI213" s="32"/>
      <c r="PJ213" s="32"/>
      <c r="PK213" s="32"/>
      <c r="PL213" s="32"/>
      <c r="PM213" s="32"/>
      <c r="PN213" s="32"/>
      <c r="PO213" s="32"/>
      <c r="PP213" s="32"/>
      <c r="PQ213" s="32"/>
      <c r="PR213" s="32"/>
      <c r="PS213" s="32"/>
      <c r="PT213" s="32"/>
      <c r="PU213" s="32"/>
      <c r="PV213" s="32"/>
      <c r="PW213" s="32"/>
      <c r="PX213" s="32"/>
      <c r="PY213" s="32"/>
      <c r="PZ213" s="32"/>
      <c r="QA213" s="32"/>
      <c r="QB213" s="32"/>
      <c r="QC213" s="32"/>
      <c r="QD213" s="32"/>
      <c r="QE213" s="32"/>
      <c r="QF213" s="32"/>
      <c r="QG213" s="32"/>
      <c r="QH213" s="32"/>
      <c r="QI213" s="32"/>
      <c r="QJ213" s="32"/>
      <c r="QK213" s="32"/>
      <c r="QL213" s="32"/>
      <c r="QM213" s="32"/>
      <c r="QN213" s="32"/>
      <c r="QO213" s="32"/>
      <c r="QP213" s="32"/>
      <c r="QQ213" s="32"/>
      <c r="QR213" s="32"/>
      <c r="QS213" s="32"/>
      <c r="QT213" s="32"/>
      <c r="QU213" s="32"/>
      <c r="QV213" s="32"/>
      <c r="QW213" s="32"/>
      <c r="QX213" s="32"/>
      <c r="QY213" s="32"/>
      <c r="QZ213" s="32"/>
      <c r="RA213" s="32"/>
      <c r="RB213" s="32"/>
      <c r="RC213" s="32"/>
      <c r="RD213" s="32"/>
      <c r="RE213" s="32"/>
      <c r="RF213" s="32"/>
      <c r="RG213" s="32"/>
      <c r="RH213" s="32"/>
      <c r="RI213" s="32"/>
      <c r="RJ213" s="32"/>
      <c r="RK213" s="32"/>
      <c r="RL213" s="32"/>
      <c r="RM213" s="32"/>
      <c r="RN213" s="32"/>
      <c r="RO213" s="32"/>
      <c r="RP213" s="32"/>
      <c r="RQ213" s="32"/>
      <c r="RR213" s="32"/>
      <c r="RS213" s="32"/>
      <c r="RT213" s="32"/>
      <c r="RU213" s="32"/>
      <c r="RV213" s="32"/>
      <c r="RW213" s="32"/>
      <c r="RX213" s="32"/>
      <c r="RY213" s="32"/>
      <c r="RZ213" s="32"/>
      <c r="SA213" s="32"/>
      <c r="SB213" s="32"/>
      <c r="SC213" s="32"/>
      <c r="SD213" s="32"/>
      <c r="SE213" s="32"/>
      <c r="SF213" s="32"/>
      <c r="SG213" s="32"/>
      <c r="SH213" s="32"/>
      <c r="SI213" s="32"/>
      <c r="SJ213" s="32"/>
      <c r="SK213" s="32"/>
      <c r="SL213" s="32"/>
      <c r="SM213" s="32"/>
      <c r="SN213" s="32"/>
      <c r="SO213" s="32"/>
      <c r="SP213" s="32"/>
      <c r="SQ213" s="32"/>
      <c r="SR213" s="32"/>
      <c r="SS213" s="32"/>
      <c r="ST213" s="32"/>
      <c r="SU213" s="32"/>
      <c r="SV213" s="32"/>
      <c r="SW213" s="32"/>
      <c r="SX213" s="32"/>
      <c r="SY213" s="32"/>
      <c r="SZ213" s="32"/>
      <c r="TA213" s="32"/>
      <c r="TB213" s="32"/>
      <c r="TC213" s="32"/>
      <c r="TD213" s="32"/>
      <c r="TE213" s="32"/>
      <c r="TF213" s="32"/>
      <c r="TG213" s="32"/>
    </row>
    <row r="214" spans="1:527" s="34" customFormat="1" ht="21.75" customHeight="1" x14ac:dyDescent="0.25">
      <c r="A214" s="95" t="s">
        <v>192</v>
      </c>
      <c r="B214" s="108"/>
      <c r="C214" s="108"/>
      <c r="D214" s="76" t="s">
        <v>335</v>
      </c>
      <c r="E214" s="97">
        <f>E215+E216+E217+E219+E220++E222+E218+E221+E223</f>
        <v>82887057</v>
      </c>
      <c r="F214" s="97">
        <f t="shared" ref="F214:P214" si="90">F215+F216+F217+F219+F220++F222+F218+F221+F223</f>
        <v>82887057</v>
      </c>
      <c r="G214" s="97">
        <f t="shared" si="90"/>
        <v>62264330</v>
      </c>
      <c r="H214" s="97">
        <f t="shared" si="90"/>
        <v>2956627</v>
      </c>
      <c r="I214" s="97">
        <f t="shared" si="90"/>
        <v>0</v>
      </c>
      <c r="J214" s="97">
        <f t="shared" si="90"/>
        <v>5080600</v>
      </c>
      <c r="K214" s="97">
        <f t="shared" si="90"/>
        <v>2320500</v>
      </c>
      <c r="L214" s="97">
        <f t="shared" si="90"/>
        <v>2756970</v>
      </c>
      <c r="M214" s="97">
        <f t="shared" si="90"/>
        <v>2239004</v>
      </c>
      <c r="N214" s="97">
        <f t="shared" si="90"/>
        <v>3300</v>
      </c>
      <c r="O214" s="97">
        <f t="shared" si="90"/>
        <v>2323630</v>
      </c>
      <c r="P214" s="97">
        <f t="shared" si="90"/>
        <v>87967657</v>
      </c>
      <c r="Q214" s="33"/>
      <c r="R214" s="32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</row>
    <row r="215" spans="1:527" s="22" customFormat="1" ht="47.25" x14ac:dyDescent="0.25">
      <c r="A215" s="59" t="s">
        <v>139</v>
      </c>
      <c r="B215" s="92" t="str">
        <f>'дод 7'!A19</f>
        <v>0160</v>
      </c>
      <c r="C215" s="92" t="str">
        <f>'дод 7'!B19</f>
        <v>0111</v>
      </c>
      <c r="D215" s="36" t="s">
        <v>493</v>
      </c>
      <c r="E215" s="98">
        <f t="shared" ref="E215:E223" si="91">F215+I215</f>
        <v>2178335</v>
      </c>
      <c r="F215" s="98">
        <f>2163700+3335+7200+4100</f>
        <v>2178335</v>
      </c>
      <c r="G215" s="98">
        <v>1695500</v>
      </c>
      <c r="H215" s="98">
        <f>18000+3335+7200+4100</f>
        <v>32635</v>
      </c>
      <c r="I215" s="98"/>
      <c r="J215" s="98">
        <f>L215+O215</f>
        <v>0</v>
      </c>
      <c r="K215" s="98"/>
      <c r="L215" s="98"/>
      <c r="M215" s="98"/>
      <c r="N215" s="98"/>
      <c r="O215" s="98"/>
      <c r="P215" s="98">
        <f t="shared" ref="P215:P223" si="92">E215+J215</f>
        <v>2178335</v>
      </c>
      <c r="Q215" s="23"/>
      <c r="R215" s="32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2" customFormat="1" ht="19.5" customHeight="1" x14ac:dyDescent="0.25">
      <c r="A216" s="59" t="s">
        <v>508</v>
      </c>
      <c r="B216" s="92">
        <v>1080</v>
      </c>
      <c r="C216" s="59" t="s">
        <v>57</v>
      </c>
      <c r="D216" s="60" t="s">
        <v>509</v>
      </c>
      <c r="E216" s="98">
        <f t="shared" si="91"/>
        <v>51160475</v>
      </c>
      <c r="F216" s="98">
        <f>50652500+65000+20000+30000+15000+165515+166200+46260</f>
        <v>51160475</v>
      </c>
      <c r="G216" s="98">
        <v>40594000</v>
      </c>
      <c r="H216" s="98">
        <f>612300+165515+166200+46260</f>
        <v>990275</v>
      </c>
      <c r="I216" s="98"/>
      <c r="J216" s="98">
        <f t="shared" ref="J216:J223" si="93">L216+O216</f>
        <v>2729100</v>
      </c>
      <c r="K216" s="98"/>
      <c r="L216" s="98">
        <v>2725970</v>
      </c>
      <c r="M216" s="98">
        <v>2226904</v>
      </c>
      <c r="N216" s="98"/>
      <c r="O216" s="98">
        <v>3130</v>
      </c>
      <c r="P216" s="98">
        <f t="shared" si="92"/>
        <v>53889575</v>
      </c>
      <c r="Q216" s="23"/>
      <c r="R216" s="32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</row>
    <row r="217" spans="1:527" s="22" customFormat="1" ht="21" customHeight="1" x14ac:dyDescent="0.25">
      <c r="A217" s="59" t="s">
        <v>193</v>
      </c>
      <c r="B217" s="92" t="str">
        <f>'дод 7'!A143</f>
        <v>4030</v>
      </c>
      <c r="C217" s="92" t="str">
        <f>'дод 7'!B143</f>
        <v>0824</v>
      </c>
      <c r="D217" s="60" t="str">
        <f>'дод 7'!C143</f>
        <v>Забезпечення діяльності бібліотек</v>
      </c>
      <c r="E217" s="98">
        <f t="shared" si="91"/>
        <v>23641974</v>
      </c>
      <c r="F217" s="98">
        <f>22627900+77000+112000+10000+2500+194764+62500+199000+50000+372700-12200-95970+41780</f>
        <v>23641974</v>
      </c>
      <c r="G217" s="98">
        <f>16852700-95970</f>
        <v>16756730</v>
      </c>
      <c r="H217" s="98">
        <f>1133500+194764+372700+41780</f>
        <v>1742744</v>
      </c>
      <c r="I217" s="98"/>
      <c r="J217" s="98">
        <f t="shared" si="93"/>
        <v>252500</v>
      </c>
      <c r="K217" s="98">
        <f>195000+20000+5000+7500</f>
        <v>227500</v>
      </c>
      <c r="L217" s="98">
        <v>25000</v>
      </c>
      <c r="M217" s="98">
        <v>12100</v>
      </c>
      <c r="N217" s="98"/>
      <c r="O217" s="98">
        <f>195000+20000+5000+7500</f>
        <v>227500</v>
      </c>
      <c r="P217" s="98">
        <f t="shared" si="92"/>
        <v>23894474</v>
      </c>
      <c r="Q217" s="23"/>
      <c r="R217" s="32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</row>
    <row r="218" spans="1:527" s="22" customFormat="1" ht="48.75" customHeight="1" x14ac:dyDescent="0.25">
      <c r="A218" s="59">
        <v>1014060</v>
      </c>
      <c r="B218" s="92" t="str">
        <f>'дод 7'!A144</f>
        <v>4060</v>
      </c>
      <c r="C218" s="92" t="str">
        <f>'дод 7'!B144</f>
        <v>0828</v>
      </c>
      <c r="D218" s="60" t="str">
        <f>'дод 7'!C144</f>
        <v>Забезпечення діяльності палаців i будинків культури, клубів, центрів дозвілля та iнших клубних закладів</v>
      </c>
      <c r="E218" s="98">
        <f t="shared" si="91"/>
        <v>2297816</v>
      </c>
      <c r="F218" s="98">
        <f>2160300+15160+20000+25000+40000+10156+22000+5200</f>
        <v>2297816</v>
      </c>
      <c r="G218" s="98">
        <f>1531600-2000</f>
        <v>1529600</v>
      </c>
      <c r="H218" s="98">
        <f>115700+15160+10156</f>
        <v>141016</v>
      </c>
      <c r="I218" s="98"/>
      <c r="J218" s="98">
        <f t="shared" si="93"/>
        <v>6000</v>
      </c>
      <c r="K218" s="98">
        <f>40000-40000</f>
        <v>0</v>
      </c>
      <c r="L218" s="98">
        <v>6000</v>
      </c>
      <c r="M218" s="98"/>
      <c r="N218" s="98">
        <v>3300</v>
      </c>
      <c r="O218" s="98">
        <f>40000-40000</f>
        <v>0</v>
      </c>
      <c r="P218" s="98">
        <f t="shared" si="92"/>
        <v>2303816</v>
      </c>
      <c r="Q218" s="23"/>
      <c r="R218" s="32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</row>
    <row r="219" spans="1:527" s="24" customFormat="1" ht="33.75" customHeight="1" x14ac:dyDescent="0.25">
      <c r="A219" s="59">
        <v>1014081</v>
      </c>
      <c r="B219" s="92" t="str">
        <f>'дод 7'!A145</f>
        <v>4081</v>
      </c>
      <c r="C219" s="92" t="str">
        <f>'дод 7'!B145</f>
        <v>0829</v>
      </c>
      <c r="D219" s="60" t="str">
        <f>'дод 7'!C145</f>
        <v>Забезпечення діяльності інших закладів в галузі культури і мистецтва</v>
      </c>
      <c r="E219" s="98">
        <f t="shared" si="91"/>
        <v>2228457</v>
      </c>
      <c r="F219" s="98">
        <f>2206400+1827+9400+7000+3830</f>
        <v>2228457</v>
      </c>
      <c r="G219" s="98">
        <f>1693000-4500</f>
        <v>1688500</v>
      </c>
      <c r="H219" s="98">
        <f>34900+1827+9400+3830</f>
        <v>49957</v>
      </c>
      <c r="I219" s="98"/>
      <c r="J219" s="98">
        <f t="shared" si="93"/>
        <v>23000</v>
      </c>
      <c r="K219" s="98">
        <v>23000</v>
      </c>
      <c r="L219" s="98"/>
      <c r="M219" s="98"/>
      <c r="N219" s="98"/>
      <c r="O219" s="98">
        <v>23000</v>
      </c>
      <c r="P219" s="98">
        <f t="shared" si="92"/>
        <v>2251457</v>
      </c>
      <c r="Q219" s="30"/>
      <c r="R219" s="32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  <c r="LU219" s="30"/>
      <c r="LV219" s="30"/>
      <c r="LW219" s="30"/>
      <c r="LX219" s="30"/>
      <c r="LY219" s="30"/>
      <c r="LZ219" s="30"/>
      <c r="MA219" s="30"/>
      <c r="MB219" s="30"/>
      <c r="MC219" s="30"/>
      <c r="MD219" s="30"/>
      <c r="ME219" s="30"/>
      <c r="MF219" s="30"/>
      <c r="MG219" s="30"/>
      <c r="MH219" s="30"/>
      <c r="MI219" s="30"/>
      <c r="MJ219" s="30"/>
      <c r="MK219" s="30"/>
      <c r="ML219" s="30"/>
      <c r="MM219" s="30"/>
      <c r="MN219" s="30"/>
      <c r="MO219" s="30"/>
      <c r="MP219" s="30"/>
      <c r="MQ219" s="30"/>
      <c r="MR219" s="30"/>
      <c r="MS219" s="30"/>
      <c r="MT219" s="30"/>
      <c r="MU219" s="30"/>
      <c r="MV219" s="30"/>
      <c r="MW219" s="30"/>
      <c r="MX219" s="30"/>
      <c r="MY219" s="30"/>
      <c r="MZ219" s="30"/>
      <c r="NA219" s="30"/>
      <c r="NB219" s="30"/>
      <c r="NC219" s="30"/>
      <c r="ND219" s="30"/>
      <c r="NE219" s="30"/>
      <c r="NF219" s="30"/>
      <c r="NG219" s="30"/>
      <c r="NH219" s="30"/>
      <c r="NI219" s="30"/>
      <c r="NJ219" s="30"/>
      <c r="NK219" s="30"/>
      <c r="NL219" s="30"/>
      <c r="NM219" s="30"/>
      <c r="NN219" s="30"/>
      <c r="NO219" s="30"/>
      <c r="NP219" s="30"/>
      <c r="NQ219" s="30"/>
      <c r="NR219" s="30"/>
      <c r="NS219" s="30"/>
      <c r="NT219" s="30"/>
      <c r="NU219" s="30"/>
      <c r="NV219" s="30"/>
      <c r="NW219" s="30"/>
      <c r="NX219" s="30"/>
      <c r="NY219" s="30"/>
      <c r="NZ219" s="30"/>
      <c r="OA219" s="30"/>
      <c r="OB219" s="30"/>
      <c r="OC219" s="30"/>
      <c r="OD219" s="30"/>
      <c r="OE219" s="30"/>
      <c r="OF219" s="30"/>
      <c r="OG219" s="30"/>
      <c r="OH219" s="30"/>
      <c r="OI219" s="30"/>
      <c r="OJ219" s="30"/>
      <c r="OK219" s="30"/>
      <c r="OL219" s="30"/>
      <c r="OM219" s="30"/>
      <c r="ON219" s="30"/>
      <c r="OO219" s="30"/>
      <c r="OP219" s="30"/>
      <c r="OQ219" s="30"/>
      <c r="OR219" s="30"/>
      <c r="OS219" s="30"/>
      <c r="OT219" s="30"/>
      <c r="OU219" s="30"/>
      <c r="OV219" s="30"/>
      <c r="OW219" s="30"/>
      <c r="OX219" s="30"/>
      <c r="OY219" s="30"/>
      <c r="OZ219" s="30"/>
      <c r="PA219" s="30"/>
      <c r="PB219" s="30"/>
      <c r="PC219" s="30"/>
      <c r="PD219" s="30"/>
      <c r="PE219" s="30"/>
      <c r="PF219" s="30"/>
      <c r="PG219" s="30"/>
      <c r="PH219" s="30"/>
      <c r="PI219" s="30"/>
      <c r="PJ219" s="30"/>
      <c r="PK219" s="30"/>
      <c r="PL219" s="30"/>
      <c r="PM219" s="30"/>
      <c r="PN219" s="30"/>
      <c r="PO219" s="30"/>
      <c r="PP219" s="30"/>
      <c r="PQ219" s="30"/>
      <c r="PR219" s="30"/>
      <c r="PS219" s="30"/>
      <c r="PT219" s="30"/>
      <c r="PU219" s="30"/>
      <c r="PV219" s="30"/>
      <c r="PW219" s="30"/>
      <c r="PX219" s="30"/>
      <c r="PY219" s="30"/>
      <c r="PZ219" s="30"/>
      <c r="QA219" s="30"/>
      <c r="QB219" s="30"/>
      <c r="QC219" s="30"/>
      <c r="QD219" s="30"/>
      <c r="QE219" s="30"/>
      <c r="QF219" s="30"/>
      <c r="QG219" s="30"/>
      <c r="QH219" s="30"/>
      <c r="QI219" s="30"/>
      <c r="QJ219" s="30"/>
      <c r="QK219" s="30"/>
      <c r="QL219" s="30"/>
      <c r="QM219" s="30"/>
      <c r="QN219" s="30"/>
      <c r="QO219" s="30"/>
      <c r="QP219" s="30"/>
      <c r="QQ219" s="30"/>
      <c r="QR219" s="30"/>
      <c r="QS219" s="30"/>
      <c r="QT219" s="30"/>
      <c r="QU219" s="30"/>
      <c r="QV219" s="30"/>
      <c r="QW219" s="30"/>
      <c r="QX219" s="30"/>
      <c r="QY219" s="30"/>
      <c r="QZ219" s="30"/>
      <c r="RA219" s="30"/>
      <c r="RB219" s="30"/>
      <c r="RC219" s="30"/>
      <c r="RD219" s="30"/>
      <c r="RE219" s="30"/>
      <c r="RF219" s="30"/>
      <c r="RG219" s="30"/>
      <c r="RH219" s="30"/>
      <c r="RI219" s="30"/>
      <c r="RJ219" s="30"/>
      <c r="RK219" s="30"/>
      <c r="RL219" s="30"/>
      <c r="RM219" s="30"/>
      <c r="RN219" s="30"/>
      <c r="RO219" s="30"/>
      <c r="RP219" s="30"/>
      <c r="RQ219" s="30"/>
      <c r="RR219" s="30"/>
      <c r="RS219" s="30"/>
      <c r="RT219" s="30"/>
      <c r="RU219" s="30"/>
      <c r="RV219" s="30"/>
      <c r="RW219" s="30"/>
      <c r="RX219" s="30"/>
      <c r="RY219" s="30"/>
      <c r="RZ219" s="30"/>
      <c r="SA219" s="30"/>
      <c r="SB219" s="30"/>
      <c r="SC219" s="30"/>
      <c r="SD219" s="30"/>
      <c r="SE219" s="30"/>
      <c r="SF219" s="30"/>
      <c r="SG219" s="30"/>
      <c r="SH219" s="30"/>
      <c r="SI219" s="30"/>
      <c r="SJ219" s="30"/>
      <c r="SK219" s="30"/>
      <c r="SL219" s="30"/>
      <c r="SM219" s="30"/>
      <c r="SN219" s="30"/>
      <c r="SO219" s="30"/>
      <c r="SP219" s="30"/>
      <c r="SQ219" s="30"/>
      <c r="SR219" s="30"/>
      <c r="SS219" s="30"/>
      <c r="ST219" s="30"/>
      <c r="SU219" s="30"/>
      <c r="SV219" s="30"/>
      <c r="SW219" s="30"/>
      <c r="SX219" s="30"/>
      <c r="SY219" s="30"/>
      <c r="SZ219" s="30"/>
      <c r="TA219" s="30"/>
      <c r="TB219" s="30"/>
      <c r="TC219" s="30"/>
      <c r="TD219" s="30"/>
      <c r="TE219" s="30"/>
      <c r="TF219" s="30"/>
      <c r="TG219" s="30"/>
    </row>
    <row r="220" spans="1:527" s="24" customFormat="1" ht="25.5" customHeight="1" x14ac:dyDescent="0.25">
      <c r="A220" s="59">
        <v>1014082</v>
      </c>
      <c r="B220" s="92" t="str">
        <f>'дод 7'!A146</f>
        <v>4082</v>
      </c>
      <c r="C220" s="92" t="str">
        <f>'дод 7'!B146</f>
        <v>0829</v>
      </c>
      <c r="D220" s="60" t="str">
        <f>'дод 7'!C146</f>
        <v>Інші заходи в галузі культури і мистецтва</v>
      </c>
      <c r="E220" s="98">
        <f t="shared" si="91"/>
        <v>1380000</v>
      </c>
      <c r="F220" s="98">
        <f>1100000+100000+85000+95000</f>
        <v>1380000</v>
      </c>
      <c r="G220" s="98"/>
      <c r="H220" s="98"/>
      <c r="I220" s="98"/>
      <c r="J220" s="98">
        <f t="shared" si="93"/>
        <v>0</v>
      </c>
      <c r="K220" s="98"/>
      <c r="L220" s="98"/>
      <c r="M220" s="98"/>
      <c r="N220" s="98"/>
      <c r="O220" s="98"/>
      <c r="P220" s="98">
        <f t="shared" si="92"/>
        <v>1380000</v>
      </c>
      <c r="Q220" s="30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</row>
    <row r="221" spans="1:527" s="24" customFormat="1" ht="21.75" customHeight="1" x14ac:dyDescent="0.25">
      <c r="A221" s="59" t="s">
        <v>455</v>
      </c>
      <c r="B221" s="59" t="s">
        <v>456</v>
      </c>
      <c r="C221" s="59" t="s">
        <v>111</v>
      </c>
      <c r="D221" s="6" t="s">
        <v>550</v>
      </c>
      <c r="E221" s="98">
        <f t="shared" si="91"/>
        <v>0</v>
      </c>
      <c r="F221" s="98"/>
      <c r="G221" s="98"/>
      <c r="H221" s="98"/>
      <c r="I221" s="98"/>
      <c r="J221" s="98">
        <f t="shared" si="93"/>
        <v>570000</v>
      </c>
      <c r="K221" s="98">
        <f>950000+20000-400000</f>
        <v>570000</v>
      </c>
      <c r="L221" s="98"/>
      <c r="M221" s="98"/>
      <c r="N221" s="98"/>
      <c r="O221" s="98">
        <f>950000+20000-400000</f>
        <v>570000</v>
      </c>
      <c r="P221" s="98">
        <f t="shared" si="92"/>
        <v>570000</v>
      </c>
      <c r="Q221" s="30"/>
      <c r="R221" s="32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  <c r="SQ221" s="30"/>
      <c r="SR221" s="30"/>
      <c r="SS221" s="30"/>
      <c r="ST221" s="30"/>
      <c r="SU221" s="30"/>
      <c r="SV221" s="30"/>
      <c r="SW221" s="30"/>
      <c r="SX221" s="30"/>
      <c r="SY221" s="30"/>
      <c r="SZ221" s="30"/>
      <c r="TA221" s="30"/>
      <c r="TB221" s="30"/>
      <c r="TC221" s="30"/>
      <c r="TD221" s="30"/>
      <c r="TE221" s="30"/>
      <c r="TF221" s="30"/>
      <c r="TG221" s="30"/>
    </row>
    <row r="222" spans="1:527" s="22" customFormat="1" ht="22.5" customHeight="1" x14ac:dyDescent="0.25">
      <c r="A222" s="59" t="s">
        <v>145</v>
      </c>
      <c r="B222" s="92" t="str">
        <f>'дод 7'!A222</f>
        <v>7640</v>
      </c>
      <c r="C222" s="92" t="str">
        <f>'дод 7'!B222</f>
        <v>0470</v>
      </c>
      <c r="D222" s="60" t="s">
        <v>422</v>
      </c>
      <c r="E222" s="98">
        <f t="shared" si="91"/>
        <v>0</v>
      </c>
      <c r="F222" s="98"/>
      <c r="G222" s="98"/>
      <c r="H222" s="98"/>
      <c r="I222" s="98"/>
      <c r="J222" s="98">
        <f t="shared" si="93"/>
        <v>1500000</v>
      </c>
      <c r="K222" s="98">
        <v>1500000</v>
      </c>
      <c r="L222" s="98"/>
      <c r="M222" s="98"/>
      <c r="N222" s="98"/>
      <c r="O222" s="98">
        <v>1500000</v>
      </c>
      <c r="P222" s="98">
        <f t="shared" si="92"/>
        <v>1500000</v>
      </c>
      <c r="Q222" s="23"/>
      <c r="R222" s="32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</row>
    <row r="223" spans="1:527" s="22" customFormat="1" ht="22.5" hidden="1" customHeight="1" x14ac:dyDescent="0.25">
      <c r="A223" s="59">
        <v>1018340</v>
      </c>
      <c r="B223" s="92" t="str">
        <f>'дод 7'!A244</f>
        <v>8340</v>
      </c>
      <c r="C223" s="92" t="str">
        <f>'дод 7'!B244</f>
        <v>0540</v>
      </c>
      <c r="D223" s="116" t="str">
        <f>'дод 7'!C244</f>
        <v>Природоохоронні заходи за рахунок цільових фондів</v>
      </c>
      <c r="E223" s="98">
        <f t="shared" si="91"/>
        <v>0</v>
      </c>
      <c r="F223" s="98"/>
      <c r="G223" s="98"/>
      <c r="H223" s="98"/>
      <c r="I223" s="98"/>
      <c r="J223" s="98">
        <f t="shared" si="93"/>
        <v>0</v>
      </c>
      <c r="K223" s="98"/>
      <c r="L223" s="98"/>
      <c r="M223" s="98"/>
      <c r="N223" s="98"/>
      <c r="O223" s="98"/>
      <c r="P223" s="98">
        <f t="shared" si="92"/>
        <v>0</v>
      </c>
      <c r="Q223" s="23"/>
      <c r="R223" s="32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</row>
    <row r="224" spans="1:527" s="27" customFormat="1" ht="34.5" customHeight="1" x14ac:dyDescent="0.25">
      <c r="A224" s="109" t="s">
        <v>194</v>
      </c>
      <c r="B224" s="111"/>
      <c r="C224" s="111"/>
      <c r="D224" s="106" t="s">
        <v>32</v>
      </c>
      <c r="E224" s="94">
        <f>E225</f>
        <v>307059470.62</v>
      </c>
      <c r="F224" s="94">
        <f t="shared" ref="F224:J224" si="94">F225</f>
        <v>274278647.31</v>
      </c>
      <c r="G224" s="94">
        <f t="shared" si="94"/>
        <v>11254400</v>
      </c>
      <c r="H224" s="94">
        <f t="shared" si="94"/>
        <v>37963801</v>
      </c>
      <c r="I224" s="94">
        <f t="shared" si="94"/>
        <v>32780823.309999999</v>
      </c>
      <c r="J224" s="94">
        <f t="shared" si="94"/>
        <v>198401474.81999999</v>
      </c>
      <c r="K224" s="94">
        <f t="shared" ref="K224" si="95">K225</f>
        <v>179274708.25</v>
      </c>
      <c r="L224" s="94">
        <f t="shared" ref="L224" si="96">L225</f>
        <v>15832686.57</v>
      </c>
      <c r="M224" s="94">
        <f t="shared" ref="M224" si="97">M225</f>
        <v>0</v>
      </c>
      <c r="N224" s="94">
        <f t="shared" ref="N224" si="98">N225</f>
        <v>0</v>
      </c>
      <c r="O224" s="94">
        <f t="shared" ref="O224:P224" si="99">O225</f>
        <v>182568788.25</v>
      </c>
      <c r="P224" s="94">
        <f t="shared" si="99"/>
        <v>505460945.43999994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</row>
    <row r="225" spans="1:527" s="34" customFormat="1" ht="31.5" x14ac:dyDescent="0.25">
      <c r="A225" s="95" t="s">
        <v>195</v>
      </c>
      <c r="B225" s="108"/>
      <c r="C225" s="108"/>
      <c r="D225" s="76" t="s">
        <v>396</v>
      </c>
      <c r="E225" s="97">
        <f>E233+E234+E235+E236+E237+E238+E239+E240+E241+E242+E246+E247+E248+E250+E249+E252+E254+E259+E261+E262+E263+E265+E268+E269+E270+E251+E256+E267+E266+E244</f>
        <v>307059470.62</v>
      </c>
      <c r="F225" s="97">
        <f t="shared" ref="F225:P225" si="100">F233+F234+F235+F236+F237+F238+F239+F240+F241+F242+F246+F247+F248+F250+F249+F252+F254+F259+F261+F262+F263+F265+F268+F269+F270+F251+F256+F267+F266+F244</f>
        <v>274278647.31</v>
      </c>
      <c r="G225" s="97">
        <f t="shared" si="100"/>
        <v>11254400</v>
      </c>
      <c r="H225" s="97">
        <f t="shared" si="100"/>
        <v>37963801</v>
      </c>
      <c r="I225" s="97">
        <f t="shared" si="100"/>
        <v>32780823.309999999</v>
      </c>
      <c r="J225" s="97">
        <f t="shared" si="100"/>
        <v>198401474.81999999</v>
      </c>
      <c r="K225" s="97">
        <f t="shared" si="100"/>
        <v>179274708.25</v>
      </c>
      <c r="L225" s="97">
        <f t="shared" si="100"/>
        <v>15832686.57</v>
      </c>
      <c r="M225" s="97">
        <f t="shared" si="100"/>
        <v>0</v>
      </c>
      <c r="N225" s="97">
        <f t="shared" si="100"/>
        <v>0</v>
      </c>
      <c r="O225" s="97">
        <f t="shared" si="100"/>
        <v>182568788.25</v>
      </c>
      <c r="P225" s="97">
        <f t="shared" si="100"/>
        <v>505460945.43999994</v>
      </c>
      <c r="Q225" s="33"/>
      <c r="R225" s="32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</row>
    <row r="226" spans="1:527" s="34" customFormat="1" ht="117.75" customHeight="1" x14ac:dyDescent="0.25">
      <c r="A226" s="95"/>
      <c r="B226" s="108"/>
      <c r="C226" s="108"/>
      <c r="D226" s="76" t="s">
        <v>397</v>
      </c>
      <c r="E226" s="97">
        <f>E257</f>
        <v>0</v>
      </c>
      <c r="F226" s="97">
        <f t="shared" ref="F226:P226" si="101">F257</f>
        <v>0</v>
      </c>
      <c r="G226" s="97">
        <f t="shared" si="101"/>
        <v>0</v>
      </c>
      <c r="H226" s="97">
        <f t="shared" si="101"/>
        <v>0</v>
      </c>
      <c r="I226" s="97">
        <f t="shared" si="101"/>
        <v>0</v>
      </c>
      <c r="J226" s="97">
        <f t="shared" si="101"/>
        <v>12100000</v>
      </c>
      <c r="K226" s="97">
        <f t="shared" si="101"/>
        <v>0</v>
      </c>
      <c r="L226" s="97">
        <f t="shared" si="101"/>
        <v>12100000</v>
      </c>
      <c r="M226" s="97">
        <f t="shared" si="101"/>
        <v>0</v>
      </c>
      <c r="N226" s="97">
        <f t="shared" si="101"/>
        <v>0</v>
      </c>
      <c r="O226" s="97">
        <f t="shared" si="101"/>
        <v>0</v>
      </c>
      <c r="P226" s="97">
        <f t="shared" si="101"/>
        <v>12100000</v>
      </c>
      <c r="Q226" s="33"/>
      <c r="R226" s="32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</row>
    <row r="227" spans="1:527" s="34" customFormat="1" ht="84" customHeight="1" x14ac:dyDescent="0.25">
      <c r="A227" s="95"/>
      <c r="B227" s="108"/>
      <c r="C227" s="108"/>
      <c r="D227" s="76" t="s">
        <v>539</v>
      </c>
      <c r="E227" s="97">
        <f>E258</f>
        <v>1527346</v>
      </c>
      <c r="F227" s="97">
        <f t="shared" ref="F227:P227" si="102">F258</f>
        <v>1527346</v>
      </c>
      <c r="G227" s="97">
        <f t="shared" si="102"/>
        <v>0</v>
      </c>
      <c r="H227" s="97">
        <f t="shared" si="102"/>
        <v>0</v>
      </c>
      <c r="I227" s="97">
        <f t="shared" si="102"/>
        <v>0</v>
      </c>
      <c r="J227" s="97">
        <f t="shared" si="102"/>
        <v>0</v>
      </c>
      <c r="K227" s="97">
        <f t="shared" si="102"/>
        <v>0</v>
      </c>
      <c r="L227" s="97">
        <f t="shared" si="102"/>
        <v>0</v>
      </c>
      <c r="M227" s="97">
        <f t="shared" si="102"/>
        <v>0</v>
      </c>
      <c r="N227" s="97">
        <f t="shared" si="102"/>
        <v>0</v>
      </c>
      <c r="O227" s="97">
        <f t="shared" si="102"/>
        <v>0</v>
      </c>
      <c r="P227" s="97">
        <f t="shared" si="102"/>
        <v>1527346</v>
      </c>
      <c r="Q227" s="33"/>
      <c r="R227" s="32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</row>
    <row r="228" spans="1:527" s="34" customFormat="1" ht="61.5" customHeight="1" x14ac:dyDescent="0.25">
      <c r="A228" s="95"/>
      <c r="B228" s="108"/>
      <c r="C228" s="108"/>
      <c r="D228" s="76" t="s">
        <v>388</v>
      </c>
      <c r="E228" s="97">
        <f>E253</f>
        <v>0</v>
      </c>
      <c r="F228" s="97">
        <f t="shared" ref="F228:P228" si="103">F253</f>
        <v>0</v>
      </c>
      <c r="G228" s="97">
        <f t="shared" si="103"/>
        <v>0</v>
      </c>
      <c r="H228" s="97">
        <f t="shared" si="103"/>
        <v>0</v>
      </c>
      <c r="I228" s="97">
        <f t="shared" si="103"/>
        <v>0</v>
      </c>
      <c r="J228" s="97">
        <f t="shared" si="103"/>
        <v>11377714</v>
      </c>
      <c r="K228" s="97">
        <f t="shared" si="103"/>
        <v>11377714</v>
      </c>
      <c r="L228" s="97">
        <f t="shared" si="103"/>
        <v>0</v>
      </c>
      <c r="M228" s="97">
        <f t="shared" si="103"/>
        <v>0</v>
      </c>
      <c r="N228" s="97">
        <f t="shared" si="103"/>
        <v>0</v>
      </c>
      <c r="O228" s="97">
        <f t="shared" si="103"/>
        <v>11377714</v>
      </c>
      <c r="P228" s="97">
        <f t="shared" si="103"/>
        <v>11377714</v>
      </c>
      <c r="Q228" s="33"/>
      <c r="R228" s="32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</row>
    <row r="229" spans="1:527" s="34" customFormat="1" ht="141.75" hidden="1" x14ac:dyDescent="0.25">
      <c r="A229" s="95"/>
      <c r="B229" s="108"/>
      <c r="C229" s="108"/>
      <c r="D229" s="144" t="s">
        <v>627</v>
      </c>
      <c r="E229" s="97">
        <f>E244</f>
        <v>0</v>
      </c>
      <c r="F229" s="97">
        <f t="shared" ref="F229:P229" si="104">F244</f>
        <v>0</v>
      </c>
      <c r="G229" s="97">
        <f t="shared" si="104"/>
        <v>0</v>
      </c>
      <c r="H229" s="97">
        <f t="shared" si="104"/>
        <v>0</v>
      </c>
      <c r="I229" s="97">
        <f t="shared" si="104"/>
        <v>0</v>
      </c>
      <c r="J229" s="97">
        <f t="shared" si="104"/>
        <v>0</v>
      </c>
      <c r="K229" s="97">
        <f t="shared" si="104"/>
        <v>0</v>
      </c>
      <c r="L229" s="97">
        <f t="shared" si="104"/>
        <v>0</v>
      </c>
      <c r="M229" s="97">
        <f t="shared" si="104"/>
        <v>0</v>
      </c>
      <c r="N229" s="97">
        <f t="shared" si="104"/>
        <v>0</v>
      </c>
      <c r="O229" s="97">
        <f t="shared" si="104"/>
        <v>0</v>
      </c>
      <c r="P229" s="97">
        <f t="shared" si="104"/>
        <v>0</v>
      </c>
      <c r="Q229" s="33"/>
      <c r="R229" s="32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  <c r="TG229" s="33"/>
    </row>
    <row r="230" spans="1:527" s="34" customFormat="1" ht="141.75" hidden="1" x14ac:dyDescent="0.25">
      <c r="A230" s="95"/>
      <c r="B230" s="108"/>
      <c r="C230" s="108"/>
      <c r="D230" s="82" t="s">
        <v>626</v>
      </c>
      <c r="E230" s="97">
        <f>E243</f>
        <v>0</v>
      </c>
      <c r="F230" s="97">
        <f t="shared" ref="F230:P230" si="105">F243</f>
        <v>0</v>
      </c>
      <c r="G230" s="97">
        <f t="shared" si="105"/>
        <v>0</v>
      </c>
      <c r="H230" s="97">
        <f t="shared" si="105"/>
        <v>0</v>
      </c>
      <c r="I230" s="97">
        <f t="shared" si="105"/>
        <v>0</v>
      </c>
      <c r="J230" s="97">
        <f t="shared" si="105"/>
        <v>0</v>
      </c>
      <c r="K230" s="97">
        <f t="shared" si="105"/>
        <v>0</v>
      </c>
      <c r="L230" s="97">
        <f t="shared" si="105"/>
        <v>0</v>
      </c>
      <c r="M230" s="97">
        <f t="shared" si="105"/>
        <v>0</v>
      </c>
      <c r="N230" s="97">
        <f t="shared" si="105"/>
        <v>0</v>
      </c>
      <c r="O230" s="97">
        <f t="shared" si="105"/>
        <v>0</v>
      </c>
      <c r="P230" s="97">
        <f t="shared" si="105"/>
        <v>0</v>
      </c>
      <c r="Q230" s="33"/>
      <c r="R230" s="32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</row>
    <row r="231" spans="1:527" s="34" customFormat="1" ht="15.75" x14ac:dyDescent="0.25">
      <c r="A231" s="95"/>
      <c r="B231" s="108"/>
      <c r="C231" s="108"/>
      <c r="D231" s="82" t="s">
        <v>393</v>
      </c>
      <c r="E231" s="97">
        <f>E255+E260</f>
        <v>200000</v>
      </c>
      <c r="F231" s="97">
        <f t="shared" ref="F231:P231" si="106">F255+F260</f>
        <v>200000</v>
      </c>
      <c r="G231" s="97">
        <f t="shared" si="106"/>
        <v>0</v>
      </c>
      <c r="H231" s="97">
        <f t="shared" si="106"/>
        <v>0</v>
      </c>
      <c r="I231" s="97">
        <f t="shared" si="106"/>
        <v>0</v>
      </c>
      <c r="J231" s="97">
        <f t="shared" si="106"/>
        <v>200000</v>
      </c>
      <c r="K231" s="97">
        <f t="shared" si="106"/>
        <v>200000</v>
      </c>
      <c r="L231" s="97">
        <f t="shared" si="106"/>
        <v>0</v>
      </c>
      <c r="M231" s="97">
        <f t="shared" si="106"/>
        <v>0</v>
      </c>
      <c r="N231" s="97">
        <f t="shared" si="106"/>
        <v>0</v>
      </c>
      <c r="O231" s="97">
        <f t="shared" si="106"/>
        <v>200000</v>
      </c>
      <c r="P231" s="97">
        <f t="shared" si="106"/>
        <v>400000</v>
      </c>
      <c r="Q231" s="33"/>
      <c r="R231" s="32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  <c r="TF231" s="33"/>
      <c r="TG231" s="33"/>
    </row>
    <row r="232" spans="1:527" s="34" customFormat="1" ht="15.75" x14ac:dyDescent="0.25">
      <c r="A232" s="95"/>
      <c r="B232" s="108"/>
      <c r="C232" s="108"/>
      <c r="D232" s="82" t="s">
        <v>419</v>
      </c>
      <c r="E232" s="97">
        <f>E264</f>
        <v>0</v>
      </c>
      <c r="F232" s="97">
        <f t="shared" ref="F232:P232" si="107">F264</f>
        <v>0</v>
      </c>
      <c r="G232" s="97">
        <f t="shared" si="107"/>
        <v>0</v>
      </c>
      <c r="H232" s="97">
        <f t="shared" si="107"/>
        <v>0</v>
      </c>
      <c r="I232" s="97">
        <f t="shared" si="107"/>
        <v>0</v>
      </c>
      <c r="J232" s="97">
        <f t="shared" si="107"/>
        <v>26250000</v>
      </c>
      <c r="K232" s="97">
        <f t="shared" si="107"/>
        <v>26250000</v>
      </c>
      <c r="L232" s="97">
        <f t="shared" si="107"/>
        <v>0</v>
      </c>
      <c r="M232" s="97">
        <f t="shared" si="107"/>
        <v>0</v>
      </c>
      <c r="N232" s="97">
        <f t="shared" si="107"/>
        <v>0</v>
      </c>
      <c r="O232" s="97">
        <f t="shared" si="107"/>
        <v>26250000</v>
      </c>
      <c r="P232" s="97">
        <f t="shared" si="107"/>
        <v>26250000</v>
      </c>
      <c r="Q232" s="33"/>
      <c r="R232" s="32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  <c r="TF232" s="33"/>
      <c r="TG232" s="33"/>
    </row>
    <row r="233" spans="1:527" s="22" customFormat="1" ht="47.25" x14ac:dyDescent="0.25">
      <c r="A233" s="59" t="s">
        <v>196</v>
      </c>
      <c r="B233" s="59" t="str">
        <f>'дод 7'!A19</f>
        <v>0160</v>
      </c>
      <c r="C233" s="59" t="str">
        <f>'дод 7'!B19</f>
        <v>0111</v>
      </c>
      <c r="D233" s="93" t="s">
        <v>493</v>
      </c>
      <c r="E233" s="98">
        <f t="shared" ref="E233:E270" si="108">F233+I233</f>
        <v>14495155</v>
      </c>
      <c r="F233" s="98">
        <f>14436900+5575-23920+76600</f>
        <v>14495155</v>
      </c>
      <c r="G233" s="98">
        <f>11274000-19600</f>
        <v>11254400</v>
      </c>
      <c r="H233" s="98">
        <f>203100+5575+76600</f>
        <v>285275</v>
      </c>
      <c r="I233" s="98"/>
      <c r="J233" s="98">
        <f>L233+O233</f>
        <v>0</v>
      </c>
      <c r="K233" s="98"/>
      <c r="L233" s="98"/>
      <c r="M233" s="98"/>
      <c r="N233" s="98"/>
      <c r="O233" s="98"/>
      <c r="P233" s="98">
        <f t="shared" ref="P233:P270" si="109">E233+J233</f>
        <v>14495155</v>
      </c>
      <c r="Q233" s="23"/>
      <c r="R233" s="32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23.25" customHeight="1" x14ac:dyDescent="0.25">
      <c r="A234" s="59" t="s">
        <v>542</v>
      </c>
      <c r="B234" s="59" t="s">
        <v>45</v>
      </c>
      <c r="C234" s="59" t="s">
        <v>93</v>
      </c>
      <c r="D234" s="93" t="s">
        <v>242</v>
      </c>
      <c r="E234" s="98">
        <f t="shared" si="108"/>
        <v>600000</v>
      </c>
      <c r="F234" s="98">
        <f>1000000-400000</f>
        <v>600000</v>
      </c>
      <c r="G234" s="98"/>
      <c r="H234" s="98"/>
      <c r="I234" s="98"/>
      <c r="J234" s="98">
        <f>L234+O234</f>
        <v>0</v>
      </c>
      <c r="K234" s="98"/>
      <c r="L234" s="98"/>
      <c r="M234" s="98"/>
      <c r="N234" s="98"/>
      <c r="O234" s="98"/>
      <c r="P234" s="98">
        <f t="shared" si="109"/>
        <v>600000</v>
      </c>
      <c r="Q234" s="23"/>
      <c r="R234" s="32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15.75" hidden="1" x14ac:dyDescent="0.25">
      <c r="A235" s="102" t="s">
        <v>302</v>
      </c>
      <c r="B235" s="42" t="str">
        <f>'дод 7'!A132</f>
        <v>3210</v>
      </c>
      <c r="C235" s="42" t="str">
        <f>'дод 7'!B132</f>
        <v>1050</v>
      </c>
      <c r="D235" s="36" t="str">
        <f>'дод 7'!C132</f>
        <v>Організація та проведення громадських робіт</v>
      </c>
      <c r="E235" s="98">
        <f t="shared" si="108"/>
        <v>0</v>
      </c>
      <c r="F235" s="98">
        <f>200000-40000-160000</f>
        <v>0</v>
      </c>
      <c r="G235" s="98"/>
      <c r="H235" s="98"/>
      <c r="I235" s="98"/>
      <c r="J235" s="98">
        <f t="shared" ref="J235:J270" si="110">L235+O235</f>
        <v>0</v>
      </c>
      <c r="K235" s="98"/>
      <c r="L235" s="98"/>
      <c r="M235" s="98"/>
      <c r="N235" s="98"/>
      <c r="O235" s="98"/>
      <c r="P235" s="98">
        <f t="shared" si="109"/>
        <v>0</v>
      </c>
      <c r="Q235" s="23"/>
      <c r="R235" s="32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33.75" customHeight="1" x14ac:dyDescent="0.25">
      <c r="A236" s="59" t="s">
        <v>197</v>
      </c>
      <c r="B236" s="92" t="str">
        <f>'дод 7'!A159</f>
        <v>6011</v>
      </c>
      <c r="C236" s="92" t="str">
        <f>'дод 7'!B159</f>
        <v>0610</v>
      </c>
      <c r="D236" s="60" t="str">
        <f>'дод 7'!C159</f>
        <v>Експлуатація та технічне обслуговування житлового фонду</v>
      </c>
      <c r="E236" s="98">
        <f t="shared" si="108"/>
        <v>0</v>
      </c>
      <c r="F236" s="98"/>
      <c r="G236" s="98"/>
      <c r="H236" s="98"/>
      <c r="I236" s="98"/>
      <c r="J236" s="98">
        <f t="shared" si="110"/>
        <v>9020843.5199999996</v>
      </c>
      <c r="K236" s="98">
        <f>7054092-807126.65+807126.65+172300+40000+154400+169950+593700+23900-19300+37614+100560+126700+49900+62000+204157+49000+650100-124900+49900-365100+44300+162056-80000-50197-84660+49950-9687.74-23505.06-32594.45-20271.23</f>
        <v>8984363.5199999996</v>
      </c>
      <c r="L236" s="98"/>
      <c r="M236" s="98"/>
      <c r="N236" s="98"/>
      <c r="O236" s="98">
        <f>7090572-807126.65+807126.65+172300+40000+154400+169950+593700+23900-19300+37614+100560+126700+49900+62000+204157+49000+650100-124900+49900-365100+44300+162056-80000-50197-84660+49950-9687.74-23505.06-32594.45-20271.23</f>
        <v>9020843.5199999996</v>
      </c>
      <c r="P236" s="98">
        <f t="shared" si="109"/>
        <v>9020843.5199999996</v>
      </c>
      <c r="Q236" s="23"/>
      <c r="R236" s="32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31.5" x14ac:dyDescent="0.25">
      <c r="A237" s="59" t="s">
        <v>198</v>
      </c>
      <c r="B237" s="92" t="str">
        <f>'дод 7'!A160</f>
        <v>6013</v>
      </c>
      <c r="C237" s="92" t="str">
        <f>'дод 7'!B160</f>
        <v>0620</v>
      </c>
      <c r="D237" s="60" t="str">
        <f>'дод 7'!C160</f>
        <v>Забезпечення діяльності водопровідно-каналізаційного господарства</v>
      </c>
      <c r="E237" s="98">
        <f t="shared" si="108"/>
        <v>29081568</v>
      </c>
      <c r="F237" s="98">
        <f>576568+5000</f>
        <v>581568</v>
      </c>
      <c r="G237" s="98"/>
      <c r="H237" s="98"/>
      <c r="I237" s="98">
        <v>28500000</v>
      </c>
      <c r="J237" s="98">
        <f t="shared" si="110"/>
        <v>200000</v>
      </c>
      <c r="K237" s="98">
        <f>230000-30000</f>
        <v>200000</v>
      </c>
      <c r="L237" s="98"/>
      <c r="M237" s="98"/>
      <c r="N237" s="98"/>
      <c r="O237" s="98">
        <f>230000-30000</f>
        <v>200000</v>
      </c>
      <c r="P237" s="98">
        <f t="shared" si="109"/>
        <v>29281568</v>
      </c>
      <c r="Q237" s="23"/>
      <c r="R237" s="32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2" customFormat="1" ht="33" customHeight="1" x14ac:dyDescent="0.25">
      <c r="A238" s="59" t="s">
        <v>259</v>
      </c>
      <c r="B238" s="92" t="str">
        <f>'дод 7'!A161</f>
        <v>6015</v>
      </c>
      <c r="C238" s="92" t="str">
        <f>'дод 7'!B161</f>
        <v>0620</v>
      </c>
      <c r="D238" s="60" t="str">
        <f>'дод 7'!C161</f>
        <v>Забезпечення надійної та безперебійної експлуатації ліфтів</v>
      </c>
      <c r="E238" s="98">
        <f t="shared" si="108"/>
        <v>71280</v>
      </c>
      <c r="F238" s="98">
        <v>71280</v>
      </c>
      <c r="G238" s="98"/>
      <c r="H238" s="98"/>
      <c r="I238" s="98"/>
      <c r="J238" s="98">
        <f t="shared" si="110"/>
        <v>32295150</v>
      </c>
      <c r="K238" s="98">
        <f>6600000-96212+96212+4439600+1450000+700000+590000+232000-200000-200000+50000+318000+80000+592000+16000+65000+17450000+447450+835000+75000-115000-234900-977000+32000</f>
        <v>32245150</v>
      </c>
      <c r="L238" s="98"/>
      <c r="M238" s="98"/>
      <c r="N238" s="98"/>
      <c r="O238" s="98">
        <f>6650000-96212+96212+4439600+1450000+700000+590000+232000-200000-200000+50000+318000+80000+592000+16000+65000+17450000+447450+835000+75000-115000-234900-977000+32000</f>
        <v>32295150</v>
      </c>
      <c r="P238" s="98">
        <f t="shared" si="109"/>
        <v>32366430</v>
      </c>
      <c r="Q238" s="23"/>
      <c r="R238" s="32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</row>
    <row r="239" spans="1:527" s="22" customFormat="1" ht="32.25" customHeight="1" x14ac:dyDescent="0.25">
      <c r="A239" s="59" t="s">
        <v>262</v>
      </c>
      <c r="B239" s="92" t="str">
        <f>'дод 7'!A162</f>
        <v>6017</v>
      </c>
      <c r="C239" s="92" t="str">
        <f>'дод 7'!B162</f>
        <v>0620</v>
      </c>
      <c r="D239" s="60" t="str">
        <f>'дод 7'!C162</f>
        <v>Інша діяльність, пов’язана з експлуатацією об’єктів житлово-комунального господарства</v>
      </c>
      <c r="E239" s="98">
        <f t="shared" si="108"/>
        <v>100000</v>
      </c>
      <c r="F239" s="98">
        <v>100000</v>
      </c>
      <c r="G239" s="98"/>
      <c r="H239" s="98"/>
      <c r="I239" s="98"/>
      <c r="J239" s="98">
        <f t="shared" si="110"/>
        <v>0</v>
      </c>
      <c r="K239" s="98"/>
      <c r="L239" s="98"/>
      <c r="M239" s="98"/>
      <c r="N239" s="98"/>
      <c r="O239" s="98"/>
      <c r="P239" s="98">
        <f t="shared" si="109"/>
        <v>100000</v>
      </c>
      <c r="Q239" s="23"/>
      <c r="R239" s="32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47.25" x14ac:dyDescent="0.25">
      <c r="A240" s="59" t="s">
        <v>199</v>
      </c>
      <c r="B240" s="92" t="str">
        <f>'дод 7'!A163</f>
        <v>6020</v>
      </c>
      <c r="C240" s="92" t="str">
        <f>'дод 7'!B163</f>
        <v>0620</v>
      </c>
      <c r="D240" s="60" t="str">
        <f>'дод 7'!C163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0" s="98">
        <f t="shared" si="108"/>
        <v>2815132.48</v>
      </c>
      <c r="F240" s="98"/>
      <c r="G240" s="98"/>
      <c r="H240" s="98"/>
      <c r="I240" s="98">
        <f>1786258.48+1028874</f>
        <v>2815132.48</v>
      </c>
      <c r="J240" s="98">
        <f t="shared" si="110"/>
        <v>85000</v>
      </c>
      <c r="K240" s="98">
        <f>85000</f>
        <v>85000</v>
      </c>
      <c r="L240" s="98"/>
      <c r="M240" s="98"/>
      <c r="N240" s="98"/>
      <c r="O240" s="98">
        <f>85000</f>
        <v>85000</v>
      </c>
      <c r="P240" s="98">
        <f t="shared" si="109"/>
        <v>2900132.48</v>
      </c>
      <c r="Q240" s="23"/>
      <c r="R240" s="32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24.75" customHeight="1" x14ac:dyDescent="0.25">
      <c r="A241" s="59" t="s">
        <v>200</v>
      </c>
      <c r="B241" s="92" t="str">
        <f>'дод 7'!A164</f>
        <v>6030</v>
      </c>
      <c r="C241" s="92" t="str">
        <f>'дод 7'!B164</f>
        <v>0620</v>
      </c>
      <c r="D241" s="60" t="str">
        <f>'дод 7'!C164</f>
        <v>Організація благоустрою населених пунктів</v>
      </c>
      <c r="E241" s="98">
        <f t="shared" si="108"/>
        <v>240913355.25999999</v>
      </c>
      <c r="F241" s="98">
        <f>245778703.78+17600-5000000+9687.74+23505.06+32594.45+20271.23-19007</f>
        <v>240863355.25999999</v>
      </c>
      <c r="G241" s="98"/>
      <c r="H241" s="98">
        <f>37647943-19007</f>
        <v>37628936</v>
      </c>
      <c r="I241" s="98">
        <v>50000</v>
      </c>
      <c r="J241" s="98">
        <f t="shared" si="110"/>
        <v>40200749.079999991</v>
      </c>
      <c r="K241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+49900-680528+800000</f>
        <v>40200749.079999991</v>
      </c>
      <c r="L241" s="112"/>
      <c r="M241" s="98"/>
      <c r="N241" s="98"/>
      <c r="O241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+49900-680528+800000</f>
        <v>40200749.079999991</v>
      </c>
      <c r="P241" s="98">
        <f t="shared" si="109"/>
        <v>281114104.33999997</v>
      </c>
      <c r="Q241" s="23"/>
      <c r="R241" s="32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126" hidden="1" x14ac:dyDescent="0.25">
      <c r="A242" s="59" t="s">
        <v>624</v>
      </c>
      <c r="B242" s="92">
        <v>6072</v>
      </c>
      <c r="C242" s="59" t="s">
        <v>312</v>
      </c>
      <c r="D242" s="60" t="s">
        <v>625</v>
      </c>
      <c r="E242" s="98">
        <f t="shared" si="108"/>
        <v>0</v>
      </c>
      <c r="F242" s="98"/>
      <c r="G242" s="98"/>
      <c r="H242" s="98"/>
      <c r="I242" s="98"/>
      <c r="J242" s="98">
        <f t="shared" si="110"/>
        <v>0</v>
      </c>
      <c r="K242" s="98"/>
      <c r="L242" s="112"/>
      <c r="M242" s="98"/>
      <c r="N242" s="98"/>
      <c r="O242" s="98"/>
      <c r="P242" s="98">
        <f t="shared" si="109"/>
        <v>0</v>
      </c>
      <c r="Q242" s="23"/>
      <c r="R242" s="32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4" customFormat="1" ht="141.75" hidden="1" x14ac:dyDescent="0.25">
      <c r="A243" s="83"/>
      <c r="B243" s="110"/>
      <c r="C243" s="110"/>
      <c r="D243" s="84" t="s">
        <v>626</v>
      </c>
      <c r="E243" s="100">
        <f t="shared" si="108"/>
        <v>0</v>
      </c>
      <c r="F243" s="100"/>
      <c r="G243" s="100"/>
      <c r="H243" s="100"/>
      <c r="I243" s="100"/>
      <c r="J243" s="100">
        <f t="shared" si="110"/>
        <v>0</v>
      </c>
      <c r="K243" s="100"/>
      <c r="L243" s="113"/>
      <c r="M243" s="100"/>
      <c r="N243" s="100"/>
      <c r="O243" s="100"/>
      <c r="P243" s="100">
        <f t="shared" si="109"/>
        <v>0</v>
      </c>
      <c r="Q243" s="30"/>
      <c r="R243" s="33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  <c r="LU243" s="30"/>
      <c r="LV243" s="30"/>
      <c r="LW243" s="30"/>
      <c r="LX243" s="30"/>
      <c r="LY243" s="30"/>
      <c r="LZ243" s="30"/>
      <c r="MA243" s="30"/>
      <c r="MB243" s="30"/>
      <c r="MC243" s="30"/>
      <c r="MD243" s="30"/>
      <c r="ME243" s="30"/>
      <c r="MF243" s="30"/>
      <c r="MG243" s="30"/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30"/>
      <c r="MW243" s="30"/>
      <c r="MX243" s="30"/>
      <c r="MY243" s="30"/>
      <c r="MZ243" s="30"/>
      <c r="NA243" s="30"/>
      <c r="NB243" s="30"/>
      <c r="NC243" s="30"/>
      <c r="ND243" s="30"/>
      <c r="NE243" s="30"/>
      <c r="NF243" s="30"/>
      <c r="NG243" s="30"/>
      <c r="NH243" s="30"/>
      <c r="NI243" s="30"/>
      <c r="NJ243" s="30"/>
      <c r="NK243" s="30"/>
      <c r="NL243" s="30"/>
      <c r="NM243" s="30"/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30"/>
      <c r="NY243" s="30"/>
      <c r="NZ243" s="30"/>
      <c r="OA243" s="30"/>
      <c r="OB243" s="30"/>
      <c r="OC243" s="30"/>
      <c r="OD243" s="30"/>
      <c r="OE243" s="30"/>
      <c r="OF243" s="30"/>
      <c r="OG243" s="30"/>
      <c r="OH243" s="30"/>
      <c r="OI243" s="30"/>
      <c r="OJ243" s="30"/>
      <c r="OK243" s="30"/>
      <c r="OL243" s="30"/>
      <c r="OM243" s="30"/>
      <c r="ON243" s="30"/>
      <c r="OO243" s="30"/>
      <c r="OP243" s="30"/>
      <c r="OQ243" s="30"/>
      <c r="OR243" s="30"/>
      <c r="OS243" s="30"/>
      <c r="OT243" s="30"/>
      <c r="OU243" s="30"/>
      <c r="OV243" s="30"/>
      <c r="OW243" s="30"/>
      <c r="OX243" s="30"/>
      <c r="OY243" s="30"/>
      <c r="OZ243" s="30"/>
      <c r="PA243" s="30"/>
      <c r="PB243" s="30"/>
      <c r="PC243" s="30"/>
      <c r="PD243" s="30"/>
      <c r="PE243" s="30"/>
      <c r="PF243" s="30"/>
      <c r="PG243" s="30"/>
      <c r="PH243" s="30"/>
      <c r="PI243" s="30"/>
      <c r="PJ243" s="30"/>
      <c r="PK243" s="30"/>
      <c r="PL243" s="30"/>
      <c r="PM243" s="30"/>
      <c r="PN243" s="30"/>
      <c r="PO243" s="30"/>
      <c r="PP243" s="30"/>
      <c r="PQ243" s="30"/>
      <c r="PR243" s="30"/>
      <c r="PS243" s="30"/>
      <c r="PT243" s="30"/>
      <c r="PU243" s="30"/>
      <c r="PV243" s="30"/>
      <c r="PW243" s="30"/>
      <c r="PX243" s="30"/>
      <c r="PY243" s="30"/>
      <c r="PZ243" s="30"/>
      <c r="QA243" s="30"/>
      <c r="QB243" s="30"/>
      <c r="QC243" s="30"/>
      <c r="QD243" s="30"/>
      <c r="QE243" s="30"/>
      <c r="QF243" s="30"/>
      <c r="QG243" s="30"/>
      <c r="QH243" s="30"/>
      <c r="QI243" s="30"/>
      <c r="QJ243" s="30"/>
      <c r="QK243" s="30"/>
      <c r="QL243" s="30"/>
      <c r="QM243" s="30"/>
      <c r="QN243" s="30"/>
      <c r="QO243" s="30"/>
      <c r="QP243" s="30"/>
      <c r="QQ243" s="30"/>
      <c r="QR243" s="30"/>
      <c r="QS243" s="30"/>
      <c r="QT243" s="30"/>
      <c r="QU243" s="30"/>
      <c r="QV243" s="30"/>
      <c r="QW243" s="30"/>
      <c r="QX243" s="30"/>
      <c r="QY243" s="30"/>
      <c r="QZ243" s="30"/>
      <c r="RA243" s="30"/>
      <c r="RB243" s="30"/>
      <c r="RC243" s="30"/>
      <c r="RD243" s="30"/>
      <c r="RE243" s="30"/>
      <c r="RF243" s="30"/>
      <c r="RG243" s="30"/>
      <c r="RH243" s="30"/>
      <c r="RI243" s="30"/>
      <c r="RJ243" s="30"/>
      <c r="RK243" s="30"/>
      <c r="RL243" s="30"/>
      <c r="RM243" s="30"/>
      <c r="RN243" s="30"/>
      <c r="RO243" s="30"/>
      <c r="RP243" s="30"/>
      <c r="RQ243" s="30"/>
      <c r="RR243" s="30"/>
      <c r="RS243" s="30"/>
      <c r="RT243" s="30"/>
      <c r="RU243" s="30"/>
      <c r="RV243" s="30"/>
      <c r="RW243" s="30"/>
      <c r="RX243" s="30"/>
      <c r="RY243" s="30"/>
      <c r="RZ243" s="30"/>
      <c r="SA243" s="30"/>
      <c r="SB243" s="30"/>
      <c r="SC243" s="30"/>
      <c r="SD243" s="30"/>
      <c r="SE243" s="30"/>
      <c r="SF243" s="30"/>
      <c r="SG243" s="30"/>
      <c r="SH243" s="30"/>
      <c r="SI243" s="30"/>
      <c r="SJ243" s="30"/>
      <c r="SK243" s="30"/>
      <c r="SL243" s="30"/>
      <c r="SM243" s="30"/>
      <c r="SN243" s="30"/>
      <c r="SO243" s="30"/>
      <c r="SP243" s="30"/>
      <c r="SQ243" s="30"/>
      <c r="SR243" s="30"/>
      <c r="SS243" s="30"/>
      <c r="ST243" s="30"/>
      <c r="SU243" s="30"/>
      <c r="SV243" s="30"/>
      <c r="SW243" s="30"/>
      <c r="SX243" s="30"/>
      <c r="SY243" s="30"/>
      <c r="SZ243" s="30"/>
      <c r="TA243" s="30"/>
      <c r="TB243" s="30"/>
      <c r="TC243" s="30"/>
      <c r="TD243" s="30"/>
      <c r="TE243" s="30"/>
      <c r="TF243" s="30"/>
      <c r="TG243" s="30"/>
    </row>
    <row r="244" spans="1:527" s="22" customFormat="1" ht="94.5" hidden="1" x14ac:dyDescent="0.25">
      <c r="A244" s="59" t="s">
        <v>612</v>
      </c>
      <c r="B244" s="92">
        <v>6083</v>
      </c>
      <c r="C244" s="59" t="s">
        <v>68</v>
      </c>
      <c r="D244" s="11" t="s">
        <v>438</v>
      </c>
      <c r="E244" s="98">
        <f>F244+I244</f>
        <v>0</v>
      </c>
      <c r="F244" s="98"/>
      <c r="G244" s="98"/>
      <c r="H244" s="98"/>
      <c r="I244" s="98"/>
      <c r="J244" s="98">
        <f t="shared" si="110"/>
        <v>0</v>
      </c>
      <c r="K244" s="98">
        <f>615000+90587-705587</f>
        <v>0</v>
      </c>
      <c r="L244" s="98"/>
      <c r="M244" s="98"/>
      <c r="N244" s="98"/>
      <c r="O244" s="98">
        <f>615000+90587-705587</f>
        <v>0</v>
      </c>
      <c r="P244" s="98">
        <f>E244+J244</f>
        <v>0</v>
      </c>
      <c r="Q244" s="23"/>
      <c r="R244" s="32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141.75" hidden="1" x14ac:dyDescent="0.25">
      <c r="A245" s="83"/>
      <c r="B245" s="110"/>
      <c r="C245" s="83"/>
      <c r="D245" s="89" t="s">
        <v>618</v>
      </c>
      <c r="E245" s="98">
        <f>F245+I245</f>
        <v>0</v>
      </c>
      <c r="F245" s="100"/>
      <c r="G245" s="100"/>
      <c r="H245" s="100"/>
      <c r="I245" s="100"/>
      <c r="J245" s="98">
        <f t="shared" si="110"/>
        <v>0</v>
      </c>
      <c r="K245" s="100">
        <f>615000+90587-705587</f>
        <v>0</v>
      </c>
      <c r="L245" s="100"/>
      <c r="M245" s="100"/>
      <c r="N245" s="100"/>
      <c r="O245" s="100">
        <f>615000+90587-705587</f>
        <v>0</v>
      </c>
      <c r="P245" s="98">
        <f>E245+J245</f>
        <v>0</v>
      </c>
      <c r="Q245" s="23"/>
      <c r="R245" s="32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31.5" customHeight="1" x14ac:dyDescent="0.25">
      <c r="A246" s="59" t="s">
        <v>252</v>
      </c>
      <c r="B246" s="92" t="str">
        <f>'дод 7'!A170</f>
        <v>6090</v>
      </c>
      <c r="C246" s="92" t="str">
        <f>'дод 7'!B170</f>
        <v>0640</v>
      </c>
      <c r="D246" s="60" t="str">
        <f>'дод 7'!C170</f>
        <v>Інша діяльність у сфері житлово-комунального господарства</v>
      </c>
      <c r="E246" s="98">
        <f t="shared" si="108"/>
        <v>6243530.0099999998</v>
      </c>
      <c r="F246" s="98">
        <f>6934142.01-1027972.83-5720+150000</f>
        <v>6050449.1799999997</v>
      </c>
      <c r="G246" s="98"/>
      <c r="H246" s="98">
        <v>49590</v>
      </c>
      <c r="I246" s="98">
        <f>300000+48982-5901.17-150000</f>
        <v>193080.83000000002</v>
      </c>
      <c r="J246" s="98">
        <f t="shared" si="110"/>
        <v>1785000</v>
      </c>
      <c r="K246" s="98"/>
      <c r="L246" s="98">
        <v>1785000</v>
      </c>
      <c r="M246" s="98"/>
      <c r="N246" s="98"/>
      <c r="O246" s="98"/>
      <c r="P246" s="98">
        <f t="shared" si="109"/>
        <v>8028530.0099999998</v>
      </c>
      <c r="Q246" s="23"/>
      <c r="R246" s="32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34.5" x14ac:dyDescent="0.25">
      <c r="A247" s="59" t="s">
        <v>271</v>
      </c>
      <c r="B247" s="92" t="str">
        <f>'дод 7'!A183</f>
        <v>7310</v>
      </c>
      <c r="C247" s="92" t="str">
        <f>'дод 7'!B183</f>
        <v>0443</v>
      </c>
      <c r="D247" s="6" t="s">
        <v>551</v>
      </c>
      <c r="E247" s="98">
        <f t="shared" si="108"/>
        <v>0</v>
      </c>
      <c r="F247" s="98"/>
      <c r="G247" s="98"/>
      <c r="H247" s="98"/>
      <c r="I247" s="98"/>
      <c r="J247" s="98">
        <f t="shared" si="110"/>
        <v>26134591.07</v>
      </c>
      <c r="K247" s="98">
        <f>19836513+300000-38050+50000+200000-169950-49900-49900+49900-49900+85000-200000-3000000+600000-33000+1500000+600000+5700078.07-1389000-319295-65500+2577595</f>
        <v>26134591.07</v>
      </c>
      <c r="L247" s="98"/>
      <c r="M247" s="98"/>
      <c r="N247" s="98"/>
      <c r="O247" s="98">
        <f>19836513+300000-38050+50000+200000-169950-49900-49900+49900-49900+85000-200000-3000000+600000-33000+1500000+600000+5700078.07-1389000-319295-65500+2577595</f>
        <v>26134591.07</v>
      </c>
      <c r="P247" s="98">
        <f t="shared" si="109"/>
        <v>26134591.07</v>
      </c>
      <c r="Q247" s="23"/>
      <c r="R247" s="32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21" customHeight="1" x14ac:dyDescent="0.25">
      <c r="A248" s="59" t="s">
        <v>273</v>
      </c>
      <c r="B248" s="92" t="str">
        <f>'дод 7'!A191</f>
        <v>7330</v>
      </c>
      <c r="C248" s="92" t="str">
        <f>'дод 7'!B191</f>
        <v>0443</v>
      </c>
      <c r="D248" s="6" t="s">
        <v>546</v>
      </c>
      <c r="E248" s="98">
        <f t="shared" si="108"/>
        <v>0</v>
      </c>
      <c r="F248" s="98"/>
      <c r="G248" s="98"/>
      <c r="H248" s="98"/>
      <c r="I248" s="98"/>
      <c r="J248" s="98">
        <f t="shared" si="110"/>
        <v>19402140.579999998</v>
      </c>
      <c r="K248" s="98">
        <f>22088598+49900-407389.42-200000+3500000-4000000+500000+30000+250000+49900-70000+1000000-726244-230045-3300000+990000+151656+1300000-1300000+50000-190000+300000-1201200+240000+104000+20000+115000+50000+240430-2465</f>
        <v>19402140.579999998</v>
      </c>
      <c r="L248" s="98"/>
      <c r="M248" s="98"/>
      <c r="N248" s="98"/>
      <c r="O248" s="98">
        <f>22088598+49900-407389.42-200000+3500000-4000000+500000+30000+250000+49900-70000+1000000-726244-230045-3300000+990000+151656+1300000-1300000+50000-190000+300000-1201200+240000+104000+20000+115000+50000+240430-2465</f>
        <v>19402140.579999998</v>
      </c>
      <c r="P248" s="98">
        <f t="shared" si="109"/>
        <v>19402140.579999998</v>
      </c>
      <c r="Q248" s="23"/>
      <c r="R248" s="32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2" customFormat="1" ht="33" customHeight="1" x14ac:dyDescent="0.25">
      <c r="A249" s="59" t="s">
        <v>201</v>
      </c>
      <c r="B249" s="92">
        <v>7340</v>
      </c>
      <c r="C249" s="92" t="str">
        <f>'дод 7'!B190</f>
        <v>0443</v>
      </c>
      <c r="D249" s="60" t="str">
        <f>'дод 7'!C192</f>
        <v>Проектування, реставрація та охорона пам'яток архітектури</v>
      </c>
      <c r="E249" s="98">
        <f t="shared" ref="E249" si="111">F249+I249</f>
        <v>0</v>
      </c>
      <c r="F249" s="98"/>
      <c r="G249" s="98"/>
      <c r="H249" s="98"/>
      <c r="I249" s="98"/>
      <c r="J249" s="98">
        <f t="shared" ref="J249" si="112">L249+O249</f>
        <v>3250000</v>
      </c>
      <c r="K249" s="98">
        <f>3250000</f>
        <v>3250000</v>
      </c>
      <c r="L249" s="98"/>
      <c r="M249" s="98"/>
      <c r="N249" s="98"/>
      <c r="O249" s="98">
        <f>3250000</f>
        <v>3250000</v>
      </c>
      <c r="P249" s="98">
        <f t="shared" ref="P249" si="113">E249+J249</f>
        <v>3250000</v>
      </c>
      <c r="Q249" s="23"/>
      <c r="R249" s="32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</row>
    <row r="250" spans="1:527" s="22" customFormat="1" ht="49.5" hidden="1" customHeight="1" x14ac:dyDescent="0.25">
      <c r="A250" s="59" t="s">
        <v>370</v>
      </c>
      <c r="B250" s="92">
        <f>'дод 7'!A194</f>
        <v>7361</v>
      </c>
      <c r="C250" s="92" t="str">
        <f>'дод 7'!B194</f>
        <v>0490</v>
      </c>
      <c r="D250" s="60" t="str">
        <f>'дод 7'!C194</f>
        <v>Співфінансування інвестиційних проектів, що реалізуються за рахунок коштів державного фонду регіонального розвитку</v>
      </c>
      <c r="E250" s="98">
        <f t="shared" si="108"/>
        <v>0</v>
      </c>
      <c r="F250" s="98"/>
      <c r="G250" s="98"/>
      <c r="H250" s="98"/>
      <c r="I250" s="98"/>
      <c r="J250" s="98">
        <f t="shared" si="110"/>
        <v>0</v>
      </c>
      <c r="K250" s="98"/>
      <c r="L250" s="98"/>
      <c r="M250" s="98"/>
      <c r="N250" s="98"/>
      <c r="O250" s="98"/>
      <c r="P250" s="98">
        <f t="shared" si="109"/>
        <v>0</v>
      </c>
      <c r="Q250" s="23"/>
      <c r="R250" s="32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2" customFormat="1" ht="30" hidden="1" customHeight="1" x14ac:dyDescent="0.25">
      <c r="A251" s="59">
        <v>1217362</v>
      </c>
      <c r="B251" s="92">
        <f>'дод 7'!A195</f>
        <v>7362</v>
      </c>
      <c r="C251" s="92" t="str">
        <f>'дод 7'!B195</f>
        <v>0490</v>
      </c>
      <c r="D251" s="60" t="str">
        <f>'дод 7'!C195</f>
        <v>Виконання інвестиційних проектів в рамках підтримки розвитку об'єднаних територіальних громад</v>
      </c>
      <c r="E251" s="98">
        <f t="shared" si="108"/>
        <v>0</v>
      </c>
      <c r="F251" s="98"/>
      <c r="G251" s="98"/>
      <c r="H251" s="98"/>
      <c r="I251" s="98"/>
      <c r="J251" s="98">
        <f t="shared" si="110"/>
        <v>0</v>
      </c>
      <c r="K251" s="98"/>
      <c r="L251" s="98"/>
      <c r="M251" s="98"/>
      <c r="N251" s="98"/>
      <c r="O251" s="98"/>
      <c r="P251" s="98">
        <f t="shared" si="109"/>
        <v>0</v>
      </c>
      <c r="Q251" s="23"/>
      <c r="R251" s="32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</row>
    <row r="252" spans="1:527" s="22" customFormat="1" ht="47.25" x14ac:dyDescent="0.25">
      <c r="A252" s="59" t="s">
        <v>368</v>
      </c>
      <c r="B252" s="92">
        <v>7363</v>
      </c>
      <c r="C252" s="37" t="s">
        <v>82</v>
      </c>
      <c r="D252" s="36" t="s">
        <v>398</v>
      </c>
      <c r="E252" s="98">
        <f t="shared" si="108"/>
        <v>0</v>
      </c>
      <c r="F252" s="98"/>
      <c r="G252" s="98"/>
      <c r="H252" s="98"/>
      <c r="I252" s="98"/>
      <c r="J252" s="98">
        <f t="shared" si="110"/>
        <v>15377714</v>
      </c>
      <c r="K252" s="98">
        <f>2800000+5000000+5359984+400000+200000+2655000-2387270+600000+500000+250000</f>
        <v>15377714</v>
      </c>
      <c r="L252" s="98"/>
      <c r="M252" s="98"/>
      <c r="N252" s="98"/>
      <c r="O252" s="98">
        <f>2800000+5000000+5359984+400000+200000+2655000-2387270+600000+500000+250000</f>
        <v>15377714</v>
      </c>
      <c r="P252" s="98">
        <f t="shared" si="109"/>
        <v>15377714</v>
      </c>
      <c r="Q252" s="23"/>
      <c r="R252" s="32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</row>
    <row r="253" spans="1:527" s="24" customFormat="1" ht="50.25" customHeight="1" x14ac:dyDescent="0.25">
      <c r="A253" s="83"/>
      <c r="B253" s="110"/>
      <c r="C253" s="110"/>
      <c r="D253" s="86" t="s">
        <v>388</v>
      </c>
      <c r="E253" s="100">
        <f t="shared" si="108"/>
        <v>0</v>
      </c>
      <c r="F253" s="100"/>
      <c r="G253" s="100"/>
      <c r="H253" s="100"/>
      <c r="I253" s="100"/>
      <c r="J253" s="100">
        <f t="shared" si="110"/>
        <v>11377714</v>
      </c>
      <c r="K253" s="100">
        <f>5000000+5359984+2655000-2387270+750000</f>
        <v>11377714</v>
      </c>
      <c r="L253" s="100"/>
      <c r="M253" s="100"/>
      <c r="N253" s="100"/>
      <c r="O253" s="100">
        <f>5000000+5359984+2655000-2387270+750000</f>
        <v>11377714</v>
      </c>
      <c r="P253" s="100">
        <f t="shared" si="109"/>
        <v>11377714</v>
      </c>
      <c r="Q253" s="30"/>
      <c r="R253" s="3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  <c r="TG253" s="30"/>
    </row>
    <row r="254" spans="1:527" s="24" customFormat="1" ht="31.5" x14ac:dyDescent="0.25">
      <c r="A254" s="59" t="s">
        <v>587</v>
      </c>
      <c r="B254" s="92">
        <v>7368</v>
      </c>
      <c r="C254" s="37" t="s">
        <v>82</v>
      </c>
      <c r="D254" s="36" t="s">
        <v>588</v>
      </c>
      <c r="E254" s="98">
        <f t="shared" si="108"/>
        <v>0</v>
      </c>
      <c r="F254" s="100"/>
      <c r="G254" s="100"/>
      <c r="H254" s="100"/>
      <c r="I254" s="100"/>
      <c r="J254" s="98">
        <f t="shared" si="110"/>
        <v>200000</v>
      </c>
      <c r="K254" s="98">
        <v>200000</v>
      </c>
      <c r="L254" s="98"/>
      <c r="M254" s="98"/>
      <c r="N254" s="98"/>
      <c r="O254" s="98">
        <v>200000</v>
      </c>
      <c r="P254" s="98">
        <f t="shared" si="109"/>
        <v>200000</v>
      </c>
      <c r="Q254" s="30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  <c r="TG254" s="30"/>
    </row>
    <row r="255" spans="1:527" s="24" customFormat="1" ht="15.75" x14ac:dyDescent="0.25">
      <c r="A255" s="83"/>
      <c r="B255" s="110"/>
      <c r="C255" s="110"/>
      <c r="D255" s="84" t="s">
        <v>393</v>
      </c>
      <c r="E255" s="100">
        <f t="shared" si="108"/>
        <v>0</v>
      </c>
      <c r="F255" s="100"/>
      <c r="G255" s="100"/>
      <c r="H255" s="100"/>
      <c r="I255" s="100"/>
      <c r="J255" s="100">
        <f t="shared" si="110"/>
        <v>200000</v>
      </c>
      <c r="K255" s="100">
        <v>200000</v>
      </c>
      <c r="L255" s="100"/>
      <c r="M255" s="100"/>
      <c r="N255" s="100"/>
      <c r="O255" s="100">
        <v>200000</v>
      </c>
      <c r="P255" s="100">
        <f t="shared" si="109"/>
        <v>200000</v>
      </c>
      <c r="Q255" s="30"/>
      <c r="R255" s="3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</row>
    <row r="256" spans="1:527" s="22" customFormat="1" ht="47.25" x14ac:dyDescent="0.25">
      <c r="A256" s="59" t="s">
        <v>374</v>
      </c>
      <c r="B256" s="92">
        <f>'дод 7'!A209</f>
        <v>7462</v>
      </c>
      <c r="C256" s="59" t="s">
        <v>400</v>
      </c>
      <c r="D256" s="116" t="s">
        <v>399</v>
      </c>
      <c r="E256" s="98">
        <f t="shared" ref="E256:E261" si="114">F256+I256</f>
        <v>1527346</v>
      </c>
      <c r="F256" s="98">
        <v>1527346</v>
      </c>
      <c r="G256" s="98"/>
      <c r="H256" s="98"/>
      <c r="I256" s="98"/>
      <c r="J256" s="98">
        <f t="shared" ref="J256:J261" si="115">L256+O256</f>
        <v>12100000</v>
      </c>
      <c r="K256" s="98"/>
      <c r="L256" s="98">
        <f>4600000+7500000</f>
        <v>12100000</v>
      </c>
      <c r="M256" s="98"/>
      <c r="N256" s="98"/>
      <c r="O256" s="98"/>
      <c r="P256" s="98">
        <f t="shared" ref="P256:P261" si="116">E256+J256</f>
        <v>13627346</v>
      </c>
      <c r="Q256" s="23"/>
      <c r="R256" s="32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</row>
    <row r="257" spans="1:527" s="24" customFormat="1" ht="110.25" x14ac:dyDescent="0.25">
      <c r="A257" s="83"/>
      <c r="B257" s="110"/>
      <c r="C257" s="110"/>
      <c r="D257" s="86" t="s">
        <v>397</v>
      </c>
      <c r="E257" s="100">
        <f t="shared" si="114"/>
        <v>0</v>
      </c>
      <c r="F257" s="100"/>
      <c r="G257" s="100"/>
      <c r="H257" s="100"/>
      <c r="I257" s="100"/>
      <c r="J257" s="100">
        <f t="shared" si="115"/>
        <v>12100000</v>
      </c>
      <c r="K257" s="100"/>
      <c r="L257" s="100">
        <f>4600000+7500000</f>
        <v>12100000</v>
      </c>
      <c r="M257" s="100"/>
      <c r="N257" s="100"/>
      <c r="O257" s="100"/>
      <c r="P257" s="100">
        <f t="shared" si="116"/>
        <v>12100000</v>
      </c>
      <c r="Q257" s="30"/>
      <c r="R257" s="32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  <c r="TG257" s="30"/>
    </row>
    <row r="258" spans="1:527" s="24" customFormat="1" ht="78.75" x14ac:dyDescent="0.25">
      <c r="A258" s="83"/>
      <c r="B258" s="110"/>
      <c r="C258" s="83"/>
      <c r="D258" s="86" t="s">
        <v>539</v>
      </c>
      <c r="E258" s="100">
        <f t="shared" si="114"/>
        <v>1527346</v>
      </c>
      <c r="F258" s="100">
        <v>1527346</v>
      </c>
      <c r="G258" s="100"/>
      <c r="H258" s="100"/>
      <c r="I258" s="100"/>
      <c r="J258" s="100">
        <f t="shared" si="115"/>
        <v>0</v>
      </c>
      <c r="K258" s="100"/>
      <c r="L258" s="100"/>
      <c r="M258" s="100"/>
      <c r="N258" s="100"/>
      <c r="O258" s="100"/>
      <c r="P258" s="100">
        <f t="shared" si="116"/>
        <v>1527346</v>
      </c>
      <c r="Q258" s="30"/>
      <c r="R258" s="32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</row>
    <row r="259" spans="1:527" s="24" customFormat="1" ht="47.25" x14ac:dyDescent="0.25">
      <c r="A259" s="59" t="s">
        <v>585</v>
      </c>
      <c r="B259" s="92">
        <v>7463</v>
      </c>
      <c r="C259" s="59" t="s">
        <v>400</v>
      </c>
      <c r="D259" s="116" t="s">
        <v>586</v>
      </c>
      <c r="E259" s="98">
        <f t="shared" si="114"/>
        <v>200000</v>
      </c>
      <c r="F259" s="98">
        <v>200000</v>
      </c>
      <c r="G259" s="100"/>
      <c r="H259" s="100"/>
      <c r="I259" s="100"/>
      <c r="J259" s="98">
        <f t="shared" si="115"/>
        <v>0</v>
      </c>
      <c r="K259" s="100"/>
      <c r="L259" s="100"/>
      <c r="M259" s="100"/>
      <c r="N259" s="100"/>
      <c r="O259" s="100"/>
      <c r="P259" s="98">
        <f t="shared" si="116"/>
        <v>200000</v>
      </c>
      <c r="Q259" s="30"/>
      <c r="R259" s="32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  <c r="TF259" s="30"/>
      <c r="TG259" s="30"/>
    </row>
    <row r="260" spans="1:527" s="24" customFormat="1" ht="15.75" x14ac:dyDescent="0.25">
      <c r="A260" s="83"/>
      <c r="B260" s="110"/>
      <c r="C260" s="83"/>
      <c r="D260" s="84" t="s">
        <v>393</v>
      </c>
      <c r="E260" s="100">
        <f t="shared" si="114"/>
        <v>200000</v>
      </c>
      <c r="F260" s="100">
        <v>200000</v>
      </c>
      <c r="G260" s="100"/>
      <c r="H260" s="100"/>
      <c r="I260" s="100"/>
      <c r="J260" s="100">
        <f t="shared" si="115"/>
        <v>0</v>
      </c>
      <c r="K260" s="100"/>
      <c r="L260" s="100"/>
      <c r="M260" s="100"/>
      <c r="N260" s="100"/>
      <c r="O260" s="100"/>
      <c r="P260" s="100">
        <f t="shared" si="116"/>
        <v>200000</v>
      </c>
      <c r="Q260" s="30"/>
      <c r="R260" s="32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  <c r="TF260" s="30"/>
      <c r="TG260" s="30"/>
    </row>
    <row r="261" spans="1:527" s="24" customFormat="1" ht="31.5" hidden="1" x14ac:dyDescent="0.25">
      <c r="A261" s="59" t="s">
        <v>429</v>
      </c>
      <c r="B261" s="92">
        <v>7530</v>
      </c>
      <c r="C261" s="59" t="s">
        <v>236</v>
      </c>
      <c r="D261" s="93" t="s">
        <v>234</v>
      </c>
      <c r="E261" s="98">
        <f t="shared" si="114"/>
        <v>0</v>
      </c>
      <c r="F261" s="98"/>
      <c r="G261" s="100"/>
      <c r="H261" s="100"/>
      <c r="I261" s="100"/>
      <c r="J261" s="98">
        <f t="shared" si="115"/>
        <v>0</v>
      </c>
      <c r="K261" s="98"/>
      <c r="L261" s="98"/>
      <c r="M261" s="98"/>
      <c r="N261" s="98"/>
      <c r="O261" s="98"/>
      <c r="P261" s="98">
        <f t="shared" si="116"/>
        <v>0</v>
      </c>
      <c r="Q261" s="30"/>
      <c r="R261" s="32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  <c r="TF261" s="30"/>
      <c r="TG261" s="30"/>
    </row>
    <row r="262" spans="1:527" s="22" customFormat="1" ht="20.25" customHeight="1" x14ac:dyDescent="0.25">
      <c r="A262" s="59" t="s">
        <v>202</v>
      </c>
      <c r="B262" s="92" t="str">
        <f>'дод 7'!A222</f>
        <v>7640</v>
      </c>
      <c r="C262" s="59" t="str">
        <f>'дод 7'!B222</f>
        <v>0470</v>
      </c>
      <c r="D262" s="60" t="s">
        <v>422</v>
      </c>
      <c r="E262" s="98">
        <f t="shared" si="108"/>
        <v>1784610</v>
      </c>
      <c r="F262" s="98">
        <f>700000-100000-38000</f>
        <v>562000</v>
      </c>
      <c r="G262" s="98"/>
      <c r="H262" s="98"/>
      <c r="I262" s="98">
        <f>1500000+500000-42090-560000-30300-85000-60000</f>
        <v>1222610</v>
      </c>
      <c r="J262" s="98">
        <f t="shared" si="110"/>
        <v>0</v>
      </c>
      <c r="K262" s="98"/>
      <c r="L262" s="98"/>
      <c r="M262" s="98"/>
      <c r="N262" s="98"/>
      <c r="O262" s="98"/>
      <c r="P262" s="98">
        <f t="shared" si="109"/>
        <v>1784610</v>
      </c>
      <c r="Q262" s="23"/>
      <c r="R262" s="32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39" customHeight="1" x14ac:dyDescent="0.25">
      <c r="A263" s="59" t="s">
        <v>331</v>
      </c>
      <c r="B263" s="92" t="str">
        <f>'дод 7'!A226</f>
        <v>7670</v>
      </c>
      <c r="C263" s="59" t="str">
        <f>'дод 7'!B226</f>
        <v>0490</v>
      </c>
      <c r="D263" s="60" t="str">
        <f>'дод 7'!C226</f>
        <v>Внески до статутного капіталу суб’єктів господарювання, у т. ч. за рахунок:</v>
      </c>
      <c r="E263" s="98">
        <f t="shared" si="108"/>
        <v>0</v>
      </c>
      <c r="F263" s="98"/>
      <c r="G263" s="98"/>
      <c r="H263" s="98"/>
      <c r="I263" s="98"/>
      <c r="J263" s="98">
        <f t="shared" si="110"/>
        <v>26745000</v>
      </c>
      <c r="K263" s="98">
        <f>46790000-20000000-45000</f>
        <v>26745000</v>
      </c>
      <c r="L263" s="98"/>
      <c r="M263" s="98"/>
      <c r="N263" s="98"/>
      <c r="O263" s="98">
        <f>46790000-20000000-45000</f>
        <v>26745000</v>
      </c>
      <c r="P263" s="98">
        <f t="shared" si="109"/>
        <v>26745000</v>
      </c>
      <c r="Q263" s="23"/>
      <c r="R263" s="32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4" customFormat="1" ht="18.75" customHeight="1" x14ac:dyDescent="0.25">
      <c r="A264" s="83"/>
      <c r="B264" s="110"/>
      <c r="C264" s="110"/>
      <c r="D264" s="84" t="s">
        <v>419</v>
      </c>
      <c r="E264" s="100">
        <f t="shared" si="108"/>
        <v>0</v>
      </c>
      <c r="F264" s="100"/>
      <c r="G264" s="100"/>
      <c r="H264" s="100"/>
      <c r="I264" s="100"/>
      <c r="J264" s="100">
        <f t="shared" si="110"/>
        <v>26250000</v>
      </c>
      <c r="K264" s="100">
        <v>26250000</v>
      </c>
      <c r="L264" s="100"/>
      <c r="M264" s="100"/>
      <c r="N264" s="100"/>
      <c r="O264" s="100">
        <v>26250000</v>
      </c>
      <c r="P264" s="100">
        <f t="shared" si="109"/>
        <v>26250000</v>
      </c>
      <c r="Q264" s="30"/>
      <c r="R264" s="32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  <c r="TF264" s="30"/>
      <c r="TG264" s="30"/>
    </row>
    <row r="265" spans="1:527" s="22" customFormat="1" ht="126" x14ac:dyDescent="0.25">
      <c r="A265" s="102" t="s">
        <v>300</v>
      </c>
      <c r="B265" s="42">
        <v>7691</v>
      </c>
      <c r="C265" s="42" t="s">
        <v>82</v>
      </c>
      <c r="D265" s="36" t="str">
        <f>'дод 7'!C229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5" s="98">
        <f t="shared" si="108"/>
        <v>0</v>
      </c>
      <c r="F265" s="98"/>
      <c r="G265" s="98"/>
      <c r="H265" s="98"/>
      <c r="I265" s="98"/>
      <c r="J265" s="98">
        <f t="shared" si="110"/>
        <v>2205686.5699999998</v>
      </c>
      <c r="K265" s="98"/>
      <c r="L265" s="98">
        <f>169598+128488.57</f>
        <v>298086.57</v>
      </c>
      <c r="M265" s="98"/>
      <c r="N265" s="98"/>
      <c r="O265" s="98">
        <f>1900000+7600</f>
        <v>1907600</v>
      </c>
      <c r="P265" s="98">
        <f t="shared" si="109"/>
        <v>2205686.5699999998</v>
      </c>
      <c r="Q265" s="23"/>
      <c r="R265" s="32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</row>
    <row r="266" spans="1:527" s="22" customFormat="1" ht="31.5" x14ac:dyDescent="0.25">
      <c r="A266" s="102" t="s">
        <v>380</v>
      </c>
      <c r="B266" s="42" t="str">
        <f>'дод 7'!A237</f>
        <v>8110</v>
      </c>
      <c r="C266" s="42" t="str">
        <f>'дод 7'!B237</f>
        <v>0320</v>
      </c>
      <c r="D266" s="103" t="str">
        <f>'дод 7'!C237</f>
        <v>Заходи із запобігання та ліквідації надзвичайних ситуацій та наслідків стихійного лиха</v>
      </c>
      <c r="E266" s="98">
        <f t="shared" ref="E266" si="117">F266+I266</f>
        <v>677493.87</v>
      </c>
      <c r="F266" s="98">
        <v>677493.87</v>
      </c>
      <c r="G266" s="98"/>
      <c r="H266" s="98"/>
      <c r="I266" s="98"/>
      <c r="J266" s="98">
        <f t="shared" ref="J266" si="118">L266+O266</f>
        <v>0</v>
      </c>
      <c r="K266" s="98"/>
      <c r="L266" s="98"/>
      <c r="M266" s="98"/>
      <c r="N266" s="98"/>
      <c r="O266" s="98"/>
      <c r="P266" s="98">
        <f t="shared" ref="P266" si="119">E266+J266</f>
        <v>677493.87</v>
      </c>
      <c r="Q266" s="23"/>
      <c r="R266" s="32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2" customFormat="1" ht="15.75" hidden="1" customHeight="1" x14ac:dyDescent="0.25">
      <c r="A267" s="102" t="s">
        <v>379</v>
      </c>
      <c r="B267" s="42" t="str">
        <f>'дод 7'!A241</f>
        <v>8230</v>
      </c>
      <c r="C267" s="42" t="str">
        <f>'дод 7'!B241</f>
        <v>0380</v>
      </c>
      <c r="D267" s="103" t="str">
        <f>'дод 7'!C241</f>
        <v>Інші заходи громадського порядку та безпеки</v>
      </c>
      <c r="E267" s="98">
        <f t="shared" ref="E267" si="120">F267+I267</f>
        <v>0</v>
      </c>
      <c r="F267" s="98"/>
      <c r="G267" s="98"/>
      <c r="H267" s="98"/>
      <c r="I267" s="98"/>
      <c r="J267" s="98">
        <f t="shared" ref="J267" si="121">L267+O267</f>
        <v>0</v>
      </c>
      <c r="K267" s="98"/>
      <c r="L267" s="98"/>
      <c r="M267" s="98"/>
      <c r="N267" s="98"/>
      <c r="O267" s="98"/>
      <c r="P267" s="98">
        <f t="shared" ref="P267" si="122">E267+J267</f>
        <v>0</v>
      </c>
      <c r="Q267" s="23"/>
      <c r="R267" s="32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</row>
    <row r="268" spans="1:527" s="22" customFormat="1" ht="35.25" customHeight="1" x14ac:dyDescent="0.25">
      <c r="A268" s="59" t="s">
        <v>203</v>
      </c>
      <c r="B268" s="92" t="str">
        <f>'дод 7'!A244</f>
        <v>8340</v>
      </c>
      <c r="C268" s="92" t="str">
        <f>'дод 7'!B244</f>
        <v>0540</v>
      </c>
      <c r="D268" s="60" t="str">
        <f>'дод 7'!C244</f>
        <v>Природоохоронні заходи за рахунок цільових фондів</v>
      </c>
      <c r="E268" s="98">
        <f t="shared" si="108"/>
        <v>0</v>
      </c>
      <c r="F268" s="98"/>
      <c r="G268" s="98"/>
      <c r="H268" s="98"/>
      <c r="I268" s="98"/>
      <c r="J268" s="98">
        <f t="shared" si="110"/>
        <v>2949600</v>
      </c>
      <c r="K268" s="98"/>
      <c r="L268" s="98">
        <f>1442000+186000+21600</f>
        <v>1649600</v>
      </c>
      <c r="M268" s="98"/>
      <c r="N268" s="98"/>
      <c r="O268" s="98">
        <v>1300000</v>
      </c>
      <c r="P268" s="98">
        <f t="shared" si="109"/>
        <v>2949600</v>
      </c>
      <c r="Q268" s="23"/>
      <c r="R268" s="32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</row>
    <row r="269" spans="1:527" s="22" customFormat="1" ht="78.75" hidden="1" x14ac:dyDescent="0.25">
      <c r="A269" s="59" t="s">
        <v>571</v>
      </c>
      <c r="B269" s="92">
        <v>9730</v>
      </c>
      <c r="C269" s="59" t="s">
        <v>45</v>
      </c>
      <c r="D269" s="60" t="s">
        <v>572</v>
      </c>
      <c r="E269" s="98">
        <f t="shared" si="108"/>
        <v>0</v>
      </c>
      <c r="F269" s="98">
        <f>25000000-25000000</f>
        <v>0</v>
      </c>
      <c r="G269" s="98"/>
      <c r="H269" s="98"/>
      <c r="I269" s="98"/>
      <c r="J269" s="98">
        <f t="shared" si="110"/>
        <v>0</v>
      </c>
      <c r="K269" s="98"/>
      <c r="L269" s="98"/>
      <c r="M269" s="98"/>
      <c r="N269" s="98"/>
      <c r="O269" s="98"/>
      <c r="P269" s="98">
        <f t="shared" si="109"/>
        <v>0</v>
      </c>
      <c r="Q269" s="23"/>
      <c r="R269" s="32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2" customFormat="1" ht="20.25" customHeight="1" x14ac:dyDescent="0.25">
      <c r="A270" s="59" t="s">
        <v>204</v>
      </c>
      <c r="B270" s="92" t="str">
        <f>'дод 7'!A260</f>
        <v>9770</v>
      </c>
      <c r="C270" s="92" t="str">
        <f>'дод 7'!B260</f>
        <v>0180</v>
      </c>
      <c r="D270" s="60" t="str">
        <f>'дод 7'!C260</f>
        <v>Інші субвенції з місцевого бюджету</v>
      </c>
      <c r="E270" s="98">
        <f t="shared" si="108"/>
        <v>8550000</v>
      </c>
      <c r="F270" s="98">
        <f>4000000+4550000</f>
        <v>8550000</v>
      </c>
      <c r="G270" s="98"/>
      <c r="H270" s="98"/>
      <c r="I270" s="98"/>
      <c r="J270" s="98">
        <f t="shared" si="110"/>
        <v>6450000</v>
      </c>
      <c r="K270" s="98">
        <f>7000000-4000000+3450000</f>
        <v>6450000</v>
      </c>
      <c r="L270" s="98"/>
      <c r="M270" s="98"/>
      <c r="N270" s="98"/>
      <c r="O270" s="98">
        <f>7000000-4000000+3450000</f>
        <v>6450000</v>
      </c>
      <c r="P270" s="98">
        <f t="shared" si="109"/>
        <v>15000000</v>
      </c>
      <c r="Q270" s="23"/>
      <c r="R270" s="32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</row>
    <row r="271" spans="1:527" s="27" customFormat="1" ht="33.75" customHeight="1" x14ac:dyDescent="0.25">
      <c r="A271" s="109" t="s">
        <v>27</v>
      </c>
      <c r="B271" s="111"/>
      <c r="C271" s="111"/>
      <c r="D271" s="106" t="s">
        <v>34</v>
      </c>
      <c r="E271" s="94">
        <f>E272</f>
        <v>6537039</v>
      </c>
      <c r="F271" s="94">
        <f t="shared" ref="F271:J272" si="123">F272</f>
        <v>6537039</v>
      </c>
      <c r="G271" s="94">
        <f t="shared" si="123"/>
        <v>5070500</v>
      </c>
      <c r="H271" s="94">
        <f t="shared" si="123"/>
        <v>120439</v>
      </c>
      <c r="I271" s="94">
        <f t="shared" si="123"/>
        <v>0</v>
      </c>
      <c r="J271" s="94">
        <f t="shared" si="123"/>
        <v>0</v>
      </c>
      <c r="K271" s="94">
        <f t="shared" ref="K271:K272" si="124">K272</f>
        <v>0</v>
      </c>
      <c r="L271" s="94">
        <f t="shared" ref="L271:L272" si="125">L272</f>
        <v>0</v>
      </c>
      <c r="M271" s="94">
        <f t="shared" ref="M271:M272" si="126">M272</f>
        <v>0</v>
      </c>
      <c r="N271" s="94">
        <f t="shared" ref="N271:N272" si="127">N272</f>
        <v>0</v>
      </c>
      <c r="O271" s="94">
        <f t="shared" ref="O271:P272" si="128">O272</f>
        <v>0</v>
      </c>
      <c r="P271" s="94">
        <f t="shared" si="128"/>
        <v>6537039</v>
      </c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</row>
    <row r="272" spans="1:527" s="34" customFormat="1" ht="36.75" customHeight="1" x14ac:dyDescent="0.25">
      <c r="A272" s="95" t="s">
        <v>118</v>
      </c>
      <c r="B272" s="108"/>
      <c r="C272" s="108"/>
      <c r="D272" s="76" t="s">
        <v>34</v>
      </c>
      <c r="E272" s="97">
        <f>E273</f>
        <v>6537039</v>
      </c>
      <c r="F272" s="97">
        <f t="shared" si="123"/>
        <v>6537039</v>
      </c>
      <c r="G272" s="97">
        <f t="shared" si="123"/>
        <v>5070500</v>
      </c>
      <c r="H272" s="97">
        <f t="shared" si="123"/>
        <v>120439</v>
      </c>
      <c r="I272" s="97">
        <f t="shared" si="123"/>
        <v>0</v>
      </c>
      <c r="J272" s="97">
        <f t="shared" si="123"/>
        <v>0</v>
      </c>
      <c r="K272" s="97">
        <f t="shared" si="124"/>
        <v>0</v>
      </c>
      <c r="L272" s="97">
        <f t="shared" si="125"/>
        <v>0</v>
      </c>
      <c r="M272" s="97">
        <f t="shared" si="126"/>
        <v>0</v>
      </c>
      <c r="N272" s="97">
        <f t="shared" si="127"/>
        <v>0</v>
      </c>
      <c r="O272" s="97">
        <f t="shared" si="128"/>
        <v>0</v>
      </c>
      <c r="P272" s="97">
        <f t="shared" si="128"/>
        <v>6537039</v>
      </c>
      <c r="Q272" s="33"/>
      <c r="R272" s="32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</row>
    <row r="273" spans="1:527" s="22" customFormat="1" ht="47.25" x14ac:dyDescent="0.25">
      <c r="A273" s="59" t="s">
        <v>0</v>
      </c>
      <c r="B273" s="92" t="str">
        <f>'дод 7'!A19</f>
        <v>0160</v>
      </c>
      <c r="C273" s="92" t="str">
        <f>'дод 7'!B19</f>
        <v>0111</v>
      </c>
      <c r="D273" s="36" t="s">
        <v>493</v>
      </c>
      <c r="E273" s="98">
        <f>F273+I273</f>
        <v>6537039</v>
      </c>
      <c r="F273" s="98">
        <f>6378200+8000+26619+111020+13200</f>
        <v>6537039</v>
      </c>
      <c r="G273" s="98">
        <f>5019800+91000-40300</f>
        <v>5070500</v>
      </c>
      <c r="H273" s="98">
        <f>75700+26619+13200+4920</f>
        <v>120439</v>
      </c>
      <c r="I273" s="98"/>
      <c r="J273" s="98">
        <f>L273+O273</f>
        <v>0</v>
      </c>
      <c r="K273" s="98">
        <f>8000-8000</f>
        <v>0</v>
      </c>
      <c r="L273" s="98"/>
      <c r="M273" s="98"/>
      <c r="N273" s="98"/>
      <c r="O273" s="98">
        <f>8000-8000</f>
        <v>0</v>
      </c>
      <c r="P273" s="98">
        <f>E273+J273</f>
        <v>6537039</v>
      </c>
      <c r="Q273" s="23"/>
      <c r="R273" s="32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</row>
    <row r="274" spans="1:527" s="27" customFormat="1" ht="52.5" customHeight="1" x14ac:dyDescent="0.25">
      <c r="A274" s="109" t="s">
        <v>28</v>
      </c>
      <c r="B274" s="111"/>
      <c r="C274" s="111"/>
      <c r="D274" s="106" t="s">
        <v>33</v>
      </c>
      <c r="E274" s="94">
        <f>E275</f>
        <v>3721421.1500000004</v>
      </c>
      <c r="F274" s="94">
        <f t="shared" ref="F274:J274" si="129">F275</f>
        <v>3721421.1500000004</v>
      </c>
      <c r="G274" s="94">
        <f t="shared" si="129"/>
        <v>2559400</v>
      </c>
      <c r="H274" s="94">
        <f t="shared" si="129"/>
        <v>0</v>
      </c>
      <c r="I274" s="94">
        <f t="shared" si="129"/>
        <v>0</v>
      </c>
      <c r="J274" s="94">
        <f t="shared" si="129"/>
        <v>285199104.5</v>
      </c>
      <c r="K274" s="94">
        <f t="shared" ref="K274" si="130">K275</f>
        <v>271753821.85000002</v>
      </c>
      <c r="L274" s="94">
        <f t="shared" ref="L274" si="131">L275</f>
        <v>1900000</v>
      </c>
      <c r="M274" s="94">
        <f t="shared" ref="M274" si="132">M275</f>
        <v>1332000</v>
      </c>
      <c r="N274" s="94">
        <f t="shared" ref="N274" si="133">N275</f>
        <v>71500</v>
      </c>
      <c r="O274" s="94">
        <f t="shared" ref="O274:P274" si="134">O275</f>
        <v>283299104.5</v>
      </c>
      <c r="P274" s="94">
        <f t="shared" si="134"/>
        <v>288920525.64999998</v>
      </c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  <c r="JD274" s="32"/>
      <c r="JE274" s="32"/>
      <c r="JF274" s="32"/>
      <c r="JG274" s="32"/>
      <c r="JH274" s="32"/>
      <c r="JI274" s="32"/>
      <c r="JJ274" s="32"/>
      <c r="JK274" s="32"/>
      <c r="JL274" s="32"/>
      <c r="JM274" s="32"/>
      <c r="JN274" s="32"/>
      <c r="JO274" s="32"/>
      <c r="JP274" s="32"/>
      <c r="JQ274" s="32"/>
      <c r="JR274" s="32"/>
      <c r="JS274" s="32"/>
      <c r="JT274" s="32"/>
      <c r="JU274" s="32"/>
      <c r="JV274" s="32"/>
      <c r="JW274" s="32"/>
      <c r="JX274" s="32"/>
      <c r="JY274" s="32"/>
      <c r="JZ274" s="32"/>
      <c r="KA274" s="32"/>
      <c r="KB274" s="32"/>
      <c r="KC274" s="32"/>
      <c r="KD274" s="32"/>
      <c r="KE274" s="32"/>
      <c r="KF274" s="32"/>
      <c r="KG274" s="32"/>
      <c r="KH274" s="32"/>
      <c r="KI274" s="32"/>
      <c r="KJ274" s="32"/>
      <c r="KK274" s="32"/>
      <c r="KL274" s="32"/>
      <c r="KM274" s="32"/>
      <c r="KN274" s="32"/>
      <c r="KO274" s="32"/>
      <c r="KP274" s="32"/>
      <c r="KQ274" s="32"/>
      <c r="KR274" s="32"/>
      <c r="KS274" s="32"/>
      <c r="KT274" s="32"/>
      <c r="KU274" s="32"/>
      <c r="KV274" s="32"/>
      <c r="KW274" s="32"/>
      <c r="KX274" s="32"/>
      <c r="KY274" s="32"/>
      <c r="KZ274" s="32"/>
      <c r="LA274" s="32"/>
      <c r="LB274" s="32"/>
      <c r="LC274" s="32"/>
      <c r="LD274" s="32"/>
      <c r="LE274" s="32"/>
      <c r="LF274" s="32"/>
      <c r="LG274" s="32"/>
      <c r="LH274" s="32"/>
      <c r="LI274" s="32"/>
      <c r="LJ274" s="32"/>
      <c r="LK274" s="32"/>
      <c r="LL274" s="32"/>
      <c r="LM274" s="32"/>
      <c r="LN274" s="32"/>
      <c r="LO274" s="32"/>
      <c r="LP274" s="32"/>
      <c r="LQ274" s="32"/>
      <c r="LR274" s="32"/>
      <c r="LS274" s="32"/>
      <c r="LT274" s="32"/>
      <c r="LU274" s="32"/>
      <c r="LV274" s="32"/>
      <c r="LW274" s="32"/>
      <c r="LX274" s="32"/>
      <c r="LY274" s="32"/>
      <c r="LZ274" s="32"/>
      <c r="MA274" s="32"/>
      <c r="MB274" s="32"/>
      <c r="MC274" s="32"/>
      <c r="MD274" s="32"/>
      <c r="ME274" s="32"/>
      <c r="MF274" s="32"/>
      <c r="MG274" s="32"/>
      <c r="MH274" s="32"/>
      <c r="MI274" s="32"/>
      <c r="MJ274" s="32"/>
      <c r="MK274" s="32"/>
      <c r="ML274" s="32"/>
      <c r="MM274" s="32"/>
      <c r="MN274" s="32"/>
      <c r="MO274" s="32"/>
      <c r="MP274" s="32"/>
      <c r="MQ274" s="32"/>
      <c r="MR274" s="32"/>
      <c r="MS274" s="32"/>
      <c r="MT274" s="32"/>
      <c r="MU274" s="32"/>
      <c r="MV274" s="32"/>
      <c r="MW274" s="32"/>
      <c r="MX274" s="32"/>
      <c r="MY274" s="32"/>
      <c r="MZ274" s="32"/>
      <c r="NA274" s="32"/>
      <c r="NB274" s="32"/>
      <c r="NC274" s="32"/>
      <c r="ND274" s="32"/>
      <c r="NE274" s="32"/>
      <c r="NF274" s="32"/>
      <c r="NG274" s="32"/>
      <c r="NH274" s="32"/>
      <c r="NI274" s="32"/>
      <c r="NJ274" s="32"/>
      <c r="NK274" s="32"/>
      <c r="NL274" s="32"/>
      <c r="NM274" s="32"/>
      <c r="NN274" s="32"/>
      <c r="NO274" s="32"/>
      <c r="NP274" s="32"/>
      <c r="NQ274" s="32"/>
      <c r="NR274" s="32"/>
      <c r="NS274" s="32"/>
      <c r="NT274" s="32"/>
      <c r="NU274" s="32"/>
      <c r="NV274" s="32"/>
      <c r="NW274" s="32"/>
      <c r="NX274" s="32"/>
      <c r="NY274" s="32"/>
      <c r="NZ274" s="32"/>
      <c r="OA274" s="32"/>
      <c r="OB274" s="32"/>
      <c r="OC274" s="32"/>
      <c r="OD274" s="32"/>
      <c r="OE274" s="32"/>
      <c r="OF274" s="32"/>
      <c r="OG274" s="32"/>
      <c r="OH274" s="32"/>
      <c r="OI274" s="32"/>
      <c r="OJ274" s="32"/>
      <c r="OK274" s="32"/>
      <c r="OL274" s="32"/>
      <c r="OM274" s="32"/>
      <c r="ON274" s="32"/>
      <c r="OO274" s="32"/>
      <c r="OP274" s="32"/>
      <c r="OQ274" s="32"/>
      <c r="OR274" s="32"/>
      <c r="OS274" s="32"/>
      <c r="OT274" s="32"/>
      <c r="OU274" s="32"/>
      <c r="OV274" s="32"/>
      <c r="OW274" s="32"/>
      <c r="OX274" s="32"/>
      <c r="OY274" s="32"/>
      <c r="OZ274" s="32"/>
      <c r="PA274" s="32"/>
      <c r="PB274" s="32"/>
      <c r="PC274" s="32"/>
      <c r="PD274" s="32"/>
      <c r="PE274" s="32"/>
      <c r="PF274" s="32"/>
      <c r="PG274" s="32"/>
      <c r="PH274" s="32"/>
      <c r="PI274" s="32"/>
      <c r="PJ274" s="32"/>
      <c r="PK274" s="32"/>
      <c r="PL274" s="32"/>
      <c r="PM274" s="32"/>
      <c r="PN274" s="32"/>
      <c r="PO274" s="32"/>
      <c r="PP274" s="32"/>
      <c r="PQ274" s="32"/>
      <c r="PR274" s="32"/>
      <c r="PS274" s="32"/>
      <c r="PT274" s="32"/>
      <c r="PU274" s="32"/>
      <c r="PV274" s="32"/>
      <c r="PW274" s="32"/>
      <c r="PX274" s="32"/>
      <c r="PY274" s="32"/>
      <c r="PZ274" s="32"/>
      <c r="QA274" s="32"/>
      <c r="QB274" s="32"/>
      <c r="QC274" s="32"/>
      <c r="QD274" s="32"/>
      <c r="QE274" s="32"/>
      <c r="QF274" s="32"/>
      <c r="QG274" s="32"/>
      <c r="QH274" s="32"/>
      <c r="QI274" s="32"/>
      <c r="QJ274" s="32"/>
      <c r="QK274" s="32"/>
      <c r="QL274" s="32"/>
      <c r="QM274" s="32"/>
      <c r="QN274" s="32"/>
      <c r="QO274" s="32"/>
      <c r="QP274" s="32"/>
      <c r="QQ274" s="32"/>
      <c r="QR274" s="32"/>
      <c r="QS274" s="32"/>
      <c r="QT274" s="32"/>
      <c r="QU274" s="32"/>
      <c r="QV274" s="32"/>
      <c r="QW274" s="32"/>
      <c r="QX274" s="32"/>
      <c r="QY274" s="32"/>
      <c r="QZ274" s="32"/>
      <c r="RA274" s="32"/>
      <c r="RB274" s="32"/>
      <c r="RC274" s="32"/>
      <c r="RD274" s="32"/>
      <c r="RE274" s="32"/>
      <c r="RF274" s="32"/>
      <c r="RG274" s="32"/>
      <c r="RH274" s="32"/>
      <c r="RI274" s="32"/>
      <c r="RJ274" s="32"/>
      <c r="RK274" s="32"/>
      <c r="RL274" s="32"/>
      <c r="RM274" s="32"/>
      <c r="RN274" s="32"/>
      <c r="RO274" s="32"/>
      <c r="RP274" s="32"/>
      <c r="RQ274" s="32"/>
      <c r="RR274" s="32"/>
      <c r="RS274" s="32"/>
      <c r="RT274" s="32"/>
      <c r="RU274" s="32"/>
      <c r="RV274" s="32"/>
      <c r="RW274" s="32"/>
      <c r="RX274" s="32"/>
      <c r="RY274" s="32"/>
      <c r="RZ274" s="32"/>
      <c r="SA274" s="32"/>
      <c r="SB274" s="32"/>
      <c r="SC274" s="32"/>
      <c r="SD274" s="32"/>
      <c r="SE274" s="32"/>
      <c r="SF274" s="32"/>
      <c r="SG274" s="32"/>
      <c r="SH274" s="32"/>
      <c r="SI274" s="32"/>
      <c r="SJ274" s="32"/>
      <c r="SK274" s="32"/>
      <c r="SL274" s="32"/>
      <c r="SM274" s="32"/>
      <c r="SN274" s="32"/>
      <c r="SO274" s="32"/>
      <c r="SP274" s="32"/>
      <c r="SQ274" s="32"/>
      <c r="SR274" s="32"/>
      <c r="SS274" s="32"/>
      <c r="ST274" s="32"/>
      <c r="SU274" s="32"/>
      <c r="SV274" s="32"/>
      <c r="SW274" s="32"/>
      <c r="SX274" s="32"/>
      <c r="SY274" s="32"/>
      <c r="SZ274" s="32"/>
      <c r="TA274" s="32"/>
      <c r="TB274" s="32"/>
      <c r="TC274" s="32"/>
      <c r="TD274" s="32"/>
      <c r="TE274" s="32"/>
      <c r="TF274" s="32"/>
      <c r="TG274" s="32"/>
    </row>
    <row r="275" spans="1:527" s="34" customFormat="1" ht="47.25" x14ac:dyDescent="0.25">
      <c r="A275" s="95" t="s">
        <v>29</v>
      </c>
      <c r="B275" s="108"/>
      <c r="C275" s="108"/>
      <c r="D275" s="76" t="s">
        <v>420</v>
      </c>
      <c r="E275" s="97">
        <f t="shared" ref="E275:P275" si="135">SUM(E278+E279+E280+E281+E282+E283+E284+E286+E287+E288+E289+E291+E292+E285+E294+E295)</f>
        <v>3721421.1500000004</v>
      </c>
      <c r="F275" s="97">
        <f t="shared" si="135"/>
        <v>3721421.1500000004</v>
      </c>
      <c r="G275" s="97">
        <f t="shared" si="135"/>
        <v>2559400</v>
      </c>
      <c r="H275" s="97">
        <f t="shared" si="135"/>
        <v>0</v>
      </c>
      <c r="I275" s="97">
        <f t="shared" si="135"/>
        <v>0</v>
      </c>
      <c r="J275" s="97">
        <f t="shared" si="135"/>
        <v>285199104.5</v>
      </c>
      <c r="K275" s="97">
        <f t="shared" si="135"/>
        <v>271753821.85000002</v>
      </c>
      <c r="L275" s="97">
        <f t="shared" si="135"/>
        <v>1900000</v>
      </c>
      <c r="M275" s="97">
        <f t="shared" si="135"/>
        <v>1332000</v>
      </c>
      <c r="N275" s="97">
        <f t="shared" si="135"/>
        <v>71500</v>
      </c>
      <c r="O275" s="97">
        <f t="shared" si="135"/>
        <v>283299104.5</v>
      </c>
      <c r="P275" s="97">
        <f t="shared" si="135"/>
        <v>288920525.64999998</v>
      </c>
      <c r="Q275" s="33"/>
      <c r="R275" s="32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  <c r="IW275" s="33"/>
      <c r="IX275" s="33"/>
      <c r="IY275" s="33"/>
      <c r="IZ275" s="33"/>
      <c r="JA275" s="33"/>
      <c r="JB275" s="33"/>
      <c r="JC275" s="33"/>
      <c r="JD275" s="33"/>
      <c r="JE275" s="33"/>
      <c r="JF275" s="33"/>
      <c r="JG275" s="33"/>
      <c r="JH275" s="33"/>
      <c r="JI275" s="33"/>
      <c r="JJ275" s="33"/>
      <c r="JK275" s="33"/>
      <c r="JL275" s="33"/>
      <c r="JM275" s="33"/>
      <c r="JN275" s="33"/>
      <c r="JO275" s="33"/>
      <c r="JP275" s="33"/>
      <c r="JQ275" s="33"/>
      <c r="JR275" s="33"/>
      <c r="JS275" s="33"/>
      <c r="JT275" s="33"/>
      <c r="JU275" s="33"/>
      <c r="JV275" s="33"/>
      <c r="JW275" s="33"/>
      <c r="JX275" s="33"/>
      <c r="JY275" s="33"/>
      <c r="JZ275" s="33"/>
      <c r="KA275" s="33"/>
      <c r="KB275" s="33"/>
      <c r="KC275" s="33"/>
      <c r="KD275" s="33"/>
      <c r="KE275" s="33"/>
      <c r="KF275" s="33"/>
      <c r="KG275" s="33"/>
      <c r="KH275" s="33"/>
      <c r="KI275" s="33"/>
      <c r="KJ275" s="33"/>
      <c r="KK275" s="33"/>
      <c r="KL275" s="33"/>
      <c r="KM275" s="33"/>
      <c r="KN275" s="33"/>
      <c r="KO275" s="33"/>
      <c r="KP275" s="33"/>
      <c r="KQ275" s="33"/>
      <c r="KR275" s="33"/>
      <c r="KS275" s="33"/>
      <c r="KT275" s="33"/>
      <c r="KU275" s="33"/>
      <c r="KV275" s="33"/>
      <c r="KW275" s="33"/>
      <c r="KX275" s="33"/>
      <c r="KY275" s="33"/>
      <c r="KZ275" s="33"/>
      <c r="LA275" s="33"/>
      <c r="LB275" s="33"/>
      <c r="LC275" s="33"/>
      <c r="LD275" s="33"/>
      <c r="LE275" s="33"/>
      <c r="LF275" s="33"/>
      <c r="LG275" s="33"/>
      <c r="LH275" s="33"/>
      <c r="LI275" s="33"/>
      <c r="LJ275" s="33"/>
      <c r="LK275" s="33"/>
      <c r="LL275" s="33"/>
      <c r="LM275" s="33"/>
      <c r="LN275" s="33"/>
      <c r="LO275" s="33"/>
      <c r="LP275" s="33"/>
      <c r="LQ275" s="33"/>
      <c r="LR275" s="33"/>
      <c r="LS275" s="33"/>
      <c r="LT275" s="33"/>
      <c r="LU275" s="33"/>
      <c r="LV275" s="33"/>
      <c r="LW275" s="33"/>
      <c r="LX275" s="33"/>
      <c r="LY275" s="33"/>
      <c r="LZ275" s="33"/>
      <c r="MA275" s="33"/>
      <c r="MB275" s="33"/>
      <c r="MC275" s="33"/>
      <c r="MD275" s="33"/>
      <c r="ME275" s="33"/>
      <c r="MF275" s="33"/>
      <c r="MG275" s="33"/>
      <c r="MH275" s="33"/>
      <c r="MI275" s="33"/>
      <c r="MJ275" s="33"/>
      <c r="MK275" s="33"/>
      <c r="ML275" s="33"/>
      <c r="MM275" s="33"/>
      <c r="MN275" s="33"/>
      <c r="MO275" s="33"/>
      <c r="MP275" s="33"/>
      <c r="MQ275" s="33"/>
      <c r="MR275" s="33"/>
      <c r="MS275" s="33"/>
      <c r="MT275" s="33"/>
      <c r="MU275" s="33"/>
      <c r="MV275" s="33"/>
      <c r="MW275" s="33"/>
      <c r="MX275" s="33"/>
      <c r="MY275" s="33"/>
      <c r="MZ275" s="33"/>
      <c r="NA275" s="33"/>
      <c r="NB275" s="33"/>
      <c r="NC275" s="33"/>
      <c r="ND275" s="33"/>
      <c r="NE275" s="33"/>
      <c r="NF275" s="33"/>
      <c r="NG275" s="33"/>
      <c r="NH275" s="33"/>
      <c r="NI275" s="33"/>
      <c r="NJ275" s="33"/>
      <c r="NK275" s="33"/>
      <c r="NL275" s="33"/>
      <c r="NM275" s="33"/>
      <c r="NN275" s="33"/>
      <c r="NO275" s="33"/>
      <c r="NP275" s="33"/>
      <c r="NQ275" s="33"/>
      <c r="NR275" s="33"/>
      <c r="NS275" s="33"/>
      <c r="NT275" s="33"/>
      <c r="NU275" s="33"/>
      <c r="NV275" s="33"/>
      <c r="NW275" s="33"/>
      <c r="NX275" s="33"/>
      <c r="NY275" s="33"/>
      <c r="NZ275" s="33"/>
      <c r="OA275" s="33"/>
      <c r="OB275" s="33"/>
      <c r="OC275" s="33"/>
      <c r="OD275" s="33"/>
      <c r="OE275" s="33"/>
      <c r="OF275" s="33"/>
      <c r="OG275" s="33"/>
      <c r="OH275" s="33"/>
      <c r="OI275" s="33"/>
      <c r="OJ275" s="33"/>
      <c r="OK275" s="33"/>
      <c r="OL275" s="33"/>
      <c r="OM275" s="33"/>
      <c r="ON275" s="33"/>
      <c r="OO275" s="33"/>
      <c r="OP275" s="33"/>
      <c r="OQ275" s="33"/>
      <c r="OR275" s="33"/>
      <c r="OS275" s="33"/>
      <c r="OT275" s="33"/>
      <c r="OU275" s="33"/>
      <c r="OV275" s="33"/>
      <c r="OW275" s="33"/>
      <c r="OX275" s="33"/>
      <c r="OY275" s="33"/>
      <c r="OZ275" s="33"/>
      <c r="PA275" s="33"/>
      <c r="PB275" s="33"/>
      <c r="PC275" s="33"/>
      <c r="PD275" s="33"/>
      <c r="PE275" s="33"/>
      <c r="PF275" s="33"/>
      <c r="PG275" s="33"/>
      <c r="PH275" s="33"/>
      <c r="PI275" s="33"/>
      <c r="PJ275" s="33"/>
      <c r="PK275" s="33"/>
      <c r="PL275" s="33"/>
      <c r="PM275" s="33"/>
      <c r="PN275" s="33"/>
      <c r="PO275" s="33"/>
      <c r="PP275" s="33"/>
      <c r="PQ275" s="33"/>
      <c r="PR275" s="33"/>
      <c r="PS275" s="33"/>
      <c r="PT275" s="33"/>
      <c r="PU275" s="33"/>
      <c r="PV275" s="33"/>
      <c r="PW275" s="33"/>
      <c r="PX275" s="33"/>
      <c r="PY275" s="33"/>
      <c r="PZ275" s="33"/>
      <c r="QA275" s="33"/>
      <c r="QB275" s="33"/>
      <c r="QC275" s="33"/>
      <c r="QD275" s="33"/>
      <c r="QE275" s="33"/>
      <c r="QF275" s="33"/>
      <c r="QG275" s="33"/>
      <c r="QH275" s="33"/>
      <c r="QI275" s="33"/>
      <c r="QJ275" s="33"/>
      <c r="QK275" s="33"/>
      <c r="QL275" s="33"/>
      <c r="QM275" s="33"/>
      <c r="QN275" s="33"/>
      <c r="QO275" s="33"/>
      <c r="QP275" s="33"/>
      <c r="QQ275" s="33"/>
      <c r="QR275" s="33"/>
      <c r="QS275" s="33"/>
      <c r="QT275" s="33"/>
      <c r="QU275" s="33"/>
      <c r="QV275" s="33"/>
      <c r="QW275" s="33"/>
      <c r="QX275" s="33"/>
      <c r="QY275" s="33"/>
      <c r="QZ275" s="33"/>
      <c r="RA275" s="33"/>
      <c r="RB275" s="33"/>
      <c r="RC275" s="33"/>
      <c r="RD275" s="33"/>
      <c r="RE275" s="33"/>
      <c r="RF275" s="33"/>
      <c r="RG275" s="33"/>
      <c r="RH275" s="33"/>
      <c r="RI275" s="33"/>
      <c r="RJ275" s="33"/>
      <c r="RK275" s="33"/>
      <c r="RL275" s="33"/>
      <c r="RM275" s="33"/>
      <c r="RN275" s="33"/>
      <c r="RO275" s="33"/>
      <c r="RP275" s="33"/>
      <c r="RQ275" s="33"/>
      <c r="RR275" s="33"/>
      <c r="RS275" s="33"/>
      <c r="RT275" s="33"/>
      <c r="RU275" s="33"/>
      <c r="RV275" s="33"/>
      <c r="RW275" s="33"/>
      <c r="RX275" s="33"/>
      <c r="RY275" s="33"/>
      <c r="RZ275" s="33"/>
      <c r="SA275" s="33"/>
      <c r="SB275" s="33"/>
      <c r="SC275" s="33"/>
      <c r="SD275" s="33"/>
      <c r="SE275" s="33"/>
      <c r="SF275" s="33"/>
      <c r="SG275" s="33"/>
      <c r="SH275" s="33"/>
      <c r="SI275" s="33"/>
      <c r="SJ275" s="33"/>
      <c r="SK275" s="33"/>
      <c r="SL275" s="33"/>
      <c r="SM275" s="33"/>
      <c r="SN275" s="33"/>
      <c r="SO275" s="33"/>
      <c r="SP275" s="33"/>
      <c r="SQ275" s="33"/>
      <c r="SR275" s="33"/>
      <c r="SS275" s="33"/>
      <c r="ST275" s="33"/>
      <c r="SU275" s="33"/>
      <c r="SV275" s="33"/>
      <c r="SW275" s="33"/>
      <c r="SX275" s="33"/>
      <c r="SY275" s="33"/>
      <c r="SZ275" s="33"/>
      <c r="TA275" s="33"/>
      <c r="TB275" s="33"/>
      <c r="TC275" s="33"/>
      <c r="TD275" s="33"/>
      <c r="TE275" s="33"/>
      <c r="TF275" s="33"/>
      <c r="TG275" s="33"/>
    </row>
    <row r="276" spans="1:527" s="34" customFormat="1" ht="54" customHeight="1" x14ac:dyDescent="0.25">
      <c r="A276" s="95"/>
      <c r="B276" s="108"/>
      <c r="C276" s="108"/>
      <c r="D276" s="76" t="s">
        <v>388</v>
      </c>
      <c r="E276" s="97">
        <f>E290</f>
        <v>0</v>
      </c>
      <c r="F276" s="97">
        <f>F290</f>
        <v>0</v>
      </c>
      <c r="G276" s="97">
        <f t="shared" ref="G276:O276" si="136">G290</f>
        <v>0</v>
      </c>
      <c r="H276" s="97">
        <f t="shared" si="136"/>
        <v>0</v>
      </c>
      <c r="I276" s="97">
        <f t="shared" si="136"/>
        <v>0</v>
      </c>
      <c r="J276" s="97">
        <f>J290</f>
        <v>1200000</v>
      </c>
      <c r="K276" s="97">
        <f t="shared" si="136"/>
        <v>1200000</v>
      </c>
      <c r="L276" s="97">
        <f t="shared" si="136"/>
        <v>0</v>
      </c>
      <c r="M276" s="97">
        <f t="shared" si="136"/>
        <v>0</v>
      </c>
      <c r="N276" s="97">
        <f t="shared" si="136"/>
        <v>0</v>
      </c>
      <c r="O276" s="97">
        <f t="shared" si="136"/>
        <v>1200000</v>
      </c>
      <c r="P276" s="97">
        <f>P290</f>
        <v>1200000</v>
      </c>
      <c r="Q276" s="33"/>
      <c r="R276" s="32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</row>
    <row r="277" spans="1:527" s="34" customFormat="1" ht="17.25" customHeight="1" x14ac:dyDescent="0.25">
      <c r="A277" s="95"/>
      <c r="B277" s="108"/>
      <c r="C277" s="108"/>
      <c r="D277" s="82" t="s">
        <v>419</v>
      </c>
      <c r="E277" s="97">
        <f>E293</f>
        <v>0</v>
      </c>
      <c r="F277" s="97">
        <f t="shared" ref="F277:P277" si="137">F293</f>
        <v>0</v>
      </c>
      <c r="G277" s="97">
        <f t="shared" si="137"/>
        <v>0</v>
      </c>
      <c r="H277" s="97">
        <f t="shared" si="137"/>
        <v>0</v>
      </c>
      <c r="I277" s="97">
        <f t="shared" si="137"/>
        <v>0</v>
      </c>
      <c r="J277" s="97">
        <f t="shared" si="137"/>
        <v>96859595</v>
      </c>
      <c r="K277" s="97">
        <f t="shared" si="137"/>
        <v>96859595</v>
      </c>
      <c r="L277" s="97">
        <f t="shared" si="137"/>
        <v>0</v>
      </c>
      <c r="M277" s="97">
        <f t="shared" si="137"/>
        <v>0</v>
      </c>
      <c r="N277" s="97">
        <f t="shared" si="137"/>
        <v>0</v>
      </c>
      <c r="O277" s="97">
        <f t="shared" si="137"/>
        <v>96859595</v>
      </c>
      <c r="P277" s="97">
        <f t="shared" si="137"/>
        <v>96859595</v>
      </c>
      <c r="Q277" s="33"/>
      <c r="R277" s="32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  <c r="SQ277" s="33"/>
      <c r="SR277" s="33"/>
      <c r="SS277" s="33"/>
      <c r="ST277" s="33"/>
      <c r="SU277" s="33"/>
      <c r="SV277" s="33"/>
      <c r="SW277" s="33"/>
      <c r="SX277" s="33"/>
      <c r="SY277" s="33"/>
      <c r="SZ277" s="33"/>
      <c r="TA277" s="33"/>
      <c r="TB277" s="33"/>
      <c r="TC277" s="33"/>
      <c r="TD277" s="33"/>
      <c r="TE277" s="33"/>
      <c r="TF277" s="33"/>
      <c r="TG277" s="33"/>
    </row>
    <row r="278" spans="1:527" s="22" customFormat="1" ht="47.25" x14ac:dyDescent="0.25">
      <c r="A278" s="59" t="s">
        <v>140</v>
      </c>
      <c r="B278" s="92" t="str">
        <f>'дод 7'!A19</f>
        <v>0160</v>
      </c>
      <c r="C278" s="92" t="str">
        <f>'дод 7'!B19</f>
        <v>0111</v>
      </c>
      <c r="D278" s="36" t="s">
        <v>493</v>
      </c>
      <c r="E278" s="98">
        <f t="shared" ref="E278:E294" si="138">F278+I278</f>
        <v>3109000</v>
      </c>
      <c r="F278" s="98">
        <f>3609000-1000000+500000</f>
        <v>3109000</v>
      </c>
      <c r="G278" s="98">
        <f>2958200-812000+413200</f>
        <v>2559400</v>
      </c>
      <c r="H278" s="98"/>
      <c r="I278" s="98"/>
      <c r="J278" s="98">
        <f>L278+O278</f>
        <v>1900000</v>
      </c>
      <c r="K278" s="98"/>
      <c r="L278" s="98">
        <v>1900000</v>
      </c>
      <c r="M278" s="98">
        <v>1332000</v>
      </c>
      <c r="N278" s="98">
        <v>71500</v>
      </c>
      <c r="O278" s="98"/>
      <c r="P278" s="98">
        <f t="shared" ref="P278:P294" si="139">E278+J278</f>
        <v>5009000</v>
      </c>
      <c r="Q278" s="23"/>
      <c r="R278" s="32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18" customHeight="1" x14ac:dyDescent="0.25">
      <c r="A279" s="59" t="s">
        <v>205</v>
      </c>
      <c r="B279" s="92" t="str">
        <f>'дод 7'!A164</f>
        <v>6030</v>
      </c>
      <c r="C279" s="92" t="str">
        <f>'дод 7'!B164</f>
        <v>0620</v>
      </c>
      <c r="D279" s="60" t="str">
        <f>'дод 7'!C164</f>
        <v>Організація благоустрою населених пунктів</v>
      </c>
      <c r="E279" s="98">
        <f t="shared" si="138"/>
        <v>0</v>
      </c>
      <c r="F279" s="98"/>
      <c r="G279" s="98"/>
      <c r="H279" s="98"/>
      <c r="I279" s="98"/>
      <c r="J279" s="98">
        <f t="shared" ref="J279:J302" si="140">L279+O279</f>
        <v>59717919</v>
      </c>
      <c r="K279" s="98">
        <f>50000000+200000+100000+49000+50000+1764511+50000+381259-3407127+9457485+300000+640000+200763+1200000-1369864+101892</f>
        <v>59717919</v>
      </c>
      <c r="L279" s="98"/>
      <c r="M279" s="98"/>
      <c r="N279" s="98"/>
      <c r="O279" s="98">
        <f>50000000+200000+100000+49000+50000+1764511+50000+381259-3407127+9457485+300000+640000+200763+1200000-1369864+101892</f>
        <v>59717919</v>
      </c>
      <c r="P279" s="98">
        <f t="shared" si="139"/>
        <v>59717919</v>
      </c>
      <c r="Q279" s="23"/>
      <c r="R279" s="32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65.25" customHeight="1" x14ac:dyDescent="0.25">
      <c r="A280" s="59" t="s">
        <v>206</v>
      </c>
      <c r="B280" s="92" t="str">
        <f>'дод 7'!A169</f>
        <v>6084</v>
      </c>
      <c r="C280" s="92" t="str">
        <f>'дод 7'!B169</f>
        <v>0610</v>
      </c>
      <c r="D280" s="60" t="s">
        <v>530</v>
      </c>
      <c r="E280" s="98">
        <f t="shared" si="138"/>
        <v>0</v>
      </c>
      <c r="F280" s="98"/>
      <c r="G280" s="98"/>
      <c r="H280" s="98"/>
      <c r="I280" s="98"/>
      <c r="J280" s="98">
        <f t="shared" si="140"/>
        <v>71348.649999999994</v>
      </c>
      <c r="K280" s="98"/>
      <c r="L280" s="112"/>
      <c r="M280" s="98"/>
      <c r="N280" s="98"/>
      <c r="O280" s="98">
        <f>70060+1288.65</f>
        <v>71348.649999999994</v>
      </c>
      <c r="P280" s="98">
        <f t="shared" si="139"/>
        <v>71348.649999999994</v>
      </c>
      <c r="Q280" s="23"/>
      <c r="R280" s="32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31.5" x14ac:dyDescent="0.25">
      <c r="A281" s="59" t="s">
        <v>275</v>
      </c>
      <c r="B281" s="92" t="str">
        <f>'дод 7'!A183</f>
        <v>7310</v>
      </c>
      <c r="C281" s="92" t="str">
        <f>'дод 7'!B183</f>
        <v>0443</v>
      </c>
      <c r="D281" s="60" t="str">
        <f>'дод 7'!C183</f>
        <v>Будівництво1 об'єктів житлово-комунального господарства</v>
      </c>
      <c r="E281" s="98">
        <f t="shared" si="138"/>
        <v>0</v>
      </c>
      <c r="F281" s="98"/>
      <c r="G281" s="98"/>
      <c r="H281" s="98"/>
      <c r="I281" s="98"/>
      <c r="J281" s="98">
        <f t="shared" si="140"/>
        <v>23385.4</v>
      </c>
      <c r="K281" s="98">
        <v>23385.4</v>
      </c>
      <c r="L281" s="98"/>
      <c r="M281" s="98"/>
      <c r="N281" s="98"/>
      <c r="O281" s="98">
        <v>23385.4</v>
      </c>
      <c r="P281" s="98">
        <f t="shared" si="139"/>
        <v>23385.4</v>
      </c>
      <c r="Q281" s="23"/>
      <c r="R281" s="32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2" customFormat="1" ht="18.75" x14ac:dyDescent="0.25">
      <c r="A282" s="59" t="s">
        <v>276</v>
      </c>
      <c r="B282" s="92" t="str">
        <f>'дод 7'!A184</f>
        <v>7321</v>
      </c>
      <c r="C282" s="92" t="str">
        <f>'дод 7'!B184</f>
        <v>0443</v>
      </c>
      <c r="D282" s="6" t="s">
        <v>547</v>
      </c>
      <c r="E282" s="98">
        <f t="shared" si="138"/>
        <v>0</v>
      </c>
      <c r="F282" s="98"/>
      <c r="G282" s="98"/>
      <c r="H282" s="98"/>
      <c r="I282" s="98"/>
      <c r="J282" s="98">
        <f t="shared" si="140"/>
        <v>7270560</v>
      </c>
      <c r="K282" s="98">
        <f>42471+46089+10000+22000+1000000+100000+3000000+150000+3000000-100000</f>
        <v>7270560</v>
      </c>
      <c r="L282" s="98"/>
      <c r="M282" s="98"/>
      <c r="N282" s="98"/>
      <c r="O282" s="98">
        <f>42471+46089+10000+22000+1000000+100000+3000000+150000+3000000-100000</f>
        <v>7270560</v>
      </c>
      <c r="P282" s="98">
        <f t="shared" si="139"/>
        <v>7270560</v>
      </c>
      <c r="Q282" s="23"/>
      <c r="R282" s="32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</row>
    <row r="283" spans="1:527" s="22" customFormat="1" ht="18.75" x14ac:dyDescent="0.25">
      <c r="A283" s="59" t="s">
        <v>278</v>
      </c>
      <c r="B283" s="92" t="str">
        <f>'дод 7'!A186</f>
        <v>7322</v>
      </c>
      <c r="C283" s="92" t="str">
        <f>'дод 7'!B186</f>
        <v>0443</v>
      </c>
      <c r="D283" s="6" t="s">
        <v>548</v>
      </c>
      <c r="E283" s="98">
        <f t="shared" si="138"/>
        <v>0</v>
      </c>
      <c r="F283" s="98"/>
      <c r="G283" s="98"/>
      <c r="H283" s="98"/>
      <c r="I283" s="98"/>
      <c r="J283" s="98">
        <f t="shared" si="140"/>
        <v>10269864</v>
      </c>
      <c r="K283" s="98">
        <f>3000000+1800000+2000000+3000000+469864</f>
        <v>10269864</v>
      </c>
      <c r="L283" s="98"/>
      <c r="M283" s="98"/>
      <c r="N283" s="98"/>
      <c r="O283" s="98">
        <f>3000000+1800000+2000000+3000000+469864</f>
        <v>10269864</v>
      </c>
      <c r="P283" s="98">
        <f t="shared" si="139"/>
        <v>10269864</v>
      </c>
      <c r="Q283" s="23"/>
      <c r="R283" s="32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18.75" x14ac:dyDescent="0.25">
      <c r="A284" s="59" t="s">
        <v>560</v>
      </c>
      <c r="B284" s="92">
        <v>7324</v>
      </c>
      <c r="C284" s="92">
        <v>443</v>
      </c>
      <c r="D284" s="6" t="s">
        <v>550</v>
      </c>
      <c r="E284" s="98">
        <f t="shared" si="138"/>
        <v>0</v>
      </c>
      <c r="F284" s="98"/>
      <c r="G284" s="98"/>
      <c r="H284" s="98"/>
      <c r="I284" s="98"/>
      <c r="J284" s="98">
        <f t="shared" si="140"/>
        <v>165000</v>
      </c>
      <c r="K284" s="98">
        <f>400000-235000</f>
        <v>165000</v>
      </c>
      <c r="L284" s="98"/>
      <c r="M284" s="98"/>
      <c r="N284" s="98"/>
      <c r="O284" s="98">
        <f>400000-235000</f>
        <v>165000</v>
      </c>
      <c r="P284" s="98">
        <f t="shared" si="139"/>
        <v>165000</v>
      </c>
      <c r="Q284" s="23"/>
      <c r="R284" s="32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2" customFormat="1" ht="34.5" x14ac:dyDescent="0.25">
      <c r="A285" s="59" t="s">
        <v>359</v>
      </c>
      <c r="B285" s="92">
        <f>'дод 7'!A190</f>
        <v>7325</v>
      </c>
      <c r="C285" s="59" t="s">
        <v>111</v>
      </c>
      <c r="D285" s="6" t="s">
        <v>545</v>
      </c>
      <c r="E285" s="98">
        <f t="shared" si="138"/>
        <v>0</v>
      </c>
      <c r="F285" s="98"/>
      <c r="G285" s="98"/>
      <c r="H285" s="98"/>
      <c r="I285" s="98"/>
      <c r="J285" s="98">
        <f t="shared" si="140"/>
        <v>2849440</v>
      </c>
      <c r="K285" s="98">
        <f>199440+1000000+600000+750000+300000</f>
        <v>2849440</v>
      </c>
      <c r="L285" s="98"/>
      <c r="M285" s="98"/>
      <c r="N285" s="98"/>
      <c r="O285" s="98">
        <f>199440+1000000+600000+750000+300000</f>
        <v>2849440</v>
      </c>
      <c r="P285" s="98">
        <f t="shared" si="139"/>
        <v>2849440</v>
      </c>
      <c r="Q285" s="23"/>
      <c r="R285" s="32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</row>
    <row r="286" spans="1:527" s="22" customFormat="1" ht="18" customHeight="1" x14ac:dyDescent="0.25">
      <c r="A286" s="59" t="s">
        <v>280</v>
      </c>
      <c r="B286" s="92" t="str">
        <f>'дод 7'!A191</f>
        <v>7330</v>
      </c>
      <c r="C286" s="92" t="str">
        <f>'дод 7'!B191</f>
        <v>0443</v>
      </c>
      <c r="D286" s="6" t="s">
        <v>546</v>
      </c>
      <c r="E286" s="98">
        <f t="shared" si="138"/>
        <v>0</v>
      </c>
      <c r="F286" s="98"/>
      <c r="G286" s="98"/>
      <c r="H286" s="98"/>
      <c r="I286" s="98"/>
      <c r="J286" s="98">
        <f t="shared" si="140"/>
        <v>11797276</v>
      </c>
      <c r="K286" s="98">
        <f>39750000+1567447+258138-1800000+200000+135000+200000+95995-28000000+240000-70000+60000+30000-30000+49900+1000000-2814608-60000+698667-136875+136875-150000-200763+900000+2500-265000</f>
        <v>11797276</v>
      </c>
      <c r="L286" s="98"/>
      <c r="M286" s="98"/>
      <c r="N286" s="98"/>
      <c r="O286" s="98">
        <f>39750000+1567447+258138-1800000+200000+135000+200000+95995-28000000+240000-70000+60000+30000-30000+49900+1000000-2814608-60000+698667-136875+136875-150000-200763+900000+2500-265000</f>
        <v>11797276</v>
      </c>
      <c r="P286" s="98">
        <f t="shared" si="139"/>
        <v>11797276</v>
      </c>
      <c r="Q286" s="23"/>
      <c r="R286" s="32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</row>
    <row r="287" spans="1:527" s="22" customFormat="1" ht="31.5" x14ac:dyDescent="0.25">
      <c r="A287" s="59" t="s">
        <v>428</v>
      </c>
      <c r="B287" s="92">
        <v>7340</v>
      </c>
      <c r="C287" s="59" t="s">
        <v>111</v>
      </c>
      <c r="D287" s="60" t="s">
        <v>1</v>
      </c>
      <c r="E287" s="98">
        <f t="shared" si="138"/>
        <v>0</v>
      </c>
      <c r="F287" s="98"/>
      <c r="G287" s="98"/>
      <c r="H287" s="98"/>
      <c r="I287" s="98"/>
      <c r="J287" s="98">
        <f t="shared" si="140"/>
        <v>883608</v>
      </c>
      <c r="K287" s="98">
        <f>6000000-2067496-104420-86000-2742084-12000-104392</f>
        <v>883608</v>
      </c>
      <c r="L287" s="98"/>
      <c r="M287" s="98"/>
      <c r="N287" s="98"/>
      <c r="O287" s="98">
        <f>6000000-2067496-104420-86000-2742084-12000-104392</f>
        <v>883608</v>
      </c>
      <c r="P287" s="98">
        <f t="shared" si="139"/>
        <v>883608</v>
      </c>
      <c r="Q287" s="23"/>
      <c r="R287" s="32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2" customFormat="1" ht="53.25" customHeight="1" x14ac:dyDescent="0.25">
      <c r="A288" s="59" t="s">
        <v>371</v>
      </c>
      <c r="B288" s="92">
        <f>'дод 7'!A194</f>
        <v>7361</v>
      </c>
      <c r="C288" s="92" t="str">
        <f>'дод 7'!B194</f>
        <v>0490</v>
      </c>
      <c r="D288" s="60" t="str">
        <f>'дод 7'!C194</f>
        <v>Співфінансування інвестиційних проектів, що реалізуються за рахунок коштів державного фонду регіонального розвитку</v>
      </c>
      <c r="E288" s="98">
        <f t="shared" ref="E288" si="141">F288+I288</f>
        <v>0</v>
      </c>
      <c r="F288" s="98"/>
      <c r="G288" s="98"/>
      <c r="H288" s="98"/>
      <c r="I288" s="98"/>
      <c r="J288" s="98">
        <f t="shared" ref="J288" si="142">L288+O288</f>
        <v>67184673</v>
      </c>
      <c r="K288" s="98">
        <f>10172673+28000000+15000000+924549+4075451+9000000+12000</f>
        <v>67184673</v>
      </c>
      <c r="L288" s="98"/>
      <c r="M288" s="98"/>
      <c r="N288" s="98"/>
      <c r="O288" s="98">
        <f>10172673+28000000+15000000+924549+4075451+9000000+12000</f>
        <v>67184673</v>
      </c>
      <c r="P288" s="98">
        <f t="shared" si="139"/>
        <v>67184673</v>
      </c>
      <c r="Q288" s="23"/>
      <c r="R288" s="32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</row>
    <row r="289" spans="1:527" s="22" customFormat="1" ht="47.25" x14ac:dyDescent="0.25">
      <c r="A289" s="59" t="s">
        <v>366</v>
      </c>
      <c r="B289" s="92">
        <v>7363</v>
      </c>
      <c r="C289" s="59" t="s">
        <v>82</v>
      </c>
      <c r="D289" s="60" t="s">
        <v>398</v>
      </c>
      <c r="E289" s="98">
        <f t="shared" si="138"/>
        <v>0</v>
      </c>
      <c r="F289" s="98"/>
      <c r="G289" s="98"/>
      <c r="H289" s="98"/>
      <c r="I289" s="98"/>
      <c r="J289" s="98">
        <f t="shared" si="140"/>
        <v>1200000</v>
      </c>
      <c r="K289" s="98">
        <v>1200000</v>
      </c>
      <c r="L289" s="98"/>
      <c r="M289" s="98"/>
      <c r="N289" s="98"/>
      <c r="O289" s="98">
        <v>1200000</v>
      </c>
      <c r="P289" s="98">
        <f t="shared" si="139"/>
        <v>1200000</v>
      </c>
      <c r="Q289" s="23"/>
      <c r="R289" s="32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</row>
    <row r="290" spans="1:527" s="24" customFormat="1" ht="51.75" customHeight="1" x14ac:dyDescent="0.25">
      <c r="A290" s="83"/>
      <c r="B290" s="110"/>
      <c r="C290" s="83"/>
      <c r="D290" s="86" t="s">
        <v>388</v>
      </c>
      <c r="E290" s="100">
        <f t="shared" si="138"/>
        <v>0</v>
      </c>
      <c r="F290" s="100"/>
      <c r="G290" s="100"/>
      <c r="H290" s="100"/>
      <c r="I290" s="100"/>
      <c r="J290" s="100">
        <f t="shared" ref="J290" si="143">L290+O290</f>
        <v>1200000</v>
      </c>
      <c r="K290" s="100">
        <v>1200000</v>
      </c>
      <c r="L290" s="100"/>
      <c r="M290" s="100"/>
      <c r="N290" s="100"/>
      <c r="O290" s="100">
        <v>1200000</v>
      </c>
      <c r="P290" s="100">
        <f t="shared" ref="P290" si="144">E290+J290</f>
        <v>1200000</v>
      </c>
      <c r="Q290" s="30"/>
      <c r="R290" s="33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30"/>
      <c r="KD290" s="30"/>
      <c r="KE290" s="30"/>
      <c r="KF290" s="30"/>
      <c r="KG290" s="30"/>
      <c r="KH290" s="30"/>
      <c r="KI290" s="30"/>
      <c r="KJ290" s="30"/>
      <c r="KK290" s="30"/>
      <c r="KL290" s="30"/>
      <c r="KM290" s="30"/>
      <c r="KN290" s="30"/>
      <c r="KO290" s="30"/>
      <c r="KP290" s="30"/>
      <c r="KQ290" s="30"/>
      <c r="KR290" s="30"/>
      <c r="KS290" s="30"/>
      <c r="KT290" s="30"/>
      <c r="KU290" s="30"/>
      <c r="KV290" s="30"/>
      <c r="KW290" s="30"/>
      <c r="KX290" s="30"/>
      <c r="KY290" s="30"/>
      <c r="KZ290" s="30"/>
      <c r="LA290" s="30"/>
      <c r="LB290" s="30"/>
      <c r="LC290" s="30"/>
      <c r="LD290" s="30"/>
      <c r="LE290" s="30"/>
      <c r="LF290" s="30"/>
      <c r="LG290" s="30"/>
      <c r="LH290" s="30"/>
      <c r="LI290" s="30"/>
      <c r="LJ290" s="30"/>
      <c r="LK290" s="30"/>
      <c r="LL290" s="30"/>
      <c r="LM290" s="30"/>
      <c r="LN290" s="30"/>
      <c r="LO290" s="30"/>
      <c r="LP290" s="30"/>
      <c r="LQ290" s="30"/>
      <c r="LR290" s="30"/>
      <c r="LS290" s="30"/>
      <c r="LT290" s="30"/>
      <c r="LU290" s="30"/>
      <c r="LV290" s="30"/>
      <c r="LW290" s="30"/>
      <c r="LX290" s="30"/>
      <c r="LY290" s="30"/>
      <c r="LZ290" s="30"/>
      <c r="MA290" s="30"/>
      <c r="MB290" s="30"/>
      <c r="MC290" s="30"/>
      <c r="MD290" s="30"/>
      <c r="ME290" s="30"/>
      <c r="MF290" s="30"/>
      <c r="MG290" s="30"/>
      <c r="MH290" s="30"/>
      <c r="MI290" s="30"/>
      <c r="MJ290" s="30"/>
      <c r="MK290" s="30"/>
      <c r="ML290" s="30"/>
      <c r="MM290" s="30"/>
      <c r="MN290" s="30"/>
      <c r="MO290" s="30"/>
      <c r="MP290" s="30"/>
      <c r="MQ290" s="30"/>
      <c r="MR290" s="30"/>
      <c r="MS290" s="30"/>
      <c r="MT290" s="30"/>
      <c r="MU290" s="30"/>
      <c r="MV290" s="30"/>
      <c r="MW290" s="30"/>
      <c r="MX290" s="30"/>
      <c r="MY290" s="30"/>
      <c r="MZ290" s="30"/>
      <c r="NA290" s="30"/>
      <c r="NB290" s="30"/>
      <c r="NC290" s="30"/>
      <c r="ND290" s="30"/>
      <c r="NE290" s="30"/>
      <c r="NF290" s="30"/>
      <c r="NG290" s="30"/>
      <c r="NH290" s="30"/>
      <c r="NI290" s="30"/>
      <c r="NJ290" s="30"/>
      <c r="NK290" s="30"/>
      <c r="NL290" s="30"/>
      <c r="NM290" s="30"/>
      <c r="NN290" s="30"/>
      <c r="NO290" s="30"/>
      <c r="NP290" s="30"/>
      <c r="NQ290" s="30"/>
      <c r="NR290" s="30"/>
      <c r="NS290" s="30"/>
      <c r="NT290" s="30"/>
      <c r="NU290" s="30"/>
      <c r="NV290" s="30"/>
      <c r="NW290" s="30"/>
      <c r="NX290" s="30"/>
      <c r="NY290" s="30"/>
      <c r="NZ290" s="30"/>
      <c r="OA290" s="30"/>
      <c r="OB290" s="30"/>
      <c r="OC290" s="30"/>
      <c r="OD290" s="30"/>
      <c r="OE290" s="30"/>
      <c r="OF290" s="30"/>
      <c r="OG290" s="30"/>
      <c r="OH290" s="30"/>
      <c r="OI290" s="30"/>
      <c r="OJ290" s="30"/>
      <c r="OK290" s="30"/>
      <c r="OL290" s="30"/>
      <c r="OM290" s="30"/>
      <c r="ON290" s="30"/>
      <c r="OO290" s="30"/>
      <c r="OP290" s="30"/>
      <c r="OQ290" s="30"/>
      <c r="OR290" s="30"/>
      <c r="OS290" s="30"/>
      <c r="OT290" s="30"/>
      <c r="OU290" s="30"/>
      <c r="OV290" s="30"/>
      <c r="OW290" s="30"/>
      <c r="OX290" s="30"/>
      <c r="OY290" s="30"/>
      <c r="OZ290" s="30"/>
      <c r="PA290" s="30"/>
      <c r="PB290" s="30"/>
      <c r="PC290" s="30"/>
      <c r="PD290" s="30"/>
      <c r="PE290" s="30"/>
      <c r="PF290" s="30"/>
      <c r="PG290" s="30"/>
      <c r="PH290" s="30"/>
      <c r="PI290" s="30"/>
      <c r="PJ290" s="30"/>
      <c r="PK290" s="30"/>
      <c r="PL290" s="30"/>
      <c r="PM290" s="30"/>
      <c r="PN290" s="30"/>
      <c r="PO290" s="30"/>
      <c r="PP290" s="30"/>
      <c r="PQ290" s="30"/>
      <c r="PR290" s="30"/>
      <c r="PS290" s="30"/>
      <c r="PT290" s="30"/>
      <c r="PU290" s="30"/>
      <c r="PV290" s="30"/>
      <c r="PW290" s="30"/>
      <c r="PX290" s="30"/>
      <c r="PY290" s="30"/>
      <c r="PZ290" s="30"/>
      <c r="QA290" s="30"/>
      <c r="QB290" s="30"/>
      <c r="QC290" s="30"/>
      <c r="QD290" s="30"/>
      <c r="QE290" s="30"/>
      <c r="QF290" s="30"/>
      <c r="QG290" s="30"/>
      <c r="QH290" s="30"/>
      <c r="QI290" s="30"/>
      <c r="QJ290" s="30"/>
      <c r="QK290" s="30"/>
      <c r="QL290" s="30"/>
      <c r="QM290" s="30"/>
      <c r="QN290" s="30"/>
      <c r="QO290" s="30"/>
      <c r="QP290" s="30"/>
      <c r="QQ290" s="30"/>
      <c r="QR290" s="30"/>
      <c r="QS290" s="30"/>
      <c r="QT290" s="30"/>
      <c r="QU290" s="30"/>
      <c r="QV290" s="30"/>
      <c r="QW290" s="30"/>
      <c r="QX290" s="30"/>
      <c r="QY290" s="30"/>
      <c r="QZ290" s="30"/>
      <c r="RA290" s="30"/>
      <c r="RB290" s="30"/>
      <c r="RC290" s="30"/>
      <c r="RD290" s="30"/>
      <c r="RE290" s="30"/>
      <c r="RF290" s="30"/>
      <c r="RG290" s="30"/>
      <c r="RH290" s="30"/>
      <c r="RI290" s="30"/>
      <c r="RJ290" s="30"/>
      <c r="RK290" s="30"/>
      <c r="RL290" s="30"/>
      <c r="RM290" s="30"/>
      <c r="RN290" s="30"/>
      <c r="RO290" s="30"/>
      <c r="RP290" s="30"/>
      <c r="RQ290" s="30"/>
      <c r="RR290" s="30"/>
      <c r="RS290" s="30"/>
      <c r="RT290" s="30"/>
      <c r="RU290" s="30"/>
      <c r="RV290" s="30"/>
      <c r="RW290" s="30"/>
      <c r="RX290" s="30"/>
      <c r="RY290" s="30"/>
      <c r="RZ290" s="30"/>
      <c r="SA290" s="30"/>
      <c r="SB290" s="30"/>
      <c r="SC290" s="30"/>
      <c r="SD290" s="30"/>
      <c r="SE290" s="30"/>
      <c r="SF290" s="30"/>
      <c r="SG290" s="30"/>
      <c r="SH290" s="30"/>
      <c r="SI290" s="30"/>
      <c r="SJ290" s="30"/>
      <c r="SK290" s="30"/>
      <c r="SL290" s="30"/>
      <c r="SM290" s="30"/>
      <c r="SN290" s="30"/>
      <c r="SO290" s="30"/>
      <c r="SP290" s="30"/>
      <c r="SQ290" s="30"/>
      <c r="SR290" s="30"/>
      <c r="SS290" s="30"/>
      <c r="ST290" s="30"/>
      <c r="SU290" s="30"/>
      <c r="SV290" s="30"/>
      <c r="SW290" s="30"/>
      <c r="SX290" s="30"/>
      <c r="SY290" s="30"/>
      <c r="SZ290" s="30"/>
      <c r="TA290" s="30"/>
      <c r="TB290" s="30"/>
      <c r="TC290" s="30"/>
      <c r="TD290" s="30"/>
      <c r="TE290" s="30"/>
      <c r="TF290" s="30"/>
      <c r="TG290" s="30"/>
    </row>
    <row r="291" spans="1:527" s="22" customFormat="1" ht="31.5" x14ac:dyDescent="0.25">
      <c r="A291" s="59" t="s">
        <v>430</v>
      </c>
      <c r="B291" s="92">
        <v>7370</v>
      </c>
      <c r="C291" s="59" t="s">
        <v>82</v>
      </c>
      <c r="D291" s="60" t="s">
        <v>431</v>
      </c>
      <c r="E291" s="98">
        <f>F291+I291</f>
        <v>81034.600000000006</v>
      </c>
      <c r="F291" s="98">
        <f>104420-23385.4</f>
        <v>81034.600000000006</v>
      </c>
      <c r="G291" s="98"/>
      <c r="H291" s="98"/>
      <c r="I291" s="98"/>
      <c r="J291" s="98">
        <f t="shared" si="140"/>
        <v>0</v>
      </c>
      <c r="K291" s="98"/>
      <c r="L291" s="98"/>
      <c r="M291" s="98"/>
      <c r="N291" s="98"/>
      <c r="O291" s="98"/>
      <c r="P291" s="98">
        <f t="shared" si="139"/>
        <v>81034.600000000006</v>
      </c>
      <c r="Q291" s="23"/>
      <c r="R291" s="32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2" customFormat="1" ht="21.75" customHeight="1" x14ac:dyDescent="0.25">
      <c r="A292" s="59" t="s">
        <v>146</v>
      </c>
      <c r="B292" s="92" t="str">
        <f>'дод 7'!A222</f>
        <v>7640</v>
      </c>
      <c r="C292" s="92" t="str">
        <f>'дод 7'!B222</f>
        <v>0470</v>
      </c>
      <c r="D292" s="60" t="s">
        <v>467</v>
      </c>
      <c r="E292" s="98">
        <f t="shared" si="138"/>
        <v>531386.55000000005</v>
      </c>
      <c r="F292" s="98">
        <f>1763607-797422.45+49500-484298</f>
        <v>531386.55000000005</v>
      </c>
      <c r="G292" s="98"/>
      <c r="H292" s="98"/>
      <c r="I292" s="98"/>
      <c r="J292" s="98">
        <f t="shared" si="140"/>
        <v>121780030.44999999</v>
      </c>
      <c r="K292" s="98">
        <f>124644482+797422.45+2700000-4500000-14835808+1500000</f>
        <v>110306096.45</v>
      </c>
      <c r="L292" s="112"/>
      <c r="M292" s="98"/>
      <c r="N292" s="98"/>
      <c r="O292" s="98">
        <f>136118416+797422.45+2700000-4500000-14835808+1500000</f>
        <v>121780030.44999999</v>
      </c>
      <c r="P292" s="98">
        <f t="shared" si="139"/>
        <v>122311416.99999999</v>
      </c>
      <c r="Q292" s="23"/>
      <c r="R292" s="32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  <c r="TF292" s="23"/>
      <c r="TG292" s="23"/>
    </row>
    <row r="293" spans="1:527" s="24" customFormat="1" ht="17.25" customHeight="1" x14ac:dyDescent="0.25">
      <c r="A293" s="83"/>
      <c r="B293" s="110"/>
      <c r="C293" s="110"/>
      <c r="D293" s="84" t="s">
        <v>419</v>
      </c>
      <c r="E293" s="100">
        <f t="shared" si="138"/>
        <v>0</v>
      </c>
      <c r="F293" s="100"/>
      <c r="G293" s="100"/>
      <c r="H293" s="100"/>
      <c r="I293" s="100"/>
      <c r="J293" s="100">
        <f t="shared" si="140"/>
        <v>96859595</v>
      </c>
      <c r="K293" s="100">
        <v>96859595</v>
      </c>
      <c r="L293" s="113"/>
      <c r="M293" s="100"/>
      <c r="N293" s="100"/>
      <c r="O293" s="100">
        <v>96859595</v>
      </c>
      <c r="P293" s="100">
        <f t="shared" si="139"/>
        <v>96859595</v>
      </c>
      <c r="Q293" s="30"/>
      <c r="R293" s="32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30"/>
      <c r="KD293" s="30"/>
      <c r="KE293" s="30"/>
      <c r="KF293" s="30"/>
      <c r="KG293" s="30"/>
      <c r="KH293" s="30"/>
      <c r="KI293" s="30"/>
      <c r="KJ293" s="30"/>
      <c r="KK293" s="30"/>
      <c r="KL293" s="30"/>
      <c r="KM293" s="30"/>
      <c r="KN293" s="30"/>
      <c r="KO293" s="30"/>
      <c r="KP293" s="30"/>
      <c r="KQ293" s="30"/>
      <c r="KR293" s="30"/>
      <c r="KS293" s="30"/>
      <c r="KT293" s="30"/>
      <c r="KU293" s="30"/>
      <c r="KV293" s="30"/>
      <c r="KW293" s="30"/>
      <c r="KX293" s="30"/>
      <c r="KY293" s="30"/>
      <c r="KZ293" s="30"/>
      <c r="LA293" s="30"/>
      <c r="LB293" s="30"/>
      <c r="LC293" s="30"/>
      <c r="LD293" s="30"/>
      <c r="LE293" s="30"/>
      <c r="LF293" s="30"/>
      <c r="LG293" s="30"/>
      <c r="LH293" s="30"/>
      <c r="LI293" s="30"/>
      <c r="LJ293" s="30"/>
      <c r="LK293" s="30"/>
      <c r="LL293" s="30"/>
      <c r="LM293" s="30"/>
      <c r="LN293" s="30"/>
      <c r="LO293" s="30"/>
      <c r="LP293" s="30"/>
      <c r="LQ293" s="30"/>
      <c r="LR293" s="30"/>
      <c r="LS293" s="30"/>
      <c r="LT293" s="30"/>
      <c r="LU293" s="30"/>
      <c r="LV293" s="30"/>
      <c r="LW293" s="30"/>
      <c r="LX293" s="30"/>
      <c r="LY293" s="30"/>
      <c r="LZ293" s="30"/>
      <c r="MA293" s="30"/>
      <c r="MB293" s="30"/>
      <c r="MC293" s="30"/>
      <c r="MD293" s="30"/>
      <c r="ME293" s="30"/>
      <c r="MF293" s="30"/>
      <c r="MG293" s="30"/>
      <c r="MH293" s="30"/>
      <c r="MI293" s="30"/>
      <c r="MJ293" s="30"/>
      <c r="MK293" s="30"/>
      <c r="ML293" s="30"/>
      <c r="MM293" s="30"/>
      <c r="MN293" s="30"/>
      <c r="MO293" s="30"/>
      <c r="MP293" s="30"/>
      <c r="MQ293" s="30"/>
      <c r="MR293" s="30"/>
      <c r="MS293" s="30"/>
      <c r="MT293" s="30"/>
      <c r="MU293" s="30"/>
      <c r="MV293" s="30"/>
      <c r="MW293" s="30"/>
      <c r="MX293" s="30"/>
      <c r="MY293" s="30"/>
      <c r="MZ293" s="30"/>
      <c r="NA293" s="30"/>
      <c r="NB293" s="30"/>
      <c r="NC293" s="30"/>
      <c r="ND293" s="30"/>
      <c r="NE293" s="30"/>
      <c r="NF293" s="30"/>
      <c r="NG293" s="30"/>
      <c r="NH293" s="30"/>
      <c r="NI293" s="30"/>
      <c r="NJ293" s="30"/>
      <c r="NK293" s="30"/>
      <c r="NL293" s="30"/>
      <c r="NM293" s="30"/>
      <c r="NN293" s="30"/>
      <c r="NO293" s="30"/>
      <c r="NP293" s="30"/>
      <c r="NQ293" s="30"/>
      <c r="NR293" s="30"/>
      <c r="NS293" s="30"/>
      <c r="NT293" s="30"/>
      <c r="NU293" s="30"/>
      <c r="NV293" s="30"/>
      <c r="NW293" s="30"/>
      <c r="NX293" s="30"/>
      <c r="NY293" s="30"/>
      <c r="NZ293" s="30"/>
      <c r="OA293" s="30"/>
      <c r="OB293" s="30"/>
      <c r="OC293" s="30"/>
      <c r="OD293" s="30"/>
      <c r="OE293" s="30"/>
      <c r="OF293" s="30"/>
      <c r="OG293" s="30"/>
      <c r="OH293" s="30"/>
      <c r="OI293" s="30"/>
      <c r="OJ293" s="30"/>
      <c r="OK293" s="30"/>
      <c r="OL293" s="30"/>
      <c r="OM293" s="30"/>
      <c r="ON293" s="30"/>
      <c r="OO293" s="30"/>
      <c r="OP293" s="30"/>
      <c r="OQ293" s="30"/>
      <c r="OR293" s="30"/>
      <c r="OS293" s="30"/>
      <c r="OT293" s="30"/>
      <c r="OU293" s="30"/>
      <c r="OV293" s="30"/>
      <c r="OW293" s="30"/>
      <c r="OX293" s="30"/>
      <c r="OY293" s="30"/>
      <c r="OZ293" s="30"/>
      <c r="PA293" s="30"/>
      <c r="PB293" s="30"/>
      <c r="PC293" s="30"/>
      <c r="PD293" s="30"/>
      <c r="PE293" s="30"/>
      <c r="PF293" s="30"/>
      <c r="PG293" s="30"/>
      <c r="PH293" s="30"/>
      <c r="PI293" s="30"/>
      <c r="PJ293" s="30"/>
      <c r="PK293" s="30"/>
      <c r="PL293" s="30"/>
      <c r="PM293" s="30"/>
      <c r="PN293" s="30"/>
      <c r="PO293" s="30"/>
      <c r="PP293" s="30"/>
      <c r="PQ293" s="30"/>
      <c r="PR293" s="30"/>
      <c r="PS293" s="30"/>
      <c r="PT293" s="30"/>
      <c r="PU293" s="30"/>
      <c r="PV293" s="30"/>
      <c r="PW293" s="30"/>
      <c r="PX293" s="30"/>
      <c r="PY293" s="30"/>
      <c r="PZ293" s="30"/>
      <c r="QA293" s="30"/>
      <c r="QB293" s="30"/>
      <c r="QC293" s="30"/>
      <c r="QD293" s="30"/>
      <c r="QE293" s="30"/>
      <c r="QF293" s="30"/>
      <c r="QG293" s="30"/>
      <c r="QH293" s="30"/>
      <c r="QI293" s="30"/>
      <c r="QJ293" s="30"/>
      <c r="QK293" s="30"/>
      <c r="QL293" s="30"/>
      <c r="QM293" s="30"/>
      <c r="QN293" s="30"/>
      <c r="QO293" s="30"/>
      <c r="QP293" s="30"/>
      <c r="QQ293" s="30"/>
      <c r="QR293" s="30"/>
      <c r="QS293" s="30"/>
      <c r="QT293" s="30"/>
      <c r="QU293" s="30"/>
      <c r="QV293" s="30"/>
      <c r="QW293" s="30"/>
      <c r="QX293" s="30"/>
      <c r="QY293" s="30"/>
      <c r="QZ293" s="30"/>
      <c r="RA293" s="30"/>
      <c r="RB293" s="30"/>
      <c r="RC293" s="30"/>
      <c r="RD293" s="30"/>
      <c r="RE293" s="30"/>
      <c r="RF293" s="30"/>
      <c r="RG293" s="30"/>
      <c r="RH293" s="30"/>
      <c r="RI293" s="30"/>
      <c r="RJ293" s="30"/>
      <c r="RK293" s="30"/>
      <c r="RL293" s="30"/>
      <c r="RM293" s="30"/>
      <c r="RN293" s="30"/>
      <c r="RO293" s="30"/>
      <c r="RP293" s="30"/>
      <c r="RQ293" s="30"/>
      <c r="RR293" s="30"/>
      <c r="RS293" s="30"/>
      <c r="RT293" s="30"/>
      <c r="RU293" s="30"/>
      <c r="RV293" s="30"/>
      <c r="RW293" s="30"/>
      <c r="RX293" s="30"/>
      <c r="RY293" s="30"/>
      <c r="RZ293" s="30"/>
      <c r="SA293" s="30"/>
      <c r="SB293" s="30"/>
      <c r="SC293" s="30"/>
      <c r="SD293" s="30"/>
      <c r="SE293" s="30"/>
      <c r="SF293" s="30"/>
      <c r="SG293" s="30"/>
      <c r="SH293" s="30"/>
      <c r="SI293" s="30"/>
      <c r="SJ293" s="30"/>
      <c r="SK293" s="30"/>
      <c r="SL293" s="30"/>
      <c r="SM293" s="30"/>
      <c r="SN293" s="30"/>
      <c r="SO293" s="30"/>
      <c r="SP293" s="30"/>
      <c r="SQ293" s="30"/>
      <c r="SR293" s="30"/>
      <c r="SS293" s="30"/>
      <c r="ST293" s="30"/>
      <c r="SU293" s="30"/>
      <c r="SV293" s="30"/>
      <c r="SW293" s="30"/>
      <c r="SX293" s="30"/>
      <c r="SY293" s="30"/>
      <c r="SZ293" s="30"/>
      <c r="TA293" s="30"/>
      <c r="TB293" s="30"/>
      <c r="TC293" s="30"/>
      <c r="TD293" s="30"/>
      <c r="TE293" s="30"/>
      <c r="TF293" s="30"/>
      <c r="TG293" s="30"/>
    </row>
    <row r="294" spans="1:527" s="22" customFormat="1" ht="126" hidden="1" customHeight="1" x14ac:dyDescent="0.25">
      <c r="A294" s="59" t="s">
        <v>369</v>
      </c>
      <c r="B294" s="92">
        <v>7691</v>
      </c>
      <c r="C294" s="37" t="s">
        <v>82</v>
      </c>
      <c r="D294" s="60" t="s">
        <v>314</v>
      </c>
      <c r="E294" s="98">
        <f t="shared" si="138"/>
        <v>0</v>
      </c>
      <c r="F294" s="98"/>
      <c r="G294" s="98"/>
      <c r="H294" s="98"/>
      <c r="I294" s="98"/>
      <c r="J294" s="98">
        <f t="shared" si="140"/>
        <v>0</v>
      </c>
      <c r="K294" s="98"/>
      <c r="L294" s="112"/>
      <c r="M294" s="98"/>
      <c r="N294" s="98"/>
      <c r="O294" s="98"/>
      <c r="P294" s="98">
        <f t="shared" si="139"/>
        <v>0</v>
      </c>
      <c r="Q294" s="23"/>
      <c r="R294" s="32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</row>
    <row r="295" spans="1:527" s="22" customFormat="1" ht="33.75" customHeight="1" x14ac:dyDescent="0.25">
      <c r="A295" s="59" t="s">
        <v>527</v>
      </c>
      <c r="B295" s="92">
        <v>9750</v>
      </c>
      <c r="C295" s="59" t="s">
        <v>45</v>
      </c>
      <c r="D295" s="60" t="s">
        <v>528</v>
      </c>
      <c r="E295" s="98">
        <f t="shared" ref="E295" si="145">F295+I295</f>
        <v>0</v>
      </c>
      <c r="F295" s="98"/>
      <c r="G295" s="98"/>
      <c r="H295" s="98"/>
      <c r="I295" s="98"/>
      <c r="J295" s="98">
        <f t="shared" ref="J295" si="146">L295+O295</f>
        <v>86000</v>
      </c>
      <c r="K295" s="98">
        <v>86000</v>
      </c>
      <c r="L295" s="112"/>
      <c r="M295" s="98"/>
      <c r="N295" s="98"/>
      <c r="O295" s="98">
        <v>86000</v>
      </c>
      <c r="P295" s="98">
        <f t="shared" ref="P295" si="147">E295+J295</f>
        <v>86000</v>
      </c>
      <c r="Q295" s="23"/>
      <c r="R295" s="32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  <c r="TF295" s="23"/>
      <c r="TG295" s="23"/>
    </row>
    <row r="296" spans="1:527" s="27" customFormat="1" ht="30.75" customHeight="1" x14ac:dyDescent="0.25">
      <c r="A296" s="109" t="s">
        <v>207</v>
      </c>
      <c r="B296" s="111"/>
      <c r="C296" s="111"/>
      <c r="D296" s="106" t="s">
        <v>40</v>
      </c>
      <c r="E296" s="94">
        <f>E297</f>
        <v>11950107</v>
      </c>
      <c r="F296" s="94">
        <f t="shared" ref="F296:J296" si="148">F297</f>
        <v>11950107</v>
      </c>
      <c r="G296" s="94">
        <f t="shared" si="148"/>
        <v>7340700</v>
      </c>
      <c r="H296" s="94">
        <f t="shared" si="148"/>
        <v>137522</v>
      </c>
      <c r="I296" s="94">
        <f t="shared" si="148"/>
        <v>0</v>
      </c>
      <c r="J296" s="94">
        <f t="shared" si="148"/>
        <v>2596250.2999999998</v>
      </c>
      <c r="K296" s="94">
        <f t="shared" ref="K296" si="149">K297</f>
        <v>0</v>
      </c>
      <c r="L296" s="94">
        <f t="shared" ref="L296" si="150">L297</f>
        <v>2596250.2999999998</v>
      </c>
      <c r="M296" s="94">
        <f t="shared" ref="M296" si="151">M297</f>
        <v>0</v>
      </c>
      <c r="N296" s="94">
        <f t="shared" ref="N296" si="152">N297</f>
        <v>0</v>
      </c>
      <c r="O296" s="94">
        <f t="shared" ref="O296:P296" si="153">O297</f>
        <v>0</v>
      </c>
      <c r="P296" s="94">
        <f t="shared" si="153"/>
        <v>14546357.300000001</v>
      </c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</row>
    <row r="297" spans="1:527" s="34" customFormat="1" ht="35.25" customHeight="1" x14ac:dyDescent="0.25">
      <c r="A297" s="95" t="s">
        <v>208</v>
      </c>
      <c r="B297" s="108"/>
      <c r="C297" s="108"/>
      <c r="D297" s="76" t="s">
        <v>40</v>
      </c>
      <c r="E297" s="97">
        <f>E298+E299+E300+E301+E302</f>
        <v>11950107</v>
      </c>
      <c r="F297" s="97">
        <f>F298+F299+F300+F301+F302</f>
        <v>11950107</v>
      </c>
      <c r="G297" s="97">
        <f t="shared" ref="G297:P297" si="154">G298+G299+G300+G301+G302</f>
        <v>7340700</v>
      </c>
      <c r="H297" s="97">
        <f t="shared" si="154"/>
        <v>137522</v>
      </c>
      <c r="I297" s="97">
        <f t="shared" si="154"/>
        <v>0</v>
      </c>
      <c r="J297" s="97">
        <f t="shared" si="154"/>
        <v>2596250.2999999998</v>
      </c>
      <c r="K297" s="97">
        <f t="shared" si="154"/>
        <v>0</v>
      </c>
      <c r="L297" s="97">
        <f t="shared" si="154"/>
        <v>2596250.2999999998</v>
      </c>
      <c r="M297" s="97">
        <f t="shared" si="154"/>
        <v>0</v>
      </c>
      <c r="N297" s="97">
        <f t="shared" si="154"/>
        <v>0</v>
      </c>
      <c r="O297" s="97">
        <f t="shared" si="154"/>
        <v>0</v>
      </c>
      <c r="P297" s="97">
        <f t="shared" si="154"/>
        <v>14546357.300000001</v>
      </c>
      <c r="Q297" s="33"/>
      <c r="R297" s="32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3"/>
      <c r="LZ297" s="33"/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  <c r="MZ297" s="33"/>
      <c r="NA297" s="33"/>
      <c r="NB297" s="33"/>
      <c r="NC297" s="33"/>
      <c r="ND297" s="33"/>
      <c r="NE297" s="33"/>
      <c r="NF297" s="33"/>
      <c r="NG297" s="33"/>
      <c r="NH297" s="33"/>
      <c r="NI297" s="33"/>
      <c r="NJ297" s="33"/>
      <c r="NK297" s="33"/>
      <c r="NL297" s="33"/>
      <c r="NM297" s="33"/>
      <c r="NN297" s="33"/>
      <c r="NO297" s="33"/>
      <c r="NP297" s="33"/>
      <c r="NQ297" s="33"/>
      <c r="NR297" s="33"/>
      <c r="NS297" s="33"/>
      <c r="NT297" s="33"/>
      <c r="NU297" s="33"/>
      <c r="NV297" s="33"/>
      <c r="NW297" s="33"/>
      <c r="NX297" s="33"/>
      <c r="NY297" s="33"/>
      <c r="NZ297" s="33"/>
      <c r="OA297" s="33"/>
      <c r="OB297" s="33"/>
      <c r="OC297" s="33"/>
      <c r="OD297" s="33"/>
      <c r="OE297" s="33"/>
      <c r="OF297" s="33"/>
      <c r="OG297" s="33"/>
      <c r="OH297" s="33"/>
      <c r="OI297" s="33"/>
      <c r="OJ297" s="33"/>
      <c r="OK297" s="33"/>
      <c r="OL297" s="33"/>
      <c r="OM297" s="33"/>
      <c r="ON297" s="33"/>
      <c r="OO297" s="33"/>
      <c r="OP297" s="33"/>
      <c r="OQ297" s="33"/>
      <c r="OR297" s="33"/>
      <c r="OS297" s="33"/>
      <c r="OT297" s="33"/>
      <c r="OU297" s="33"/>
      <c r="OV297" s="33"/>
      <c r="OW297" s="33"/>
      <c r="OX297" s="33"/>
      <c r="OY297" s="33"/>
      <c r="OZ297" s="33"/>
      <c r="PA297" s="33"/>
      <c r="PB297" s="33"/>
      <c r="PC297" s="33"/>
      <c r="PD297" s="33"/>
      <c r="PE297" s="33"/>
      <c r="PF297" s="33"/>
      <c r="PG297" s="33"/>
      <c r="PH297" s="33"/>
      <c r="PI297" s="33"/>
      <c r="PJ297" s="33"/>
      <c r="PK297" s="33"/>
      <c r="PL297" s="33"/>
      <c r="PM297" s="33"/>
      <c r="PN297" s="33"/>
      <c r="PO297" s="33"/>
      <c r="PP297" s="33"/>
      <c r="PQ297" s="33"/>
      <c r="PR297" s="33"/>
      <c r="PS297" s="33"/>
      <c r="PT297" s="33"/>
      <c r="PU297" s="33"/>
      <c r="PV297" s="33"/>
      <c r="PW297" s="33"/>
      <c r="PX297" s="33"/>
      <c r="PY297" s="33"/>
      <c r="PZ297" s="33"/>
      <c r="QA297" s="33"/>
      <c r="QB297" s="33"/>
      <c r="QC297" s="33"/>
      <c r="QD297" s="33"/>
      <c r="QE297" s="33"/>
      <c r="QF297" s="33"/>
      <c r="QG297" s="33"/>
      <c r="QH297" s="33"/>
      <c r="QI297" s="33"/>
      <c r="QJ297" s="33"/>
      <c r="QK297" s="33"/>
      <c r="QL297" s="33"/>
      <c r="QM297" s="33"/>
      <c r="QN297" s="33"/>
      <c r="QO297" s="33"/>
      <c r="QP297" s="33"/>
      <c r="QQ297" s="33"/>
      <c r="QR297" s="33"/>
      <c r="QS297" s="33"/>
      <c r="QT297" s="33"/>
      <c r="QU297" s="33"/>
      <c r="QV297" s="33"/>
      <c r="QW297" s="33"/>
      <c r="QX297" s="33"/>
      <c r="QY297" s="33"/>
      <c r="QZ297" s="33"/>
      <c r="RA297" s="33"/>
      <c r="RB297" s="33"/>
      <c r="RC297" s="33"/>
      <c r="RD297" s="33"/>
      <c r="RE297" s="33"/>
      <c r="RF297" s="33"/>
      <c r="RG297" s="33"/>
      <c r="RH297" s="33"/>
      <c r="RI297" s="33"/>
      <c r="RJ297" s="33"/>
      <c r="RK297" s="33"/>
      <c r="RL297" s="33"/>
      <c r="RM297" s="33"/>
      <c r="RN297" s="33"/>
      <c r="RO297" s="33"/>
      <c r="RP297" s="33"/>
      <c r="RQ297" s="33"/>
      <c r="RR297" s="33"/>
      <c r="RS297" s="33"/>
      <c r="RT297" s="33"/>
      <c r="RU297" s="33"/>
      <c r="RV297" s="33"/>
      <c r="RW297" s="33"/>
      <c r="RX297" s="33"/>
      <c r="RY297" s="33"/>
      <c r="RZ297" s="33"/>
      <c r="SA297" s="33"/>
      <c r="SB297" s="33"/>
      <c r="SC297" s="33"/>
      <c r="SD297" s="33"/>
      <c r="SE297" s="33"/>
      <c r="SF297" s="33"/>
      <c r="SG297" s="33"/>
      <c r="SH297" s="33"/>
      <c r="SI297" s="33"/>
      <c r="SJ297" s="33"/>
      <c r="SK297" s="33"/>
      <c r="SL297" s="33"/>
      <c r="SM297" s="33"/>
      <c r="SN297" s="33"/>
      <c r="SO297" s="33"/>
      <c r="SP297" s="33"/>
      <c r="SQ297" s="33"/>
      <c r="SR297" s="33"/>
      <c r="SS297" s="33"/>
      <c r="ST297" s="33"/>
      <c r="SU297" s="33"/>
      <c r="SV297" s="33"/>
      <c r="SW297" s="33"/>
      <c r="SX297" s="33"/>
      <c r="SY297" s="33"/>
      <c r="SZ297" s="33"/>
      <c r="TA297" s="33"/>
      <c r="TB297" s="33"/>
      <c r="TC297" s="33"/>
      <c r="TD297" s="33"/>
      <c r="TE297" s="33"/>
      <c r="TF297" s="33"/>
      <c r="TG297" s="33"/>
    </row>
    <row r="298" spans="1:527" s="22" customFormat="1" ht="47.25" x14ac:dyDescent="0.25">
      <c r="A298" s="59" t="s">
        <v>209</v>
      </c>
      <c r="B298" s="92" t="str">
        <f>'дод 7'!A19</f>
        <v>0160</v>
      </c>
      <c r="C298" s="92" t="str">
        <f>'дод 7'!B19</f>
        <v>0111</v>
      </c>
      <c r="D298" s="36" t="s">
        <v>493</v>
      </c>
      <c r="E298" s="98">
        <f>F298+I298</f>
        <v>9514841</v>
      </c>
      <c r="F298" s="98">
        <f>9390500+40922+48490+29329+5600</f>
        <v>9514841</v>
      </c>
      <c r="G298" s="98">
        <f>7405200-64500</f>
        <v>7340700</v>
      </c>
      <c r="H298" s="98">
        <f>86000+40922+5600+5000</f>
        <v>137522</v>
      </c>
      <c r="I298" s="98"/>
      <c r="J298" s="98">
        <f t="shared" si="140"/>
        <v>0</v>
      </c>
      <c r="K298" s="98"/>
      <c r="L298" s="98"/>
      <c r="M298" s="98"/>
      <c r="N298" s="98"/>
      <c r="O298" s="98"/>
      <c r="P298" s="98">
        <f>E298+J298</f>
        <v>9514841</v>
      </c>
      <c r="Q298" s="23"/>
      <c r="R298" s="32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  <c r="TG298" s="23"/>
    </row>
    <row r="299" spans="1:527" s="22" customFormat="1" ht="31.5" x14ac:dyDescent="0.25">
      <c r="A299" s="59" t="s">
        <v>311</v>
      </c>
      <c r="B299" s="92" t="str">
        <f>'дод 7'!A170</f>
        <v>6090</v>
      </c>
      <c r="C299" s="92" t="str">
        <f>'дод 7'!B170</f>
        <v>0640</v>
      </c>
      <c r="D299" s="60" t="str">
        <f>'дод 7'!C170</f>
        <v>Інша діяльність у сфері житлово-комунального господарства</v>
      </c>
      <c r="E299" s="98">
        <f>F299+I299</f>
        <v>175000</v>
      </c>
      <c r="F299" s="98">
        <v>175000</v>
      </c>
      <c r="G299" s="98"/>
      <c r="H299" s="98"/>
      <c r="I299" s="98"/>
      <c r="J299" s="98">
        <f t="shared" si="140"/>
        <v>0</v>
      </c>
      <c r="K299" s="98"/>
      <c r="L299" s="98"/>
      <c r="M299" s="98"/>
      <c r="N299" s="98"/>
      <c r="O299" s="98"/>
      <c r="P299" s="98">
        <f>E299+J299</f>
        <v>175000</v>
      </c>
      <c r="Q299" s="23"/>
      <c r="R299" s="32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  <c r="TF299" s="23"/>
      <c r="TG299" s="23"/>
    </row>
    <row r="300" spans="1:527" s="22" customFormat="1" ht="31.5" hidden="1" x14ac:dyDescent="0.25">
      <c r="A300" s="59" t="s">
        <v>457</v>
      </c>
      <c r="B300" s="59" t="s">
        <v>458</v>
      </c>
      <c r="C300" s="59" t="s">
        <v>111</v>
      </c>
      <c r="D300" s="60" t="s">
        <v>459</v>
      </c>
      <c r="E300" s="98">
        <f>F300+I300</f>
        <v>0</v>
      </c>
      <c r="F300" s="98"/>
      <c r="G300" s="98"/>
      <c r="H300" s="98"/>
      <c r="I300" s="98"/>
      <c r="J300" s="98">
        <f t="shared" si="140"/>
        <v>0</v>
      </c>
      <c r="K300" s="98">
        <f>900000-900000</f>
        <v>0</v>
      </c>
      <c r="L300" s="98"/>
      <c r="M300" s="98"/>
      <c r="N300" s="98"/>
      <c r="O300" s="98">
        <f>900000-900000</f>
        <v>0</v>
      </c>
      <c r="P300" s="98">
        <f>E300+J300</f>
        <v>0</v>
      </c>
      <c r="Q300" s="23"/>
      <c r="R300" s="32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</row>
    <row r="301" spans="1:527" s="22" customFormat="1" ht="31.5" x14ac:dyDescent="0.25">
      <c r="A301" s="59" t="s">
        <v>553</v>
      </c>
      <c r="B301" s="59" t="s">
        <v>554</v>
      </c>
      <c r="C301" s="59" t="s">
        <v>82</v>
      </c>
      <c r="D301" s="60" t="s">
        <v>431</v>
      </c>
      <c r="E301" s="98">
        <f>F301+I301</f>
        <v>2260266</v>
      </c>
      <c r="F301" s="98">
        <f>1360266+900000</f>
        <v>2260266</v>
      </c>
      <c r="G301" s="98"/>
      <c r="H301" s="98"/>
      <c r="I301" s="98"/>
      <c r="J301" s="98">
        <f t="shared" ref="J301" si="155">L301+O301</f>
        <v>0</v>
      </c>
      <c r="K301" s="98"/>
      <c r="L301" s="98"/>
      <c r="M301" s="98"/>
      <c r="N301" s="98"/>
      <c r="O301" s="98"/>
      <c r="P301" s="98">
        <f>E301+J301</f>
        <v>2260266</v>
      </c>
      <c r="Q301" s="23"/>
      <c r="R301" s="32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  <c r="TF301" s="23"/>
      <c r="TG301" s="23"/>
    </row>
    <row r="302" spans="1:527" s="22" customFormat="1" ht="123.75" customHeight="1" x14ac:dyDescent="0.25">
      <c r="A302" s="102" t="s">
        <v>299</v>
      </c>
      <c r="B302" s="42" t="str">
        <f>'дод 7'!A229</f>
        <v>7691</v>
      </c>
      <c r="C302" s="42" t="str">
        <f>'дод 7'!B229</f>
        <v>0490</v>
      </c>
      <c r="D302" s="36" t="str">
        <f>'дод 7'!C229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2" s="98">
        <f>F302+I302</f>
        <v>0</v>
      </c>
      <c r="F302" s="98"/>
      <c r="G302" s="98"/>
      <c r="H302" s="98"/>
      <c r="I302" s="98"/>
      <c r="J302" s="98">
        <f t="shared" si="140"/>
        <v>2596250.2999999998</v>
      </c>
      <c r="K302" s="98"/>
      <c r="L302" s="98">
        <f>1060391+1535859.3</f>
        <v>2596250.2999999998</v>
      </c>
      <c r="M302" s="98"/>
      <c r="N302" s="98"/>
      <c r="O302" s="98"/>
      <c r="P302" s="98">
        <f>E302+J302</f>
        <v>2596250.2999999998</v>
      </c>
      <c r="Q302" s="23"/>
      <c r="R302" s="32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  <c r="TG302" s="23"/>
    </row>
    <row r="303" spans="1:527" s="27" customFormat="1" ht="48" customHeight="1" x14ac:dyDescent="0.25">
      <c r="A303" s="109" t="s">
        <v>212</v>
      </c>
      <c r="B303" s="111"/>
      <c r="C303" s="111"/>
      <c r="D303" s="106" t="s">
        <v>42</v>
      </c>
      <c r="E303" s="94">
        <f>E304</f>
        <v>4340725</v>
      </c>
      <c r="F303" s="94">
        <f t="shared" ref="F303:J304" si="156">F304</f>
        <v>4340725</v>
      </c>
      <c r="G303" s="94">
        <f t="shared" si="156"/>
        <v>3301600</v>
      </c>
      <c r="H303" s="94">
        <f t="shared" si="156"/>
        <v>70725</v>
      </c>
      <c r="I303" s="94">
        <f t="shared" si="156"/>
        <v>0</v>
      </c>
      <c r="J303" s="94">
        <f t="shared" si="156"/>
        <v>0</v>
      </c>
      <c r="K303" s="94">
        <f t="shared" ref="K303:K304" si="157">K304</f>
        <v>0</v>
      </c>
      <c r="L303" s="94">
        <f t="shared" ref="L303:L304" si="158">L304</f>
        <v>0</v>
      </c>
      <c r="M303" s="94">
        <f t="shared" ref="M303:M304" si="159">M304</f>
        <v>0</v>
      </c>
      <c r="N303" s="94">
        <f t="shared" ref="N303:N304" si="160">N304</f>
        <v>0</v>
      </c>
      <c r="O303" s="94">
        <f t="shared" ref="O303:P304" si="161">O304</f>
        <v>0</v>
      </c>
      <c r="P303" s="94">
        <f t="shared" si="161"/>
        <v>4340725</v>
      </c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  <c r="IT303" s="32"/>
      <c r="IU303" s="32"/>
      <c r="IV303" s="32"/>
      <c r="IW303" s="32"/>
      <c r="IX303" s="32"/>
      <c r="IY303" s="32"/>
      <c r="IZ303" s="32"/>
      <c r="JA303" s="32"/>
      <c r="JB303" s="32"/>
      <c r="JC303" s="32"/>
      <c r="JD303" s="32"/>
      <c r="JE303" s="32"/>
      <c r="JF303" s="32"/>
      <c r="JG303" s="32"/>
      <c r="JH303" s="32"/>
      <c r="JI303" s="32"/>
      <c r="JJ303" s="32"/>
      <c r="JK303" s="32"/>
      <c r="JL303" s="32"/>
      <c r="JM303" s="32"/>
      <c r="JN303" s="32"/>
      <c r="JO303" s="32"/>
      <c r="JP303" s="32"/>
      <c r="JQ303" s="32"/>
      <c r="JR303" s="32"/>
      <c r="JS303" s="32"/>
      <c r="JT303" s="32"/>
      <c r="JU303" s="32"/>
      <c r="JV303" s="32"/>
      <c r="JW303" s="32"/>
      <c r="JX303" s="32"/>
      <c r="JY303" s="32"/>
      <c r="JZ303" s="32"/>
      <c r="KA303" s="32"/>
      <c r="KB303" s="32"/>
      <c r="KC303" s="32"/>
      <c r="KD303" s="32"/>
      <c r="KE303" s="32"/>
      <c r="KF303" s="32"/>
      <c r="KG303" s="32"/>
      <c r="KH303" s="32"/>
      <c r="KI303" s="32"/>
      <c r="KJ303" s="32"/>
      <c r="KK303" s="32"/>
      <c r="KL303" s="32"/>
      <c r="KM303" s="32"/>
      <c r="KN303" s="32"/>
      <c r="KO303" s="32"/>
      <c r="KP303" s="32"/>
      <c r="KQ303" s="32"/>
      <c r="KR303" s="32"/>
      <c r="KS303" s="32"/>
      <c r="KT303" s="32"/>
      <c r="KU303" s="32"/>
      <c r="KV303" s="32"/>
      <c r="KW303" s="32"/>
      <c r="KX303" s="32"/>
      <c r="KY303" s="32"/>
      <c r="KZ303" s="32"/>
      <c r="LA303" s="32"/>
      <c r="LB303" s="32"/>
      <c r="LC303" s="32"/>
      <c r="LD303" s="32"/>
      <c r="LE303" s="32"/>
      <c r="LF303" s="32"/>
      <c r="LG303" s="32"/>
      <c r="LH303" s="32"/>
      <c r="LI303" s="32"/>
      <c r="LJ303" s="32"/>
      <c r="LK303" s="32"/>
      <c r="LL303" s="32"/>
      <c r="LM303" s="32"/>
      <c r="LN303" s="32"/>
      <c r="LO303" s="32"/>
      <c r="LP303" s="32"/>
      <c r="LQ303" s="32"/>
      <c r="LR303" s="32"/>
      <c r="LS303" s="32"/>
      <c r="LT303" s="32"/>
      <c r="LU303" s="32"/>
      <c r="LV303" s="32"/>
      <c r="LW303" s="32"/>
      <c r="LX303" s="32"/>
      <c r="LY303" s="32"/>
      <c r="LZ303" s="32"/>
      <c r="MA303" s="32"/>
      <c r="MB303" s="32"/>
      <c r="MC303" s="32"/>
      <c r="MD303" s="32"/>
      <c r="ME303" s="32"/>
      <c r="MF303" s="32"/>
      <c r="MG303" s="32"/>
      <c r="MH303" s="32"/>
      <c r="MI303" s="32"/>
      <c r="MJ303" s="32"/>
      <c r="MK303" s="32"/>
      <c r="ML303" s="32"/>
      <c r="MM303" s="32"/>
      <c r="MN303" s="32"/>
      <c r="MO303" s="32"/>
      <c r="MP303" s="32"/>
      <c r="MQ303" s="32"/>
      <c r="MR303" s="32"/>
      <c r="MS303" s="32"/>
      <c r="MT303" s="32"/>
      <c r="MU303" s="32"/>
      <c r="MV303" s="32"/>
      <c r="MW303" s="32"/>
      <c r="MX303" s="32"/>
      <c r="MY303" s="32"/>
      <c r="MZ303" s="32"/>
      <c r="NA303" s="32"/>
      <c r="NB303" s="32"/>
      <c r="NC303" s="32"/>
      <c r="ND303" s="32"/>
      <c r="NE303" s="32"/>
      <c r="NF303" s="32"/>
      <c r="NG303" s="32"/>
      <c r="NH303" s="32"/>
      <c r="NI303" s="32"/>
      <c r="NJ303" s="32"/>
      <c r="NK303" s="32"/>
      <c r="NL303" s="32"/>
      <c r="NM303" s="32"/>
      <c r="NN303" s="32"/>
      <c r="NO303" s="32"/>
      <c r="NP303" s="32"/>
      <c r="NQ303" s="32"/>
      <c r="NR303" s="32"/>
      <c r="NS303" s="32"/>
      <c r="NT303" s="32"/>
      <c r="NU303" s="32"/>
      <c r="NV303" s="32"/>
      <c r="NW303" s="32"/>
      <c r="NX303" s="32"/>
      <c r="NY303" s="32"/>
      <c r="NZ303" s="32"/>
      <c r="OA303" s="32"/>
      <c r="OB303" s="32"/>
      <c r="OC303" s="32"/>
      <c r="OD303" s="32"/>
      <c r="OE303" s="32"/>
      <c r="OF303" s="32"/>
      <c r="OG303" s="32"/>
      <c r="OH303" s="32"/>
      <c r="OI303" s="32"/>
      <c r="OJ303" s="32"/>
      <c r="OK303" s="32"/>
      <c r="OL303" s="32"/>
      <c r="OM303" s="32"/>
      <c r="ON303" s="32"/>
      <c r="OO303" s="32"/>
      <c r="OP303" s="32"/>
      <c r="OQ303" s="32"/>
      <c r="OR303" s="32"/>
      <c r="OS303" s="32"/>
      <c r="OT303" s="32"/>
      <c r="OU303" s="32"/>
      <c r="OV303" s="32"/>
      <c r="OW303" s="32"/>
      <c r="OX303" s="32"/>
      <c r="OY303" s="32"/>
      <c r="OZ303" s="32"/>
      <c r="PA303" s="32"/>
      <c r="PB303" s="32"/>
      <c r="PC303" s="32"/>
      <c r="PD303" s="32"/>
      <c r="PE303" s="32"/>
      <c r="PF303" s="32"/>
      <c r="PG303" s="32"/>
      <c r="PH303" s="32"/>
      <c r="PI303" s="32"/>
      <c r="PJ303" s="32"/>
      <c r="PK303" s="32"/>
      <c r="PL303" s="32"/>
      <c r="PM303" s="32"/>
      <c r="PN303" s="32"/>
      <c r="PO303" s="32"/>
      <c r="PP303" s="32"/>
      <c r="PQ303" s="32"/>
      <c r="PR303" s="32"/>
      <c r="PS303" s="32"/>
      <c r="PT303" s="32"/>
      <c r="PU303" s="32"/>
      <c r="PV303" s="32"/>
      <c r="PW303" s="32"/>
      <c r="PX303" s="32"/>
      <c r="PY303" s="32"/>
      <c r="PZ303" s="32"/>
      <c r="QA303" s="32"/>
      <c r="QB303" s="32"/>
      <c r="QC303" s="32"/>
      <c r="QD303" s="32"/>
      <c r="QE303" s="32"/>
      <c r="QF303" s="32"/>
      <c r="QG303" s="32"/>
      <c r="QH303" s="32"/>
      <c r="QI303" s="32"/>
      <c r="QJ303" s="32"/>
      <c r="QK303" s="32"/>
      <c r="QL303" s="32"/>
      <c r="QM303" s="32"/>
      <c r="QN303" s="32"/>
      <c r="QO303" s="32"/>
      <c r="QP303" s="32"/>
      <c r="QQ303" s="32"/>
      <c r="QR303" s="32"/>
      <c r="QS303" s="32"/>
      <c r="QT303" s="32"/>
      <c r="QU303" s="32"/>
      <c r="QV303" s="32"/>
      <c r="QW303" s="32"/>
      <c r="QX303" s="32"/>
      <c r="QY303" s="32"/>
      <c r="QZ303" s="32"/>
      <c r="RA303" s="32"/>
      <c r="RB303" s="32"/>
      <c r="RC303" s="32"/>
      <c r="RD303" s="32"/>
      <c r="RE303" s="32"/>
      <c r="RF303" s="32"/>
      <c r="RG303" s="32"/>
      <c r="RH303" s="32"/>
      <c r="RI303" s="32"/>
      <c r="RJ303" s="32"/>
      <c r="RK303" s="32"/>
      <c r="RL303" s="32"/>
      <c r="RM303" s="32"/>
      <c r="RN303" s="32"/>
      <c r="RO303" s="32"/>
      <c r="RP303" s="32"/>
      <c r="RQ303" s="32"/>
      <c r="RR303" s="32"/>
      <c r="RS303" s="32"/>
      <c r="RT303" s="32"/>
      <c r="RU303" s="32"/>
      <c r="RV303" s="32"/>
      <c r="RW303" s="32"/>
      <c r="RX303" s="32"/>
      <c r="RY303" s="32"/>
      <c r="RZ303" s="32"/>
      <c r="SA303" s="32"/>
      <c r="SB303" s="32"/>
      <c r="SC303" s="32"/>
      <c r="SD303" s="32"/>
      <c r="SE303" s="32"/>
      <c r="SF303" s="32"/>
      <c r="SG303" s="32"/>
      <c r="SH303" s="32"/>
      <c r="SI303" s="32"/>
      <c r="SJ303" s="32"/>
      <c r="SK303" s="32"/>
      <c r="SL303" s="32"/>
      <c r="SM303" s="32"/>
      <c r="SN303" s="32"/>
      <c r="SO303" s="32"/>
      <c r="SP303" s="32"/>
      <c r="SQ303" s="32"/>
      <c r="SR303" s="32"/>
      <c r="SS303" s="32"/>
      <c r="ST303" s="32"/>
      <c r="SU303" s="32"/>
      <c r="SV303" s="32"/>
      <c r="SW303" s="32"/>
      <c r="SX303" s="32"/>
      <c r="SY303" s="32"/>
      <c r="SZ303" s="32"/>
      <c r="TA303" s="32"/>
      <c r="TB303" s="32"/>
      <c r="TC303" s="32"/>
      <c r="TD303" s="32"/>
      <c r="TE303" s="32"/>
      <c r="TF303" s="32"/>
      <c r="TG303" s="32"/>
    </row>
    <row r="304" spans="1:527" s="34" customFormat="1" ht="35.25" customHeight="1" x14ac:dyDescent="0.25">
      <c r="A304" s="95" t="s">
        <v>210</v>
      </c>
      <c r="B304" s="108"/>
      <c r="C304" s="108"/>
      <c r="D304" s="76" t="s">
        <v>42</v>
      </c>
      <c r="E304" s="97">
        <f>E305</f>
        <v>4340725</v>
      </c>
      <c r="F304" s="97">
        <f t="shared" si="156"/>
        <v>4340725</v>
      </c>
      <c r="G304" s="97">
        <f t="shared" si="156"/>
        <v>3301600</v>
      </c>
      <c r="H304" s="97">
        <f t="shared" si="156"/>
        <v>70725</v>
      </c>
      <c r="I304" s="97">
        <f t="shared" si="156"/>
        <v>0</v>
      </c>
      <c r="J304" s="97">
        <f t="shared" si="156"/>
        <v>0</v>
      </c>
      <c r="K304" s="97">
        <f t="shared" si="157"/>
        <v>0</v>
      </c>
      <c r="L304" s="97">
        <f t="shared" si="158"/>
        <v>0</v>
      </c>
      <c r="M304" s="97">
        <f t="shared" si="159"/>
        <v>0</v>
      </c>
      <c r="N304" s="97">
        <f t="shared" si="160"/>
        <v>0</v>
      </c>
      <c r="O304" s="97">
        <f t="shared" si="161"/>
        <v>0</v>
      </c>
      <c r="P304" s="97">
        <f t="shared" si="161"/>
        <v>4340725</v>
      </c>
      <c r="Q304" s="33"/>
      <c r="R304" s="32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  <c r="QA304" s="33"/>
      <c r="QB304" s="33"/>
      <c r="QC304" s="33"/>
      <c r="QD304" s="33"/>
      <c r="QE304" s="33"/>
      <c r="QF304" s="33"/>
      <c r="QG304" s="33"/>
      <c r="QH304" s="33"/>
      <c r="QI304" s="33"/>
      <c r="QJ304" s="33"/>
      <c r="QK304" s="33"/>
      <c r="QL304" s="33"/>
      <c r="QM304" s="33"/>
      <c r="QN304" s="33"/>
      <c r="QO304" s="33"/>
      <c r="QP304" s="33"/>
      <c r="QQ304" s="33"/>
      <c r="QR304" s="33"/>
      <c r="QS304" s="33"/>
      <c r="QT304" s="33"/>
      <c r="QU304" s="33"/>
      <c r="QV304" s="33"/>
      <c r="QW304" s="33"/>
      <c r="QX304" s="33"/>
      <c r="QY304" s="33"/>
      <c r="QZ304" s="33"/>
      <c r="RA304" s="33"/>
      <c r="RB304" s="33"/>
      <c r="RC304" s="33"/>
      <c r="RD304" s="33"/>
      <c r="RE304" s="33"/>
      <c r="RF304" s="33"/>
      <c r="RG304" s="33"/>
      <c r="RH304" s="33"/>
      <c r="RI304" s="33"/>
      <c r="RJ304" s="33"/>
      <c r="RK304" s="33"/>
      <c r="RL304" s="33"/>
      <c r="RM304" s="33"/>
      <c r="RN304" s="33"/>
      <c r="RO304" s="33"/>
      <c r="RP304" s="33"/>
      <c r="RQ304" s="33"/>
      <c r="RR304" s="33"/>
      <c r="RS304" s="33"/>
      <c r="RT304" s="33"/>
      <c r="RU304" s="33"/>
      <c r="RV304" s="33"/>
      <c r="RW304" s="33"/>
      <c r="RX304" s="33"/>
      <c r="RY304" s="33"/>
      <c r="RZ304" s="33"/>
      <c r="SA304" s="33"/>
      <c r="SB304" s="33"/>
      <c r="SC304" s="33"/>
      <c r="SD304" s="33"/>
      <c r="SE304" s="33"/>
      <c r="SF304" s="33"/>
      <c r="SG304" s="33"/>
      <c r="SH304" s="33"/>
      <c r="SI304" s="33"/>
      <c r="SJ304" s="33"/>
      <c r="SK304" s="33"/>
      <c r="SL304" s="33"/>
      <c r="SM304" s="33"/>
      <c r="SN304" s="33"/>
      <c r="SO304" s="33"/>
      <c r="SP304" s="33"/>
      <c r="SQ304" s="33"/>
      <c r="SR304" s="33"/>
      <c r="SS304" s="33"/>
      <c r="ST304" s="33"/>
      <c r="SU304" s="33"/>
      <c r="SV304" s="33"/>
      <c r="SW304" s="33"/>
      <c r="SX304" s="33"/>
      <c r="SY304" s="33"/>
      <c r="SZ304" s="33"/>
      <c r="TA304" s="33"/>
      <c r="TB304" s="33"/>
      <c r="TC304" s="33"/>
      <c r="TD304" s="33"/>
      <c r="TE304" s="33"/>
      <c r="TF304" s="33"/>
      <c r="TG304" s="33"/>
    </row>
    <row r="305" spans="1:527" s="22" customFormat="1" ht="49.5" customHeight="1" x14ac:dyDescent="0.25">
      <c r="A305" s="59" t="s">
        <v>211</v>
      </c>
      <c r="B305" s="92" t="str">
        <f>'дод 7'!A19</f>
        <v>0160</v>
      </c>
      <c r="C305" s="92" t="str">
        <f>'дод 7'!B19</f>
        <v>0111</v>
      </c>
      <c r="D305" s="36" t="s">
        <v>493</v>
      </c>
      <c r="E305" s="98">
        <f>F305+I305</f>
        <v>4340725</v>
      </c>
      <c r="F305" s="98">
        <f>4301300+20000+19425</f>
        <v>4340725</v>
      </c>
      <c r="G305" s="98">
        <v>3301600</v>
      </c>
      <c r="H305" s="98">
        <f>46000+19425+5300</f>
        <v>70725</v>
      </c>
      <c r="I305" s="98"/>
      <c r="J305" s="98">
        <f>L305+O305</f>
        <v>0</v>
      </c>
      <c r="K305" s="98"/>
      <c r="L305" s="98"/>
      <c r="M305" s="98"/>
      <c r="N305" s="98"/>
      <c r="O305" s="98"/>
      <c r="P305" s="98">
        <f>E305+J305</f>
        <v>4340725</v>
      </c>
      <c r="Q305" s="23"/>
      <c r="R305" s="32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  <c r="TG305" s="23"/>
    </row>
    <row r="306" spans="1:527" s="27" customFormat="1" ht="37.5" customHeight="1" x14ac:dyDescent="0.25">
      <c r="A306" s="109" t="s">
        <v>213</v>
      </c>
      <c r="B306" s="111"/>
      <c r="C306" s="111"/>
      <c r="D306" s="106" t="s">
        <v>39</v>
      </c>
      <c r="E306" s="94">
        <f>E307</f>
        <v>21083978</v>
      </c>
      <c r="F306" s="94">
        <f t="shared" ref="F306:J306" si="162">F307</f>
        <v>21083978</v>
      </c>
      <c r="G306" s="94">
        <f t="shared" si="162"/>
        <v>14932200</v>
      </c>
      <c r="H306" s="94">
        <f t="shared" si="162"/>
        <v>409278</v>
      </c>
      <c r="I306" s="94">
        <f t="shared" si="162"/>
        <v>0</v>
      </c>
      <c r="J306" s="94">
        <f t="shared" si="162"/>
        <v>665000</v>
      </c>
      <c r="K306" s="94">
        <f t="shared" ref="K306" si="163">K307</f>
        <v>665000</v>
      </c>
      <c r="L306" s="94">
        <f t="shared" ref="L306" si="164">L307</f>
        <v>0</v>
      </c>
      <c r="M306" s="94">
        <f t="shared" ref="M306" si="165">M307</f>
        <v>0</v>
      </c>
      <c r="N306" s="94">
        <f t="shared" ref="N306" si="166">N307</f>
        <v>0</v>
      </c>
      <c r="O306" s="94">
        <f t="shared" ref="O306" si="167">O307</f>
        <v>665000</v>
      </c>
      <c r="P306" s="94">
        <f>P307</f>
        <v>21748978</v>
      </c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</row>
    <row r="307" spans="1:527" s="34" customFormat="1" ht="33.75" customHeight="1" x14ac:dyDescent="0.25">
      <c r="A307" s="95" t="s">
        <v>214</v>
      </c>
      <c r="B307" s="108"/>
      <c r="C307" s="108"/>
      <c r="D307" s="76" t="s">
        <v>39</v>
      </c>
      <c r="E307" s="97">
        <f>E308+E309++E310+E311+E312+E313</f>
        <v>21083978</v>
      </c>
      <c r="F307" s="97">
        <f t="shared" ref="F307:P307" si="168">F308+F309++F310+F311+F312+F313</f>
        <v>21083978</v>
      </c>
      <c r="G307" s="97">
        <f t="shared" si="168"/>
        <v>14932200</v>
      </c>
      <c r="H307" s="97">
        <f t="shared" si="168"/>
        <v>409278</v>
      </c>
      <c r="I307" s="97">
        <f t="shared" si="168"/>
        <v>0</v>
      </c>
      <c r="J307" s="97">
        <f t="shared" si="168"/>
        <v>665000</v>
      </c>
      <c r="K307" s="97">
        <f>K308+K309++K310+K311+K312+K313</f>
        <v>665000</v>
      </c>
      <c r="L307" s="97">
        <f t="shared" si="168"/>
        <v>0</v>
      </c>
      <c r="M307" s="97">
        <f t="shared" si="168"/>
        <v>0</v>
      </c>
      <c r="N307" s="97">
        <f t="shared" si="168"/>
        <v>0</v>
      </c>
      <c r="O307" s="97">
        <f t="shared" si="168"/>
        <v>665000</v>
      </c>
      <c r="P307" s="97">
        <f t="shared" si="168"/>
        <v>21748978</v>
      </c>
      <c r="Q307" s="33"/>
      <c r="R307" s="32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</row>
    <row r="308" spans="1:527" s="22" customFormat="1" ht="47.25" x14ac:dyDescent="0.25">
      <c r="A308" s="59" t="s">
        <v>215</v>
      </c>
      <c r="B308" s="92" t="str">
        <f>'дод 7'!A19</f>
        <v>0160</v>
      </c>
      <c r="C308" s="92" t="str">
        <f>'дод 7'!B19</f>
        <v>0111</v>
      </c>
      <c r="D308" s="36" t="s">
        <v>493</v>
      </c>
      <c r="E308" s="98">
        <f t="shared" ref="E308:E313" si="169">F308+I308</f>
        <v>19430978</v>
      </c>
      <c r="F308" s="98">
        <f>19290300+18000+22178+100500</f>
        <v>19430978</v>
      </c>
      <c r="G308" s="98">
        <f>14962200-30000</f>
        <v>14932200</v>
      </c>
      <c r="H308" s="98">
        <f>286600+22178+100500</f>
        <v>409278</v>
      </c>
      <c r="I308" s="98"/>
      <c r="J308" s="98">
        <f>L308+O308</f>
        <v>600000</v>
      </c>
      <c r="K308" s="98">
        <f>18000-18000+600000</f>
        <v>600000</v>
      </c>
      <c r="L308" s="98"/>
      <c r="M308" s="98"/>
      <c r="N308" s="98"/>
      <c r="O308" s="98">
        <f>18000-18000+600000</f>
        <v>600000</v>
      </c>
      <c r="P308" s="98">
        <f t="shared" ref="P308:P313" si="170">E308+J308</f>
        <v>20030978</v>
      </c>
      <c r="Q308" s="23"/>
      <c r="R308" s="32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  <c r="TF308" s="23"/>
      <c r="TG308" s="23"/>
    </row>
    <row r="309" spans="1:527" s="25" customFormat="1" ht="25.5" customHeight="1" x14ac:dyDescent="0.25">
      <c r="A309" s="59" t="s">
        <v>216</v>
      </c>
      <c r="B309" s="92" t="str">
        <f>'дод 7'!A178</f>
        <v>7130</v>
      </c>
      <c r="C309" s="92" t="str">
        <f>'дод 7'!B178</f>
        <v>0421</v>
      </c>
      <c r="D309" s="60" t="str">
        <f>'дод 7'!C178</f>
        <v>Здійснення заходів із землеустрою</v>
      </c>
      <c r="E309" s="98">
        <f t="shared" si="169"/>
        <v>450000</v>
      </c>
      <c r="F309" s="98">
        <f>150000+300000</f>
        <v>450000</v>
      </c>
      <c r="G309" s="98"/>
      <c r="H309" s="98"/>
      <c r="I309" s="98"/>
      <c r="J309" s="98">
        <f t="shared" ref="J309:J313" si="171">L309+O309</f>
        <v>0</v>
      </c>
      <c r="K309" s="98"/>
      <c r="L309" s="98"/>
      <c r="M309" s="98"/>
      <c r="N309" s="98"/>
      <c r="O309" s="98"/>
      <c r="P309" s="98">
        <f t="shared" si="170"/>
        <v>450000</v>
      </c>
      <c r="Q309" s="31"/>
      <c r="R309" s="32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  <c r="IW309" s="31"/>
      <c r="IX309" s="31"/>
      <c r="IY309" s="31"/>
      <c r="IZ309" s="31"/>
      <c r="JA309" s="31"/>
      <c r="JB309" s="31"/>
      <c r="JC309" s="31"/>
      <c r="JD309" s="31"/>
      <c r="JE309" s="31"/>
      <c r="JF309" s="31"/>
      <c r="JG309" s="31"/>
      <c r="JH309" s="31"/>
      <c r="JI309" s="31"/>
      <c r="JJ309" s="31"/>
      <c r="JK309" s="31"/>
      <c r="JL309" s="31"/>
      <c r="JM309" s="31"/>
      <c r="JN309" s="31"/>
      <c r="JO309" s="31"/>
      <c r="JP309" s="31"/>
      <c r="JQ309" s="31"/>
      <c r="JR309" s="31"/>
      <c r="JS309" s="31"/>
      <c r="JT309" s="31"/>
      <c r="JU309" s="31"/>
      <c r="JV309" s="31"/>
      <c r="JW309" s="31"/>
      <c r="JX309" s="31"/>
      <c r="JY309" s="31"/>
      <c r="JZ309" s="31"/>
      <c r="KA309" s="31"/>
      <c r="KB309" s="31"/>
      <c r="KC309" s="31"/>
      <c r="KD309" s="31"/>
      <c r="KE309" s="31"/>
      <c r="KF309" s="31"/>
      <c r="KG309" s="31"/>
      <c r="KH309" s="31"/>
      <c r="KI309" s="31"/>
      <c r="KJ309" s="31"/>
      <c r="KK309" s="31"/>
      <c r="KL309" s="31"/>
      <c r="KM309" s="31"/>
      <c r="KN309" s="31"/>
      <c r="KO309" s="31"/>
      <c r="KP309" s="31"/>
      <c r="KQ309" s="31"/>
      <c r="KR309" s="31"/>
      <c r="KS309" s="31"/>
      <c r="KT309" s="31"/>
      <c r="KU309" s="31"/>
      <c r="KV309" s="31"/>
      <c r="KW309" s="31"/>
      <c r="KX309" s="31"/>
      <c r="KY309" s="31"/>
      <c r="KZ309" s="31"/>
      <c r="LA309" s="31"/>
      <c r="LB309" s="31"/>
      <c r="LC309" s="31"/>
      <c r="LD309" s="31"/>
      <c r="LE309" s="31"/>
      <c r="LF309" s="31"/>
      <c r="LG309" s="31"/>
      <c r="LH309" s="31"/>
      <c r="LI309" s="31"/>
      <c r="LJ309" s="31"/>
      <c r="LK309" s="31"/>
      <c r="LL309" s="31"/>
      <c r="LM309" s="31"/>
      <c r="LN309" s="31"/>
      <c r="LO309" s="31"/>
      <c r="LP309" s="31"/>
      <c r="LQ309" s="31"/>
      <c r="LR309" s="31"/>
      <c r="LS309" s="31"/>
      <c r="LT309" s="31"/>
      <c r="LU309" s="31"/>
      <c r="LV309" s="31"/>
      <c r="LW309" s="31"/>
      <c r="LX309" s="31"/>
      <c r="LY309" s="31"/>
      <c r="LZ309" s="31"/>
      <c r="MA309" s="31"/>
      <c r="MB309" s="31"/>
      <c r="MC309" s="31"/>
      <c r="MD309" s="31"/>
      <c r="ME309" s="31"/>
      <c r="MF309" s="31"/>
      <c r="MG309" s="31"/>
      <c r="MH309" s="31"/>
      <c r="MI309" s="31"/>
      <c r="MJ309" s="31"/>
      <c r="MK309" s="31"/>
      <c r="ML309" s="31"/>
      <c r="MM309" s="31"/>
      <c r="MN309" s="31"/>
      <c r="MO309" s="31"/>
      <c r="MP309" s="31"/>
      <c r="MQ309" s="31"/>
      <c r="MR309" s="31"/>
      <c r="MS309" s="31"/>
      <c r="MT309" s="31"/>
      <c r="MU309" s="31"/>
      <c r="MV309" s="31"/>
      <c r="MW309" s="31"/>
      <c r="MX309" s="31"/>
      <c r="MY309" s="31"/>
      <c r="MZ309" s="31"/>
      <c r="NA309" s="31"/>
      <c r="NB309" s="31"/>
      <c r="NC309" s="31"/>
      <c r="ND309" s="31"/>
      <c r="NE309" s="31"/>
      <c r="NF309" s="31"/>
      <c r="NG309" s="31"/>
      <c r="NH309" s="31"/>
      <c r="NI309" s="31"/>
      <c r="NJ309" s="31"/>
      <c r="NK309" s="31"/>
      <c r="NL309" s="31"/>
      <c r="NM309" s="31"/>
      <c r="NN309" s="31"/>
      <c r="NO309" s="31"/>
      <c r="NP309" s="31"/>
      <c r="NQ309" s="31"/>
      <c r="NR309" s="31"/>
      <c r="NS309" s="31"/>
      <c r="NT309" s="31"/>
      <c r="NU309" s="31"/>
      <c r="NV309" s="31"/>
      <c r="NW309" s="31"/>
      <c r="NX309" s="31"/>
      <c r="NY309" s="31"/>
      <c r="NZ309" s="31"/>
      <c r="OA309" s="31"/>
      <c r="OB309" s="31"/>
      <c r="OC309" s="31"/>
      <c r="OD309" s="31"/>
      <c r="OE309" s="31"/>
      <c r="OF309" s="31"/>
      <c r="OG309" s="31"/>
      <c r="OH309" s="31"/>
      <c r="OI309" s="31"/>
      <c r="OJ309" s="31"/>
      <c r="OK309" s="31"/>
      <c r="OL309" s="31"/>
      <c r="OM309" s="31"/>
      <c r="ON309" s="31"/>
      <c r="OO309" s="31"/>
      <c r="OP309" s="31"/>
      <c r="OQ309" s="31"/>
      <c r="OR309" s="31"/>
      <c r="OS309" s="31"/>
      <c r="OT309" s="31"/>
      <c r="OU309" s="31"/>
      <c r="OV309" s="31"/>
      <c r="OW309" s="31"/>
      <c r="OX309" s="31"/>
      <c r="OY309" s="31"/>
      <c r="OZ309" s="31"/>
      <c r="PA309" s="31"/>
      <c r="PB309" s="31"/>
      <c r="PC309" s="31"/>
      <c r="PD309" s="31"/>
      <c r="PE309" s="31"/>
      <c r="PF309" s="31"/>
      <c r="PG309" s="31"/>
      <c r="PH309" s="31"/>
      <c r="PI309" s="31"/>
      <c r="PJ309" s="31"/>
      <c r="PK309" s="31"/>
      <c r="PL309" s="31"/>
      <c r="PM309" s="31"/>
      <c r="PN309" s="31"/>
      <c r="PO309" s="31"/>
      <c r="PP309" s="31"/>
      <c r="PQ309" s="31"/>
      <c r="PR309" s="31"/>
      <c r="PS309" s="31"/>
      <c r="PT309" s="31"/>
      <c r="PU309" s="31"/>
      <c r="PV309" s="31"/>
      <c r="PW309" s="31"/>
      <c r="PX309" s="31"/>
      <c r="PY309" s="31"/>
      <c r="PZ309" s="31"/>
      <c r="QA309" s="31"/>
      <c r="QB309" s="31"/>
      <c r="QC309" s="31"/>
      <c r="QD309" s="31"/>
      <c r="QE309" s="31"/>
      <c r="QF309" s="31"/>
      <c r="QG309" s="31"/>
      <c r="QH309" s="31"/>
      <c r="QI309" s="31"/>
      <c r="QJ309" s="31"/>
      <c r="QK309" s="31"/>
      <c r="QL309" s="31"/>
      <c r="QM309" s="31"/>
      <c r="QN309" s="31"/>
      <c r="QO309" s="31"/>
      <c r="QP309" s="31"/>
      <c r="QQ309" s="31"/>
      <c r="QR309" s="31"/>
      <c r="QS309" s="31"/>
      <c r="QT309" s="31"/>
      <c r="QU309" s="31"/>
      <c r="QV309" s="31"/>
      <c r="QW309" s="31"/>
      <c r="QX309" s="31"/>
      <c r="QY309" s="31"/>
      <c r="QZ309" s="31"/>
      <c r="RA309" s="31"/>
      <c r="RB309" s="31"/>
      <c r="RC309" s="31"/>
      <c r="RD309" s="31"/>
      <c r="RE309" s="31"/>
      <c r="RF309" s="31"/>
      <c r="RG309" s="31"/>
      <c r="RH309" s="31"/>
      <c r="RI309" s="31"/>
      <c r="RJ309" s="31"/>
      <c r="RK309" s="31"/>
      <c r="RL309" s="31"/>
      <c r="RM309" s="31"/>
      <c r="RN309" s="31"/>
      <c r="RO309" s="31"/>
      <c r="RP309" s="31"/>
      <c r="RQ309" s="31"/>
      <c r="RR309" s="31"/>
      <c r="RS309" s="31"/>
      <c r="RT309" s="31"/>
      <c r="RU309" s="31"/>
      <c r="RV309" s="31"/>
      <c r="RW309" s="31"/>
      <c r="RX309" s="31"/>
      <c r="RY309" s="31"/>
      <c r="RZ309" s="31"/>
      <c r="SA309" s="31"/>
      <c r="SB309" s="31"/>
      <c r="SC309" s="31"/>
      <c r="SD309" s="31"/>
      <c r="SE309" s="31"/>
      <c r="SF309" s="31"/>
      <c r="SG309" s="31"/>
      <c r="SH309" s="31"/>
      <c r="SI309" s="31"/>
      <c r="SJ309" s="31"/>
      <c r="SK309" s="31"/>
      <c r="SL309" s="31"/>
      <c r="SM309" s="31"/>
      <c r="SN309" s="31"/>
      <c r="SO309" s="31"/>
      <c r="SP309" s="31"/>
      <c r="SQ309" s="31"/>
      <c r="SR309" s="31"/>
      <c r="SS309" s="31"/>
      <c r="ST309" s="31"/>
      <c r="SU309" s="31"/>
      <c r="SV309" s="31"/>
      <c r="SW309" s="31"/>
      <c r="SX309" s="31"/>
      <c r="SY309" s="31"/>
      <c r="SZ309" s="31"/>
      <c r="TA309" s="31"/>
      <c r="TB309" s="31"/>
      <c r="TC309" s="31"/>
      <c r="TD309" s="31"/>
      <c r="TE309" s="31"/>
      <c r="TF309" s="31"/>
      <c r="TG309" s="31"/>
    </row>
    <row r="310" spans="1:527" s="22" customFormat="1" ht="29.25" customHeight="1" x14ac:dyDescent="0.25">
      <c r="A310" s="102" t="s">
        <v>217</v>
      </c>
      <c r="B310" s="42" t="str">
        <f>'дод 7'!A221</f>
        <v>7610</v>
      </c>
      <c r="C310" s="42" t="str">
        <f>'дод 7'!B221</f>
        <v>0411</v>
      </c>
      <c r="D310" s="36" t="str">
        <f>'дод 7'!C221</f>
        <v>Сприяння розвитку малого та середнього підприємництва</v>
      </c>
      <c r="E310" s="98">
        <f t="shared" si="169"/>
        <v>312000</v>
      </c>
      <c r="F310" s="98">
        <f>415000-103000</f>
        <v>312000</v>
      </c>
      <c r="G310" s="98"/>
      <c r="H310" s="98"/>
      <c r="I310" s="98">
        <f>500000-500000</f>
        <v>0</v>
      </c>
      <c r="J310" s="98">
        <f t="shared" si="171"/>
        <v>0</v>
      </c>
      <c r="K310" s="98"/>
      <c r="L310" s="98"/>
      <c r="M310" s="98"/>
      <c r="N310" s="98"/>
      <c r="O310" s="98"/>
      <c r="P310" s="98">
        <f t="shared" si="170"/>
        <v>312000</v>
      </c>
      <c r="Q310" s="23"/>
      <c r="R310" s="32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  <c r="TF310" s="23"/>
      <c r="TG310" s="23"/>
    </row>
    <row r="311" spans="1:527" s="22" customFormat="1" ht="32.25" customHeight="1" x14ac:dyDescent="0.25">
      <c r="A311" s="102" t="s">
        <v>266</v>
      </c>
      <c r="B311" s="42" t="str">
        <f>'дод 7'!A224</f>
        <v>7650</v>
      </c>
      <c r="C311" s="42" t="str">
        <f>'дод 7'!B224</f>
        <v>0490</v>
      </c>
      <c r="D311" s="36" t="str">
        <f>'дод 7'!C224</f>
        <v>Проведення експертної грошової оцінки земельної ділянки чи права на неї</v>
      </c>
      <c r="E311" s="98">
        <f t="shared" si="169"/>
        <v>0</v>
      </c>
      <c r="F311" s="98"/>
      <c r="G311" s="98"/>
      <c r="H311" s="98"/>
      <c r="I311" s="98"/>
      <c r="J311" s="98">
        <f t="shared" si="171"/>
        <v>20000</v>
      </c>
      <c r="K311" s="98">
        <v>20000</v>
      </c>
      <c r="L311" s="98"/>
      <c r="M311" s="98"/>
      <c r="N311" s="98"/>
      <c r="O311" s="98">
        <v>20000</v>
      </c>
      <c r="P311" s="98">
        <f t="shared" si="170"/>
        <v>20000</v>
      </c>
      <c r="Q311" s="23"/>
      <c r="R311" s="32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  <c r="TF311" s="23"/>
      <c r="TG311" s="23"/>
    </row>
    <row r="312" spans="1:527" s="22" customFormat="1" ht="67.5" customHeight="1" x14ac:dyDescent="0.25">
      <c r="A312" s="102" t="s">
        <v>268</v>
      </c>
      <c r="B312" s="42" t="str">
        <f>'дод 7'!A225</f>
        <v>7660</v>
      </c>
      <c r="C312" s="42" t="str">
        <f>'дод 7'!B225</f>
        <v>0490</v>
      </c>
      <c r="D312" s="36" t="str">
        <f>'дод 7'!C225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2" s="98">
        <f t="shared" si="169"/>
        <v>0</v>
      </c>
      <c r="F312" s="98"/>
      <c r="G312" s="98"/>
      <c r="H312" s="98"/>
      <c r="I312" s="98"/>
      <c r="J312" s="98">
        <f t="shared" si="171"/>
        <v>45000</v>
      </c>
      <c r="K312" s="98">
        <v>45000</v>
      </c>
      <c r="L312" s="98"/>
      <c r="M312" s="98"/>
      <c r="N312" s="98"/>
      <c r="O312" s="98">
        <v>45000</v>
      </c>
      <c r="P312" s="98">
        <f t="shared" si="170"/>
        <v>45000</v>
      </c>
      <c r="Q312" s="23"/>
      <c r="R312" s="32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  <c r="TF312" s="23"/>
      <c r="TG312" s="23"/>
    </row>
    <row r="313" spans="1:527" s="22" customFormat="1" ht="23.25" customHeight="1" x14ac:dyDescent="0.25">
      <c r="A313" s="102" t="s">
        <v>264</v>
      </c>
      <c r="B313" s="42" t="str">
        <f>'дод 7'!A230</f>
        <v>7693</v>
      </c>
      <c r="C313" s="42" t="str">
        <f>'дод 7'!B230</f>
        <v>0490</v>
      </c>
      <c r="D313" s="36" t="str">
        <f>'дод 7'!C230</f>
        <v>Інші заходи, пов'язані з економічною діяльністю</v>
      </c>
      <c r="E313" s="98">
        <f t="shared" si="169"/>
        <v>891000</v>
      </c>
      <c r="F313" s="98">
        <f>788000+103000</f>
        <v>891000</v>
      </c>
      <c r="G313" s="98"/>
      <c r="H313" s="98"/>
      <c r="I313" s="98"/>
      <c r="J313" s="98">
        <f t="shared" si="171"/>
        <v>0</v>
      </c>
      <c r="K313" s="98"/>
      <c r="L313" s="98"/>
      <c r="M313" s="98"/>
      <c r="N313" s="98"/>
      <c r="O313" s="98"/>
      <c r="P313" s="98">
        <f t="shared" si="170"/>
        <v>891000</v>
      </c>
      <c r="Q313" s="23"/>
      <c r="R313" s="32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  <c r="TF313" s="23"/>
      <c r="TG313" s="23"/>
    </row>
    <row r="314" spans="1:527" s="22" customFormat="1" ht="35.25" customHeight="1" x14ac:dyDescent="0.25">
      <c r="A314" s="105" t="s">
        <v>426</v>
      </c>
      <c r="B314" s="39"/>
      <c r="C314" s="39"/>
      <c r="D314" s="106" t="s">
        <v>427</v>
      </c>
      <c r="E314" s="94">
        <f>E315</f>
        <v>20000</v>
      </c>
      <c r="F314" s="94">
        <f t="shared" ref="F314:P314" si="172">F315</f>
        <v>20000</v>
      </c>
      <c r="G314" s="94">
        <f t="shared" si="172"/>
        <v>0</v>
      </c>
      <c r="H314" s="94">
        <f t="shared" si="172"/>
        <v>0</v>
      </c>
      <c r="I314" s="94">
        <f t="shared" si="172"/>
        <v>0</v>
      </c>
      <c r="J314" s="94">
        <f t="shared" si="172"/>
        <v>0</v>
      </c>
      <c r="K314" s="94">
        <f t="shared" si="172"/>
        <v>0</v>
      </c>
      <c r="L314" s="94">
        <f t="shared" si="172"/>
        <v>0</v>
      </c>
      <c r="M314" s="94">
        <f t="shared" si="172"/>
        <v>0</v>
      </c>
      <c r="N314" s="94">
        <f t="shared" si="172"/>
        <v>0</v>
      </c>
      <c r="O314" s="94">
        <f t="shared" si="172"/>
        <v>0</v>
      </c>
      <c r="P314" s="94">
        <f t="shared" si="172"/>
        <v>20000</v>
      </c>
      <c r="Q314" s="23"/>
      <c r="R314" s="32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  <c r="TF314" s="23"/>
      <c r="TG314" s="23"/>
    </row>
    <row r="315" spans="1:527" s="34" customFormat="1" ht="34.5" customHeight="1" x14ac:dyDescent="0.25">
      <c r="A315" s="107" t="s">
        <v>425</v>
      </c>
      <c r="B315" s="73"/>
      <c r="C315" s="73"/>
      <c r="D315" s="76" t="s">
        <v>427</v>
      </c>
      <c r="E315" s="97">
        <f>E316</f>
        <v>20000</v>
      </c>
      <c r="F315" s="97">
        <f t="shared" ref="F315:P315" si="173">F316</f>
        <v>20000</v>
      </c>
      <c r="G315" s="97">
        <f t="shared" si="173"/>
        <v>0</v>
      </c>
      <c r="H315" s="97">
        <f t="shared" si="173"/>
        <v>0</v>
      </c>
      <c r="I315" s="97">
        <f t="shared" si="173"/>
        <v>0</v>
      </c>
      <c r="J315" s="97">
        <f t="shared" si="173"/>
        <v>0</v>
      </c>
      <c r="K315" s="97">
        <f t="shared" si="173"/>
        <v>0</v>
      </c>
      <c r="L315" s="97">
        <f t="shared" si="173"/>
        <v>0</v>
      </c>
      <c r="M315" s="97">
        <f t="shared" si="173"/>
        <v>0</v>
      </c>
      <c r="N315" s="97">
        <f t="shared" si="173"/>
        <v>0</v>
      </c>
      <c r="O315" s="97">
        <f t="shared" si="173"/>
        <v>0</v>
      </c>
      <c r="P315" s="97">
        <f t="shared" si="173"/>
        <v>20000</v>
      </c>
      <c r="Q315" s="33"/>
      <c r="R315" s="32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  <c r="IW315" s="33"/>
      <c r="IX315" s="33"/>
      <c r="IY315" s="33"/>
      <c r="IZ315" s="33"/>
      <c r="JA315" s="33"/>
      <c r="JB315" s="33"/>
      <c r="JC315" s="33"/>
      <c r="JD315" s="33"/>
      <c r="JE315" s="33"/>
      <c r="JF315" s="33"/>
      <c r="JG315" s="33"/>
      <c r="JH315" s="33"/>
      <c r="JI315" s="33"/>
      <c r="JJ315" s="33"/>
      <c r="JK315" s="33"/>
      <c r="JL315" s="33"/>
      <c r="JM315" s="33"/>
      <c r="JN315" s="33"/>
      <c r="JO315" s="33"/>
      <c r="JP315" s="33"/>
      <c r="JQ315" s="33"/>
      <c r="JR315" s="33"/>
      <c r="JS315" s="33"/>
      <c r="JT315" s="33"/>
      <c r="JU315" s="33"/>
      <c r="JV315" s="33"/>
      <c r="JW315" s="33"/>
      <c r="JX315" s="33"/>
      <c r="JY315" s="33"/>
      <c r="JZ315" s="33"/>
      <c r="KA315" s="33"/>
      <c r="KB315" s="33"/>
      <c r="KC315" s="33"/>
      <c r="KD315" s="33"/>
      <c r="KE315" s="33"/>
      <c r="KF315" s="33"/>
      <c r="KG315" s="33"/>
      <c r="KH315" s="33"/>
      <c r="KI315" s="33"/>
      <c r="KJ315" s="33"/>
      <c r="KK315" s="33"/>
      <c r="KL315" s="33"/>
      <c r="KM315" s="33"/>
      <c r="KN315" s="33"/>
      <c r="KO315" s="33"/>
      <c r="KP315" s="33"/>
      <c r="KQ315" s="33"/>
      <c r="KR315" s="33"/>
      <c r="KS315" s="33"/>
      <c r="KT315" s="33"/>
      <c r="KU315" s="33"/>
      <c r="KV315" s="33"/>
      <c r="KW315" s="33"/>
      <c r="KX315" s="33"/>
      <c r="KY315" s="33"/>
      <c r="KZ315" s="33"/>
      <c r="LA315" s="33"/>
      <c r="LB315" s="33"/>
      <c r="LC315" s="33"/>
      <c r="LD315" s="33"/>
      <c r="LE315" s="33"/>
      <c r="LF315" s="33"/>
      <c r="LG315" s="33"/>
      <c r="LH315" s="33"/>
      <c r="LI315" s="33"/>
      <c r="LJ315" s="33"/>
      <c r="LK315" s="33"/>
      <c r="LL315" s="33"/>
      <c r="LM315" s="33"/>
      <c r="LN315" s="33"/>
      <c r="LO315" s="33"/>
      <c r="LP315" s="33"/>
      <c r="LQ315" s="33"/>
      <c r="LR315" s="33"/>
      <c r="LS315" s="33"/>
      <c r="LT315" s="33"/>
      <c r="LU315" s="33"/>
      <c r="LV315" s="33"/>
      <c r="LW315" s="33"/>
      <c r="LX315" s="33"/>
      <c r="LY315" s="33"/>
      <c r="LZ315" s="33"/>
      <c r="MA315" s="33"/>
      <c r="MB315" s="33"/>
      <c r="MC315" s="33"/>
      <c r="MD315" s="33"/>
      <c r="ME315" s="33"/>
      <c r="MF315" s="33"/>
      <c r="MG315" s="33"/>
      <c r="MH315" s="33"/>
      <c r="MI315" s="33"/>
      <c r="MJ315" s="33"/>
      <c r="MK315" s="33"/>
      <c r="ML315" s="33"/>
      <c r="MM315" s="33"/>
      <c r="MN315" s="33"/>
      <c r="MO315" s="33"/>
      <c r="MP315" s="33"/>
      <c r="MQ315" s="33"/>
      <c r="MR315" s="33"/>
      <c r="MS315" s="33"/>
      <c r="MT315" s="33"/>
      <c r="MU315" s="33"/>
      <c r="MV315" s="33"/>
      <c r="MW315" s="33"/>
      <c r="MX315" s="33"/>
      <c r="MY315" s="33"/>
      <c r="MZ315" s="33"/>
      <c r="NA315" s="33"/>
      <c r="NB315" s="33"/>
      <c r="NC315" s="33"/>
      <c r="ND315" s="33"/>
      <c r="NE315" s="33"/>
      <c r="NF315" s="33"/>
      <c r="NG315" s="33"/>
      <c r="NH315" s="33"/>
      <c r="NI315" s="33"/>
      <c r="NJ315" s="33"/>
      <c r="NK315" s="33"/>
      <c r="NL315" s="33"/>
      <c r="NM315" s="33"/>
      <c r="NN315" s="33"/>
      <c r="NO315" s="33"/>
      <c r="NP315" s="33"/>
      <c r="NQ315" s="33"/>
      <c r="NR315" s="33"/>
      <c r="NS315" s="33"/>
      <c r="NT315" s="33"/>
      <c r="NU315" s="33"/>
      <c r="NV315" s="33"/>
      <c r="NW315" s="33"/>
      <c r="NX315" s="33"/>
      <c r="NY315" s="33"/>
      <c r="NZ315" s="33"/>
      <c r="OA315" s="33"/>
      <c r="OB315" s="33"/>
      <c r="OC315" s="33"/>
      <c r="OD315" s="33"/>
      <c r="OE315" s="33"/>
      <c r="OF315" s="33"/>
      <c r="OG315" s="33"/>
      <c r="OH315" s="33"/>
      <c r="OI315" s="33"/>
      <c r="OJ315" s="33"/>
      <c r="OK315" s="33"/>
      <c r="OL315" s="33"/>
      <c r="OM315" s="33"/>
      <c r="ON315" s="33"/>
      <c r="OO315" s="33"/>
      <c r="OP315" s="33"/>
      <c r="OQ315" s="33"/>
      <c r="OR315" s="33"/>
      <c r="OS315" s="33"/>
      <c r="OT315" s="33"/>
      <c r="OU315" s="33"/>
      <c r="OV315" s="33"/>
      <c r="OW315" s="33"/>
      <c r="OX315" s="33"/>
      <c r="OY315" s="33"/>
      <c r="OZ315" s="33"/>
      <c r="PA315" s="33"/>
      <c r="PB315" s="33"/>
      <c r="PC315" s="33"/>
      <c r="PD315" s="33"/>
      <c r="PE315" s="33"/>
      <c r="PF315" s="33"/>
      <c r="PG315" s="33"/>
      <c r="PH315" s="33"/>
      <c r="PI315" s="33"/>
      <c r="PJ315" s="33"/>
      <c r="PK315" s="33"/>
      <c r="PL315" s="33"/>
      <c r="PM315" s="33"/>
      <c r="PN315" s="33"/>
      <c r="PO315" s="33"/>
      <c r="PP315" s="33"/>
      <c r="PQ315" s="33"/>
      <c r="PR315" s="33"/>
      <c r="PS315" s="33"/>
      <c r="PT315" s="33"/>
      <c r="PU315" s="33"/>
      <c r="PV315" s="33"/>
      <c r="PW315" s="33"/>
      <c r="PX315" s="33"/>
      <c r="PY315" s="33"/>
      <c r="PZ315" s="33"/>
      <c r="QA315" s="33"/>
      <c r="QB315" s="33"/>
      <c r="QC315" s="33"/>
      <c r="QD315" s="33"/>
      <c r="QE315" s="33"/>
      <c r="QF315" s="33"/>
      <c r="QG315" s="33"/>
      <c r="QH315" s="33"/>
      <c r="QI315" s="33"/>
      <c r="QJ315" s="33"/>
      <c r="QK315" s="33"/>
      <c r="QL315" s="33"/>
      <c r="QM315" s="33"/>
      <c r="QN315" s="33"/>
      <c r="QO315" s="33"/>
      <c r="QP315" s="33"/>
      <c r="QQ315" s="33"/>
      <c r="QR315" s="33"/>
      <c r="QS315" s="33"/>
      <c r="QT315" s="33"/>
      <c r="QU315" s="33"/>
      <c r="QV315" s="33"/>
      <c r="QW315" s="33"/>
      <c r="QX315" s="33"/>
      <c r="QY315" s="33"/>
      <c r="QZ315" s="33"/>
      <c r="RA315" s="33"/>
      <c r="RB315" s="33"/>
      <c r="RC315" s="33"/>
      <c r="RD315" s="33"/>
      <c r="RE315" s="33"/>
      <c r="RF315" s="33"/>
      <c r="RG315" s="33"/>
      <c r="RH315" s="33"/>
      <c r="RI315" s="33"/>
      <c r="RJ315" s="33"/>
      <c r="RK315" s="33"/>
      <c r="RL315" s="33"/>
      <c r="RM315" s="33"/>
      <c r="RN315" s="33"/>
      <c r="RO315" s="33"/>
      <c r="RP315" s="33"/>
      <c r="RQ315" s="33"/>
      <c r="RR315" s="33"/>
      <c r="RS315" s="33"/>
      <c r="RT315" s="33"/>
      <c r="RU315" s="33"/>
      <c r="RV315" s="33"/>
      <c r="RW315" s="33"/>
      <c r="RX315" s="33"/>
      <c r="RY315" s="33"/>
      <c r="RZ315" s="33"/>
      <c r="SA315" s="33"/>
      <c r="SB315" s="33"/>
      <c r="SC315" s="33"/>
      <c r="SD315" s="33"/>
      <c r="SE315" s="33"/>
      <c r="SF315" s="33"/>
      <c r="SG315" s="33"/>
      <c r="SH315" s="33"/>
      <c r="SI315" s="33"/>
      <c r="SJ315" s="33"/>
      <c r="SK315" s="33"/>
      <c r="SL315" s="33"/>
      <c r="SM315" s="33"/>
      <c r="SN315" s="33"/>
      <c r="SO315" s="33"/>
      <c r="SP315" s="33"/>
      <c r="SQ315" s="33"/>
      <c r="SR315" s="33"/>
      <c r="SS315" s="33"/>
      <c r="ST315" s="33"/>
      <c r="SU315" s="33"/>
      <c r="SV315" s="33"/>
      <c r="SW315" s="33"/>
      <c r="SX315" s="33"/>
      <c r="SY315" s="33"/>
      <c r="SZ315" s="33"/>
      <c r="TA315" s="33"/>
      <c r="TB315" s="33"/>
      <c r="TC315" s="33"/>
      <c r="TD315" s="33"/>
      <c r="TE315" s="33"/>
      <c r="TF315" s="33"/>
      <c r="TG315" s="33"/>
    </row>
    <row r="316" spans="1:527" s="22" customFormat="1" ht="45.75" customHeight="1" x14ac:dyDescent="0.25">
      <c r="A316" s="102" t="s">
        <v>424</v>
      </c>
      <c r="B316" s="102" t="s">
        <v>119</v>
      </c>
      <c r="C316" s="102" t="s">
        <v>46</v>
      </c>
      <c r="D316" s="36" t="s">
        <v>493</v>
      </c>
      <c r="E316" s="98">
        <f t="shared" ref="E316" si="174">F316+I316</f>
        <v>20000</v>
      </c>
      <c r="F316" s="98">
        <v>20000</v>
      </c>
      <c r="G316" s="98"/>
      <c r="H316" s="98"/>
      <c r="I316" s="98"/>
      <c r="J316" s="98">
        <f>L316+O316</f>
        <v>0</v>
      </c>
      <c r="K316" s="98"/>
      <c r="L316" s="98"/>
      <c r="M316" s="98"/>
      <c r="N316" s="98"/>
      <c r="O316" s="98"/>
      <c r="P316" s="98">
        <f t="shared" ref="P316" si="175">E316+J316</f>
        <v>20000</v>
      </c>
      <c r="Q316" s="23"/>
      <c r="R316" s="32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  <c r="TF316" s="23"/>
      <c r="TG316" s="23"/>
    </row>
    <row r="317" spans="1:527" s="27" customFormat="1" ht="38.25" customHeight="1" x14ac:dyDescent="0.25">
      <c r="A317" s="109" t="s">
        <v>218</v>
      </c>
      <c r="B317" s="111"/>
      <c r="C317" s="111"/>
      <c r="D317" s="106" t="s">
        <v>41</v>
      </c>
      <c r="E317" s="94">
        <f>E318</f>
        <v>140550753.34</v>
      </c>
      <c r="F317" s="94">
        <f t="shared" ref="F317:J317" si="176">F318</f>
        <v>122793932</v>
      </c>
      <c r="G317" s="94">
        <f t="shared" si="176"/>
        <v>15760200</v>
      </c>
      <c r="H317" s="94">
        <f t="shared" si="176"/>
        <v>376173</v>
      </c>
      <c r="I317" s="94">
        <f t="shared" si="176"/>
        <v>0</v>
      </c>
      <c r="J317" s="94">
        <f t="shared" si="176"/>
        <v>195293960.40000001</v>
      </c>
      <c r="K317" s="94">
        <f t="shared" ref="K317" si="177">K318</f>
        <v>0</v>
      </c>
      <c r="L317" s="94">
        <f t="shared" ref="L317" si="178">L318</f>
        <v>195293960.40000001</v>
      </c>
      <c r="M317" s="94">
        <f t="shared" ref="M317" si="179">M318</f>
        <v>0</v>
      </c>
      <c r="N317" s="94">
        <f t="shared" ref="N317" si="180">N318</f>
        <v>0</v>
      </c>
      <c r="O317" s="94">
        <f t="shared" ref="O317:P317" si="181">O318</f>
        <v>0</v>
      </c>
      <c r="P317" s="94">
        <f t="shared" si="181"/>
        <v>335844713.74000001</v>
      </c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  <c r="IU317" s="32"/>
      <c r="IV317" s="32"/>
      <c r="IW317" s="32"/>
      <c r="IX317" s="32"/>
      <c r="IY317" s="32"/>
      <c r="IZ317" s="32"/>
      <c r="JA317" s="32"/>
      <c r="JB317" s="32"/>
      <c r="JC317" s="32"/>
      <c r="JD317" s="32"/>
      <c r="JE317" s="32"/>
      <c r="JF317" s="32"/>
      <c r="JG317" s="32"/>
      <c r="JH317" s="32"/>
      <c r="JI317" s="32"/>
      <c r="JJ317" s="32"/>
      <c r="JK317" s="32"/>
      <c r="JL317" s="32"/>
      <c r="JM317" s="32"/>
      <c r="JN317" s="32"/>
      <c r="JO317" s="32"/>
      <c r="JP317" s="32"/>
      <c r="JQ317" s="32"/>
      <c r="JR317" s="32"/>
      <c r="JS317" s="32"/>
      <c r="JT317" s="32"/>
      <c r="JU317" s="32"/>
      <c r="JV317" s="32"/>
      <c r="JW317" s="32"/>
      <c r="JX317" s="32"/>
      <c r="JY317" s="32"/>
      <c r="JZ317" s="32"/>
      <c r="KA317" s="32"/>
      <c r="KB317" s="32"/>
      <c r="KC317" s="32"/>
      <c r="KD317" s="32"/>
      <c r="KE317" s="32"/>
      <c r="KF317" s="32"/>
      <c r="KG317" s="32"/>
      <c r="KH317" s="32"/>
      <c r="KI317" s="32"/>
      <c r="KJ317" s="32"/>
      <c r="KK317" s="32"/>
      <c r="KL317" s="32"/>
      <c r="KM317" s="32"/>
      <c r="KN317" s="32"/>
      <c r="KO317" s="32"/>
      <c r="KP317" s="32"/>
      <c r="KQ317" s="32"/>
      <c r="KR317" s="32"/>
      <c r="KS317" s="32"/>
      <c r="KT317" s="32"/>
      <c r="KU317" s="32"/>
      <c r="KV317" s="32"/>
      <c r="KW317" s="32"/>
      <c r="KX317" s="32"/>
      <c r="KY317" s="32"/>
      <c r="KZ317" s="32"/>
      <c r="LA317" s="32"/>
      <c r="LB317" s="32"/>
      <c r="LC317" s="32"/>
      <c r="LD317" s="32"/>
      <c r="LE317" s="32"/>
      <c r="LF317" s="32"/>
      <c r="LG317" s="32"/>
      <c r="LH317" s="32"/>
      <c r="LI317" s="32"/>
      <c r="LJ317" s="32"/>
      <c r="LK317" s="32"/>
      <c r="LL317" s="32"/>
      <c r="LM317" s="32"/>
      <c r="LN317" s="32"/>
      <c r="LO317" s="32"/>
      <c r="LP317" s="32"/>
      <c r="LQ317" s="32"/>
      <c r="LR317" s="32"/>
      <c r="LS317" s="32"/>
      <c r="LT317" s="32"/>
      <c r="LU317" s="32"/>
      <c r="LV317" s="32"/>
      <c r="LW317" s="32"/>
      <c r="LX317" s="32"/>
      <c r="LY317" s="32"/>
      <c r="LZ317" s="32"/>
      <c r="MA317" s="32"/>
      <c r="MB317" s="32"/>
      <c r="MC317" s="32"/>
      <c r="MD317" s="32"/>
      <c r="ME317" s="32"/>
      <c r="MF317" s="32"/>
      <c r="MG317" s="32"/>
      <c r="MH317" s="32"/>
      <c r="MI317" s="32"/>
      <c r="MJ317" s="32"/>
      <c r="MK317" s="32"/>
      <c r="ML317" s="32"/>
      <c r="MM317" s="32"/>
      <c r="MN317" s="32"/>
      <c r="MO317" s="32"/>
      <c r="MP317" s="32"/>
      <c r="MQ317" s="32"/>
      <c r="MR317" s="32"/>
      <c r="MS317" s="32"/>
      <c r="MT317" s="32"/>
      <c r="MU317" s="32"/>
      <c r="MV317" s="32"/>
      <c r="MW317" s="32"/>
      <c r="MX317" s="32"/>
      <c r="MY317" s="32"/>
      <c r="MZ317" s="32"/>
      <c r="NA317" s="32"/>
      <c r="NB317" s="32"/>
      <c r="NC317" s="32"/>
      <c r="ND317" s="32"/>
      <c r="NE317" s="32"/>
      <c r="NF317" s="32"/>
      <c r="NG317" s="32"/>
      <c r="NH317" s="32"/>
      <c r="NI317" s="32"/>
      <c r="NJ317" s="32"/>
      <c r="NK317" s="32"/>
      <c r="NL317" s="32"/>
      <c r="NM317" s="32"/>
      <c r="NN317" s="32"/>
      <c r="NO317" s="32"/>
      <c r="NP317" s="32"/>
      <c r="NQ317" s="32"/>
      <c r="NR317" s="32"/>
      <c r="NS317" s="32"/>
      <c r="NT317" s="32"/>
      <c r="NU317" s="32"/>
      <c r="NV317" s="32"/>
      <c r="NW317" s="32"/>
      <c r="NX317" s="32"/>
      <c r="NY317" s="32"/>
      <c r="NZ317" s="32"/>
      <c r="OA317" s="32"/>
      <c r="OB317" s="32"/>
      <c r="OC317" s="32"/>
      <c r="OD317" s="32"/>
      <c r="OE317" s="32"/>
      <c r="OF317" s="32"/>
      <c r="OG317" s="32"/>
      <c r="OH317" s="32"/>
      <c r="OI317" s="32"/>
      <c r="OJ317" s="32"/>
      <c r="OK317" s="32"/>
      <c r="OL317" s="32"/>
      <c r="OM317" s="32"/>
      <c r="ON317" s="32"/>
      <c r="OO317" s="32"/>
      <c r="OP317" s="32"/>
      <c r="OQ317" s="32"/>
      <c r="OR317" s="32"/>
      <c r="OS317" s="32"/>
      <c r="OT317" s="32"/>
      <c r="OU317" s="32"/>
      <c r="OV317" s="32"/>
      <c r="OW317" s="32"/>
      <c r="OX317" s="32"/>
      <c r="OY317" s="32"/>
      <c r="OZ317" s="32"/>
      <c r="PA317" s="32"/>
      <c r="PB317" s="32"/>
      <c r="PC317" s="32"/>
      <c r="PD317" s="32"/>
      <c r="PE317" s="32"/>
      <c r="PF317" s="32"/>
      <c r="PG317" s="32"/>
      <c r="PH317" s="32"/>
      <c r="PI317" s="32"/>
      <c r="PJ317" s="32"/>
      <c r="PK317" s="32"/>
      <c r="PL317" s="32"/>
      <c r="PM317" s="32"/>
      <c r="PN317" s="32"/>
      <c r="PO317" s="32"/>
      <c r="PP317" s="32"/>
      <c r="PQ317" s="32"/>
      <c r="PR317" s="32"/>
      <c r="PS317" s="32"/>
      <c r="PT317" s="32"/>
      <c r="PU317" s="32"/>
      <c r="PV317" s="32"/>
      <c r="PW317" s="32"/>
      <c r="PX317" s="32"/>
      <c r="PY317" s="32"/>
      <c r="PZ317" s="32"/>
      <c r="QA317" s="32"/>
      <c r="QB317" s="32"/>
      <c r="QC317" s="32"/>
      <c r="QD317" s="32"/>
      <c r="QE317" s="32"/>
      <c r="QF317" s="32"/>
      <c r="QG317" s="32"/>
      <c r="QH317" s="32"/>
      <c r="QI317" s="32"/>
      <c r="QJ317" s="32"/>
      <c r="QK317" s="32"/>
      <c r="QL317" s="32"/>
      <c r="QM317" s="32"/>
      <c r="QN317" s="32"/>
      <c r="QO317" s="32"/>
      <c r="QP317" s="32"/>
      <c r="QQ317" s="32"/>
      <c r="QR317" s="32"/>
      <c r="QS317" s="32"/>
      <c r="QT317" s="32"/>
      <c r="QU317" s="32"/>
      <c r="QV317" s="32"/>
      <c r="QW317" s="32"/>
      <c r="QX317" s="32"/>
      <c r="QY317" s="32"/>
      <c r="QZ317" s="32"/>
      <c r="RA317" s="32"/>
      <c r="RB317" s="32"/>
      <c r="RC317" s="32"/>
      <c r="RD317" s="32"/>
      <c r="RE317" s="32"/>
      <c r="RF317" s="32"/>
      <c r="RG317" s="32"/>
      <c r="RH317" s="32"/>
      <c r="RI317" s="32"/>
      <c r="RJ317" s="32"/>
      <c r="RK317" s="32"/>
      <c r="RL317" s="32"/>
      <c r="RM317" s="32"/>
      <c r="RN317" s="32"/>
      <c r="RO317" s="32"/>
      <c r="RP317" s="32"/>
      <c r="RQ317" s="32"/>
      <c r="RR317" s="32"/>
      <c r="RS317" s="32"/>
      <c r="RT317" s="32"/>
      <c r="RU317" s="32"/>
      <c r="RV317" s="32"/>
      <c r="RW317" s="32"/>
      <c r="RX317" s="32"/>
      <c r="RY317" s="32"/>
      <c r="RZ317" s="32"/>
      <c r="SA317" s="32"/>
      <c r="SB317" s="32"/>
      <c r="SC317" s="32"/>
      <c r="SD317" s="32"/>
      <c r="SE317" s="32"/>
      <c r="SF317" s="32"/>
      <c r="SG317" s="32"/>
      <c r="SH317" s="32"/>
      <c r="SI317" s="32"/>
      <c r="SJ317" s="32"/>
      <c r="SK317" s="32"/>
      <c r="SL317" s="32"/>
      <c r="SM317" s="32"/>
      <c r="SN317" s="32"/>
      <c r="SO317" s="32"/>
      <c r="SP317" s="32"/>
      <c r="SQ317" s="32"/>
      <c r="SR317" s="32"/>
      <c r="SS317" s="32"/>
      <c r="ST317" s="32"/>
      <c r="SU317" s="32"/>
      <c r="SV317" s="32"/>
      <c r="SW317" s="32"/>
      <c r="SX317" s="32"/>
      <c r="SY317" s="32"/>
      <c r="SZ317" s="32"/>
      <c r="TA317" s="32"/>
      <c r="TB317" s="32"/>
      <c r="TC317" s="32"/>
      <c r="TD317" s="32"/>
      <c r="TE317" s="32"/>
      <c r="TF317" s="32"/>
      <c r="TG317" s="32"/>
    </row>
    <row r="318" spans="1:527" s="34" customFormat="1" ht="34.5" customHeight="1" x14ac:dyDescent="0.25">
      <c r="A318" s="95" t="s">
        <v>219</v>
      </c>
      <c r="B318" s="108"/>
      <c r="C318" s="108"/>
      <c r="D318" s="76" t="s">
        <v>41</v>
      </c>
      <c r="E318" s="97">
        <f>SUM(E320+E321+E323+E324+E326+E327+E328+E329+E325)</f>
        <v>140550753.34</v>
      </c>
      <c r="F318" s="97">
        <f t="shared" ref="F318:P318" si="182">SUM(F320+F321+F323+F324+F326+F327+F328+F329+F325)</f>
        <v>122793932</v>
      </c>
      <c r="G318" s="97">
        <f t="shared" si="182"/>
        <v>15760200</v>
      </c>
      <c r="H318" s="97">
        <f t="shared" si="182"/>
        <v>376173</v>
      </c>
      <c r="I318" s="97">
        <f t="shared" si="182"/>
        <v>0</v>
      </c>
      <c r="J318" s="97">
        <f t="shared" si="182"/>
        <v>195293960.40000001</v>
      </c>
      <c r="K318" s="97">
        <f t="shared" si="182"/>
        <v>0</v>
      </c>
      <c r="L318" s="97">
        <f t="shared" si="182"/>
        <v>195293960.40000001</v>
      </c>
      <c r="M318" s="97">
        <f t="shared" si="182"/>
        <v>0</v>
      </c>
      <c r="N318" s="97">
        <f t="shared" si="182"/>
        <v>0</v>
      </c>
      <c r="O318" s="97">
        <f t="shared" si="182"/>
        <v>0</v>
      </c>
      <c r="P318" s="97">
        <f t="shared" si="182"/>
        <v>335844713.74000001</v>
      </c>
      <c r="Q318" s="33"/>
      <c r="R318" s="32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  <c r="QA318" s="33"/>
      <c r="QB318" s="33"/>
      <c r="QC318" s="33"/>
      <c r="QD318" s="33"/>
      <c r="QE318" s="33"/>
      <c r="QF318" s="33"/>
      <c r="QG318" s="33"/>
      <c r="QH318" s="33"/>
      <c r="QI318" s="33"/>
      <c r="QJ318" s="33"/>
      <c r="QK318" s="33"/>
      <c r="QL318" s="33"/>
      <c r="QM318" s="33"/>
      <c r="QN318" s="33"/>
      <c r="QO318" s="33"/>
      <c r="QP318" s="33"/>
      <c r="QQ318" s="33"/>
      <c r="QR318" s="33"/>
      <c r="QS318" s="33"/>
      <c r="QT318" s="33"/>
      <c r="QU318" s="33"/>
      <c r="QV318" s="33"/>
      <c r="QW318" s="33"/>
      <c r="QX318" s="33"/>
      <c r="QY318" s="33"/>
      <c r="QZ318" s="33"/>
      <c r="RA318" s="33"/>
      <c r="RB318" s="33"/>
      <c r="RC318" s="33"/>
      <c r="RD318" s="33"/>
      <c r="RE318" s="33"/>
      <c r="RF318" s="33"/>
      <c r="RG318" s="33"/>
      <c r="RH318" s="33"/>
      <c r="RI318" s="33"/>
      <c r="RJ318" s="33"/>
      <c r="RK318" s="33"/>
      <c r="RL318" s="33"/>
      <c r="RM318" s="33"/>
      <c r="RN318" s="33"/>
      <c r="RO318" s="33"/>
      <c r="RP318" s="33"/>
      <c r="RQ318" s="33"/>
      <c r="RR318" s="33"/>
      <c r="RS318" s="33"/>
      <c r="RT318" s="33"/>
      <c r="RU318" s="33"/>
      <c r="RV318" s="33"/>
      <c r="RW318" s="33"/>
      <c r="RX318" s="33"/>
      <c r="RY318" s="33"/>
      <c r="RZ318" s="33"/>
      <c r="SA318" s="33"/>
      <c r="SB318" s="33"/>
      <c r="SC318" s="33"/>
      <c r="SD318" s="33"/>
      <c r="SE318" s="33"/>
      <c r="SF318" s="33"/>
      <c r="SG318" s="33"/>
      <c r="SH318" s="33"/>
      <c r="SI318" s="33"/>
      <c r="SJ318" s="33"/>
      <c r="SK318" s="33"/>
      <c r="SL318" s="33"/>
      <c r="SM318" s="33"/>
      <c r="SN318" s="33"/>
      <c r="SO318" s="33"/>
      <c r="SP318" s="33"/>
      <c r="SQ318" s="33"/>
      <c r="SR318" s="33"/>
      <c r="SS318" s="33"/>
      <c r="ST318" s="33"/>
      <c r="SU318" s="33"/>
      <c r="SV318" s="33"/>
      <c r="SW318" s="33"/>
      <c r="SX318" s="33"/>
      <c r="SY318" s="33"/>
      <c r="SZ318" s="33"/>
      <c r="TA318" s="33"/>
      <c r="TB318" s="33"/>
      <c r="TC318" s="33"/>
      <c r="TD318" s="33"/>
      <c r="TE318" s="33"/>
      <c r="TF318" s="33"/>
      <c r="TG318" s="33"/>
    </row>
    <row r="319" spans="1:527" s="34" customFormat="1" ht="141.75" x14ac:dyDescent="0.25">
      <c r="A319" s="95"/>
      <c r="B319" s="108"/>
      <c r="C319" s="108"/>
      <c r="D319" s="82" t="s">
        <v>626</v>
      </c>
      <c r="E319" s="97">
        <f>E322</f>
        <v>0</v>
      </c>
      <c r="F319" s="97">
        <f t="shared" ref="F319:P319" si="183">F322</f>
        <v>0</v>
      </c>
      <c r="G319" s="97">
        <f t="shared" si="183"/>
        <v>0</v>
      </c>
      <c r="H319" s="97">
        <f t="shared" si="183"/>
        <v>0</v>
      </c>
      <c r="I319" s="97">
        <f t="shared" si="183"/>
        <v>0</v>
      </c>
      <c r="J319" s="97">
        <f t="shared" si="183"/>
        <v>194791960.40000001</v>
      </c>
      <c r="K319" s="97">
        <f t="shared" si="183"/>
        <v>0</v>
      </c>
      <c r="L319" s="97">
        <f t="shared" si="183"/>
        <v>194791960.40000001</v>
      </c>
      <c r="M319" s="97">
        <f t="shared" si="183"/>
        <v>0</v>
      </c>
      <c r="N319" s="97">
        <f t="shared" si="183"/>
        <v>0</v>
      </c>
      <c r="O319" s="97">
        <f t="shared" si="183"/>
        <v>0</v>
      </c>
      <c r="P319" s="97">
        <f t="shared" si="183"/>
        <v>194791960.40000001</v>
      </c>
      <c r="Q319" s="33"/>
      <c r="R319" s="32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  <c r="SQ319" s="33"/>
      <c r="SR319" s="33"/>
      <c r="SS319" s="33"/>
      <c r="ST319" s="33"/>
      <c r="SU319" s="33"/>
      <c r="SV319" s="33"/>
      <c r="SW319" s="33"/>
      <c r="SX319" s="33"/>
      <c r="SY319" s="33"/>
      <c r="SZ319" s="33"/>
      <c r="TA319" s="33"/>
      <c r="TB319" s="33"/>
      <c r="TC319" s="33"/>
      <c r="TD319" s="33"/>
      <c r="TE319" s="33"/>
      <c r="TF319" s="33"/>
      <c r="TG319" s="33"/>
    </row>
    <row r="320" spans="1:527" s="22" customFormat="1" ht="46.5" customHeight="1" x14ac:dyDescent="0.25">
      <c r="A320" s="59" t="s">
        <v>220</v>
      </c>
      <c r="B320" s="92" t="str">
        <f>'дод 7'!A19</f>
        <v>0160</v>
      </c>
      <c r="C320" s="92" t="str">
        <f>'дод 7'!B19</f>
        <v>0111</v>
      </c>
      <c r="D320" s="36" t="s">
        <v>493</v>
      </c>
      <c r="E320" s="98">
        <f t="shared" ref="E320:E327" si="184">F320+I320</f>
        <v>20250573</v>
      </c>
      <c r="F320" s="98">
        <f>20122100+1000000-1000000+10000+14573+103900</f>
        <v>20250573</v>
      </c>
      <c r="G320" s="98">
        <f>15760200</f>
        <v>15760200</v>
      </c>
      <c r="H320" s="98">
        <f>257700+14573+103900</f>
        <v>376173</v>
      </c>
      <c r="I320" s="98"/>
      <c r="J320" s="98">
        <f>L320+O320</f>
        <v>0</v>
      </c>
      <c r="K320" s="98"/>
      <c r="L320" s="98"/>
      <c r="M320" s="98"/>
      <c r="N320" s="98"/>
      <c r="O320" s="98"/>
      <c r="P320" s="98">
        <f t="shared" ref="P320:P329" si="185">E320+J320</f>
        <v>20250573</v>
      </c>
      <c r="Q320" s="23"/>
      <c r="R320" s="32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  <c r="TF320" s="23"/>
      <c r="TG320" s="23"/>
    </row>
    <row r="321" spans="1:527" s="22" customFormat="1" ht="126" x14ac:dyDescent="0.25">
      <c r="A321" s="59" t="s">
        <v>628</v>
      </c>
      <c r="B321" s="92">
        <v>6072</v>
      </c>
      <c r="C321" s="59" t="s">
        <v>312</v>
      </c>
      <c r="D321" s="60" t="s">
        <v>625</v>
      </c>
      <c r="E321" s="98">
        <f t="shared" si="184"/>
        <v>0</v>
      </c>
      <c r="F321" s="98"/>
      <c r="G321" s="98"/>
      <c r="H321" s="98"/>
      <c r="I321" s="98"/>
      <c r="J321" s="98">
        <f t="shared" ref="J321:J322" si="186">L321+O321</f>
        <v>194791960.40000001</v>
      </c>
      <c r="K321" s="98"/>
      <c r="L321" s="98">
        <v>194791960.40000001</v>
      </c>
      <c r="M321" s="98"/>
      <c r="N321" s="98"/>
      <c r="O321" s="98"/>
      <c r="P321" s="98">
        <f t="shared" si="185"/>
        <v>194791960.40000001</v>
      </c>
      <c r="Q321" s="23"/>
      <c r="R321" s="32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  <c r="TF321" s="23"/>
      <c r="TG321" s="23"/>
    </row>
    <row r="322" spans="1:527" s="24" customFormat="1" ht="141.75" x14ac:dyDescent="0.25">
      <c r="A322" s="83"/>
      <c r="B322" s="110"/>
      <c r="C322" s="110"/>
      <c r="D322" s="84" t="s">
        <v>626</v>
      </c>
      <c r="E322" s="100">
        <f t="shared" si="184"/>
        <v>0</v>
      </c>
      <c r="F322" s="100"/>
      <c r="G322" s="100"/>
      <c r="H322" s="100"/>
      <c r="I322" s="100"/>
      <c r="J322" s="100">
        <f t="shared" si="186"/>
        <v>194791960.40000001</v>
      </c>
      <c r="K322" s="100"/>
      <c r="L322" s="100">
        <v>194791960.40000001</v>
      </c>
      <c r="M322" s="100"/>
      <c r="N322" s="100"/>
      <c r="O322" s="100"/>
      <c r="P322" s="100">
        <f t="shared" si="185"/>
        <v>194791960.40000001</v>
      </c>
      <c r="Q322" s="30"/>
      <c r="R322" s="33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30"/>
      <c r="KD322" s="30"/>
      <c r="KE322" s="30"/>
      <c r="KF322" s="30"/>
      <c r="KG322" s="30"/>
      <c r="KH322" s="30"/>
      <c r="KI322" s="30"/>
      <c r="KJ322" s="30"/>
      <c r="KK322" s="30"/>
      <c r="KL322" s="30"/>
      <c r="KM322" s="30"/>
      <c r="KN322" s="30"/>
      <c r="KO322" s="30"/>
      <c r="KP322" s="30"/>
      <c r="KQ322" s="30"/>
      <c r="KR322" s="30"/>
      <c r="KS322" s="30"/>
      <c r="KT322" s="30"/>
      <c r="KU322" s="30"/>
      <c r="KV322" s="30"/>
      <c r="KW322" s="30"/>
      <c r="KX322" s="30"/>
      <c r="KY322" s="30"/>
      <c r="KZ322" s="30"/>
      <c r="LA322" s="30"/>
      <c r="LB322" s="30"/>
      <c r="LC322" s="30"/>
      <c r="LD322" s="30"/>
      <c r="LE322" s="30"/>
      <c r="LF322" s="30"/>
      <c r="LG322" s="30"/>
      <c r="LH322" s="30"/>
      <c r="LI322" s="30"/>
      <c r="LJ322" s="30"/>
      <c r="LK322" s="30"/>
      <c r="LL322" s="30"/>
      <c r="LM322" s="30"/>
      <c r="LN322" s="30"/>
      <c r="LO322" s="30"/>
      <c r="LP322" s="30"/>
      <c r="LQ322" s="30"/>
      <c r="LR322" s="30"/>
      <c r="LS322" s="30"/>
      <c r="LT322" s="30"/>
      <c r="LU322" s="30"/>
      <c r="LV322" s="30"/>
      <c r="LW322" s="30"/>
      <c r="LX322" s="30"/>
      <c r="LY322" s="30"/>
      <c r="LZ322" s="30"/>
      <c r="MA322" s="30"/>
      <c r="MB322" s="30"/>
      <c r="MC322" s="30"/>
      <c r="MD322" s="30"/>
      <c r="ME322" s="30"/>
      <c r="MF322" s="30"/>
      <c r="MG322" s="30"/>
      <c r="MH322" s="30"/>
      <c r="MI322" s="30"/>
      <c r="MJ322" s="30"/>
      <c r="MK322" s="30"/>
      <c r="ML322" s="30"/>
      <c r="MM322" s="30"/>
      <c r="MN322" s="30"/>
      <c r="MO322" s="30"/>
      <c r="MP322" s="30"/>
      <c r="MQ322" s="30"/>
      <c r="MR322" s="30"/>
      <c r="MS322" s="30"/>
      <c r="MT322" s="30"/>
      <c r="MU322" s="30"/>
      <c r="MV322" s="30"/>
      <c r="MW322" s="30"/>
      <c r="MX322" s="30"/>
      <c r="MY322" s="30"/>
      <c r="MZ322" s="30"/>
      <c r="NA322" s="30"/>
      <c r="NB322" s="30"/>
      <c r="NC322" s="30"/>
      <c r="ND322" s="30"/>
      <c r="NE322" s="30"/>
      <c r="NF322" s="30"/>
      <c r="NG322" s="30"/>
      <c r="NH322" s="30"/>
      <c r="NI322" s="30"/>
      <c r="NJ322" s="30"/>
      <c r="NK322" s="30"/>
      <c r="NL322" s="30"/>
      <c r="NM322" s="30"/>
      <c r="NN322" s="30"/>
      <c r="NO322" s="30"/>
      <c r="NP322" s="30"/>
      <c r="NQ322" s="30"/>
      <c r="NR322" s="30"/>
      <c r="NS322" s="30"/>
      <c r="NT322" s="30"/>
      <c r="NU322" s="30"/>
      <c r="NV322" s="30"/>
      <c r="NW322" s="30"/>
      <c r="NX322" s="30"/>
      <c r="NY322" s="30"/>
      <c r="NZ322" s="30"/>
      <c r="OA322" s="30"/>
      <c r="OB322" s="30"/>
      <c r="OC322" s="30"/>
      <c r="OD322" s="30"/>
      <c r="OE322" s="30"/>
      <c r="OF322" s="30"/>
      <c r="OG322" s="30"/>
      <c r="OH322" s="30"/>
      <c r="OI322" s="30"/>
      <c r="OJ322" s="30"/>
      <c r="OK322" s="30"/>
      <c r="OL322" s="30"/>
      <c r="OM322" s="30"/>
      <c r="ON322" s="30"/>
      <c r="OO322" s="30"/>
      <c r="OP322" s="30"/>
      <c r="OQ322" s="30"/>
      <c r="OR322" s="30"/>
      <c r="OS322" s="30"/>
      <c r="OT322" s="30"/>
      <c r="OU322" s="30"/>
      <c r="OV322" s="30"/>
      <c r="OW322" s="30"/>
      <c r="OX322" s="30"/>
      <c r="OY322" s="30"/>
      <c r="OZ322" s="30"/>
      <c r="PA322" s="30"/>
      <c r="PB322" s="30"/>
      <c r="PC322" s="30"/>
      <c r="PD322" s="30"/>
      <c r="PE322" s="30"/>
      <c r="PF322" s="30"/>
      <c r="PG322" s="30"/>
      <c r="PH322" s="30"/>
      <c r="PI322" s="30"/>
      <c r="PJ322" s="30"/>
      <c r="PK322" s="30"/>
      <c r="PL322" s="30"/>
      <c r="PM322" s="30"/>
      <c r="PN322" s="30"/>
      <c r="PO322" s="30"/>
      <c r="PP322" s="30"/>
      <c r="PQ322" s="30"/>
      <c r="PR322" s="30"/>
      <c r="PS322" s="30"/>
      <c r="PT322" s="30"/>
      <c r="PU322" s="30"/>
      <c r="PV322" s="30"/>
      <c r="PW322" s="30"/>
      <c r="PX322" s="30"/>
      <c r="PY322" s="30"/>
      <c r="PZ322" s="30"/>
      <c r="QA322" s="30"/>
      <c r="QB322" s="30"/>
      <c r="QC322" s="30"/>
      <c r="QD322" s="30"/>
      <c r="QE322" s="30"/>
      <c r="QF322" s="30"/>
      <c r="QG322" s="30"/>
      <c r="QH322" s="30"/>
      <c r="QI322" s="30"/>
      <c r="QJ322" s="30"/>
      <c r="QK322" s="30"/>
      <c r="QL322" s="30"/>
      <c r="QM322" s="30"/>
      <c r="QN322" s="30"/>
      <c r="QO322" s="30"/>
      <c r="QP322" s="30"/>
      <c r="QQ322" s="30"/>
      <c r="QR322" s="30"/>
      <c r="QS322" s="30"/>
      <c r="QT322" s="30"/>
      <c r="QU322" s="30"/>
      <c r="QV322" s="30"/>
      <c r="QW322" s="30"/>
      <c r="QX322" s="30"/>
      <c r="QY322" s="30"/>
      <c r="QZ322" s="30"/>
      <c r="RA322" s="30"/>
      <c r="RB322" s="30"/>
      <c r="RC322" s="30"/>
      <c r="RD322" s="30"/>
      <c r="RE322" s="30"/>
      <c r="RF322" s="30"/>
      <c r="RG322" s="30"/>
      <c r="RH322" s="30"/>
      <c r="RI322" s="30"/>
      <c r="RJ322" s="30"/>
      <c r="RK322" s="30"/>
      <c r="RL322" s="30"/>
      <c r="RM322" s="30"/>
      <c r="RN322" s="30"/>
      <c r="RO322" s="30"/>
      <c r="RP322" s="30"/>
      <c r="RQ322" s="30"/>
      <c r="RR322" s="30"/>
      <c r="RS322" s="30"/>
      <c r="RT322" s="30"/>
      <c r="RU322" s="30"/>
      <c r="RV322" s="30"/>
      <c r="RW322" s="30"/>
      <c r="RX322" s="30"/>
      <c r="RY322" s="30"/>
      <c r="RZ322" s="30"/>
      <c r="SA322" s="30"/>
      <c r="SB322" s="30"/>
      <c r="SC322" s="30"/>
      <c r="SD322" s="30"/>
      <c r="SE322" s="30"/>
      <c r="SF322" s="30"/>
      <c r="SG322" s="30"/>
      <c r="SH322" s="30"/>
      <c r="SI322" s="30"/>
      <c r="SJ322" s="30"/>
      <c r="SK322" s="30"/>
      <c r="SL322" s="30"/>
      <c r="SM322" s="30"/>
      <c r="SN322" s="30"/>
      <c r="SO322" s="30"/>
      <c r="SP322" s="30"/>
      <c r="SQ322" s="30"/>
      <c r="SR322" s="30"/>
      <c r="SS322" s="30"/>
      <c r="ST322" s="30"/>
      <c r="SU322" s="30"/>
      <c r="SV322" s="30"/>
      <c r="SW322" s="30"/>
      <c r="SX322" s="30"/>
      <c r="SY322" s="30"/>
      <c r="SZ322" s="30"/>
      <c r="TA322" s="30"/>
      <c r="TB322" s="30"/>
      <c r="TC322" s="30"/>
      <c r="TD322" s="30"/>
      <c r="TE322" s="30"/>
      <c r="TF322" s="30"/>
      <c r="TG322" s="30"/>
    </row>
    <row r="323" spans="1:527" s="22" customFormat="1" ht="21" customHeight="1" x14ac:dyDescent="0.25">
      <c r="A323" s="59" t="s">
        <v>258</v>
      </c>
      <c r="B323" s="92" t="str">
        <f>'дод 7'!A222</f>
        <v>7640</v>
      </c>
      <c r="C323" s="92" t="str">
        <f>'дод 7'!B222</f>
        <v>0470</v>
      </c>
      <c r="D323" s="60" t="s">
        <v>422</v>
      </c>
      <c r="E323" s="98">
        <f t="shared" si="184"/>
        <v>330040</v>
      </c>
      <c r="F323" s="98">
        <f>426000-9800-70000-16160</f>
        <v>330040</v>
      </c>
      <c r="G323" s="98"/>
      <c r="H323" s="98"/>
      <c r="I323" s="98"/>
      <c r="J323" s="98">
        <f t="shared" ref="J323:J329" si="187">L323+O323</f>
        <v>0</v>
      </c>
      <c r="K323" s="98"/>
      <c r="L323" s="98"/>
      <c r="M323" s="98"/>
      <c r="N323" s="98"/>
      <c r="O323" s="98"/>
      <c r="P323" s="98">
        <f t="shared" si="185"/>
        <v>330040</v>
      </c>
      <c r="Q323" s="23"/>
      <c r="R323" s="32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  <c r="TF323" s="23"/>
      <c r="TG323" s="23"/>
    </row>
    <row r="324" spans="1:527" s="22" customFormat="1" ht="29.25" customHeight="1" x14ac:dyDescent="0.25">
      <c r="A324" s="59" t="s">
        <v>330</v>
      </c>
      <c r="B324" s="92" t="str">
        <f>'дод 7'!A230</f>
        <v>7693</v>
      </c>
      <c r="C324" s="92" t="str">
        <f>'дод 7'!B230</f>
        <v>0490</v>
      </c>
      <c r="D324" s="60" t="str">
        <f>'дод 7'!C230</f>
        <v>Інші заходи, пов'язані з економічною діяльністю</v>
      </c>
      <c r="E324" s="98">
        <f t="shared" si="184"/>
        <v>181380</v>
      </c>
      <c r="F324" s="98">
        <f>483750-130750-10000-50000-85500-26120</f>
        <v>181380</v>
      </c>
      <c r="G324" s="98"/>
      <c r="H324" s="98"/>
      <c r="I324" s="98"/>
      <c r="J324" s="98">
        <f t="shared" si="187"/>
        <v>0</v>
      </c>
      <c r="K324" s="98"/>
      <c r="L324" s="98"/>
      <c r="M324" s="98"/>
      <c r="N324" s="98"/>
      <c r="O324" s="98"/>
      <c r="P324" s="98">
        <f t="shared" si="185"/>
        <v>181380</v>
      </c>
      <c r="Q324" s="23"/>
      <c r="R324" s="32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  <c r="TF324" s="23"/>
      <c r="TG324" s="23"/>
    </row>
    <row r="325" spans="1:527" s="22" customFormat="1" ht="42.75" customHeight="1" x14ac:dyDescent="0.25">
      <c r="A325" s="59">
        <v>3718330</v>
      </c>
      <c r="B325" s="92">
        <f>'дод 7'!A243</f>
        <v>8330</v>
      </c>
      <c r="C325" s="59" t="s">
        <v>92</v>
      </c>
      <c r="D325" s="60" t="str">
        <f>'дод 7'!C243</f>
        <v xml:space="preserve">Інша діяльність у сфері екології та охорони природних ресурсів </v>
      </c>
      <c r="E325" s="98">
        <f t="shared" si="184"/>
        <v>75000</v>
      </c>
      <c r="F325" s="98">
        <v>75000</v>
      </c>
      <c r="G325" s="98"/>
      <c r="H325" s="98"/>
      <c r="I325" s="98"/>
      <c r="J325" s="98">
        <f t="shared" si="187"/>
        <v>0</v>
      </c>
      <c r="K325" s="98"/>
      <c r="L325" s="98"/>
      <c r="M325" s="98"/>
      <c r="N325" s="98"/>
      <c r="O325" s="98"/>
      <c r="P325" s="98">
        <f t="shared" si="185"/>
        <v>75000</v>
      </c>
      <c r="Q325" s="23"/>
      <c r="R325" s="32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  <c r="TF325" s="23"/>
      <c r="TG325" s="23"/>
    </row>
    <row r="326" spans="1:527" s="22" customFormat="1" ht="30.75" customHeight="1" x14ac:dyDescent="0.25">
      <c r="A326" s="59" t="s">
        <v>221</v>
      </c>
      <c r="B326" s="92" t="str">
        <f>'дод 7'!A244</f>
        <v>8340</v>
      </c>
      <c r="C326" s="59" t="str">
        <f>'дод 7'!B244</f>
        <v>0540</v>
      </c>
      <c r="D326" s="60" t="str">
        <f>'дод 7'!C244</f>
        <v>Природоохоронні заходи за рахунок цільових фондів</v>
      </c>
      <c r="E326" s="98">
        <f t="shared" si="184"/>
        <v>0</v>
      </c>
      <c r="F326" s="98"/>
      <c r="G326" s="98"/>
      <c r="H326" s="98"/>
      <c r="I326" s="98"/>
      <c r="J326" s="98">
        <f t="shared" si="187"/>
        <v>502000</v>
      </c>
      <c r="K326" s="98"/>
      <c r="L326" s="98">
        <f>103000+399000</f>
        <v>502000</v>
      </c>
      <c r="M326" s="98"/>
      <c r="N326" s="98"/>
      <c r="O326" s="98"/>
      <c r="P326" s="98">
        <f t="shared" si="185"/>
        <v>502000</v>
      </c>
      <c r="Q326" s="23"/>
      <c r="R326" s="32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  <c r="TF326" s="23"/>
      <c r="TG326" s="23"/>
    </row>
    <row r="327" spans="1:527" s="22" customFormat="1" ht="21.75" customHeight="1" x14ac:dyDescent="0.25">
      <c r="A327" s="59" t="s">
        <v>222</v>
      </c>
      <c r="B327" s="92" t="str">
        <f>'дод 7'!A247</f>
        <v>8600</v>
      </c>
      <c r="C327" s="92" t="str">
        <f>'дод 7'!B247</f>
        <v>0170</v>
      </c>
      <c r="D327" s="60" t="str">
        <f>'дод 7'!C247</f>
        <v>Обслуговування місцевого боргу</v>
      </c>
      <c r="E327" s="98">
        <f t="shared" si="184"/>
        <v>1086239</v>
      </c>
      <c r="F327" s="98">
        <f>1833489+130750-878000</f>
        <v>1086239</v>
      </c>
      <c r="G327" s="98"/>
      <c r="H327" s="98"/>
      <c r="I327" s="98"/>
      <c r="J327" s="98">
        <f t="shared" si="187"/>
        <v>0</v>
      </c>
      <c r="K327" s="98"/>
      <c r="L327" s="98"/>
      <c r="M327" s="98"/>
      <c r="N327" s="98"/>
      <c r="O327" s="98"/>
      <c r="P327" s="98">
        <f t="shared" si="185"/>
        <v>1086239</v>
      </c>
      <c r="Q327" s="23"/>
      <c r="R327" s="32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  <c r="TF327" s="23"/>
      <c r="TG327" s="23"/>
    </row>
    <row r="328" spans="1:527" s="22" customFormat="1" ht="22.5" customHeight="1" x14ac:dyDescent="0.25">
      <c r="A328" s="59" t="s">
        <v>516</v>
      </c>
      <c r="B328" s="92">
        <v>8710</v>
      </c>
      <c r="C328" s="92" t="str">
        <f>'дод 7'!B248</f>
        <v>0133</v>
      </c>
      <c r="D328" s="60" t="str">
        <f>'дод 7'!C248</f>
        <v>Резервний фонд місцевого бюджету</v>
      </c>
      <c r="E328" s="98">
        <f>16076686.44+30260-2902100-6378100+81980-1553963+117260-370000-4100550-30000-1773800-1500000-1764511-50000+18143581-134000-2214239-49500-6050358-1200000+14335013-35000-50000+179880.17+498000+353600-4276710.77+2373392.5</f>
        <v>17756821.34</v>
      </c>
      <c r="F328" s="98"/>
      <c r="G328" s="98"/>
      <c r="H328" s="98"/>
      <c r="I328" s="98"/>
      <c r="J328" s="98">
        <f t="shared" si="187"/>
        <v>0</v>
      </c>
      <c r="K328" s="98"/>
      <c r="L328" s="98"/>
      <c r="M328" s="98"/>
      <c r="N328" s="98"/>
      <c r="O328" s="98"/>
      <c r="P328" s="98">
        <f t="shared" si="185"/>
        <v>17756821.34</v>
      </c>
      <c r="Q328" s="23"/>
      <c r="R328" s="32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  <c r="TF328" s="23"/>
      <c r="TG328" s="23"/>
    </row>
    <row r="329" spans="1:527" s="22" customFormat="1" ht="24.75" customHeight="1" x14ac:dyDescent="0.25">
      <c r="A329" s="59" t="s">
        <v>232</v>
      </c>
      <c r="B329" s="92" t="str">
        <f>'дод 7'!A252</f>
        <v>9110</v>
      </c>
      <c r="C329" s="92" t="str">
        <f>'дод 7'!B252</f>
        <v>0180</v>
      </c>
      <c r="D329" s="60" t="str">
        <f>'дод 7'!C252</f>
        <v>Реверсна дотація</v>
      </c>
      <c r="E329" s="98">
        <f>F329+I329</f>
        <v>100870700</v>
      </c>
      <c r="F329" s="98">
        <v>100870700</v>
      </c>
      <c r="G329" s="98"/>
      <c r="H329" s="98"/>
      <c r="I329" s="98"/>
      <c r="J329" s="98">
        <f t="shared" si="187"/>
        <v>0</v>
      </c>
      <c r="K329" s="98"/>
      <c r="L329" s="98"/>
      <c r="M329" s="98"/>
      <c r="N329" s="98"/>
      <c r="O329" s="98"/>
      <c r="P329" s="98">
        <f t="shared" si="185"/>
        <v>100870700</v>
      </c>
      <c r="Q329" s="23"/>
      <c r="R329" s="32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  <c r="TF329" s="23"/>
      <c r="TG329" s="23"/>
    </row>
    <row r="330" spans="1:527" s="27" customFormat="1" ht="22.5" customHeight="1" x14ac:dyDescent="0.25">
      <c r="A330" s="117"/>
      <c r="B330" s="111"/>
      <c r="C330" s="145"/>
      <c r="D330" s="106" t="s">
        <v>408</v>
      </c>
      <c r="E330" s="94">
        <f t="shared" ref="E330:P330" si="188">E17+E63+E127+E164+E205+E213+E224+E271+E274+E296+E303+E306+E314+E317</f>
        <v>2341655695.52</v>
      </c>
      <c r="F330" s="94">
        <f t="shared" si="188"/>
        <v>2228439354.8699999</v>
      </c>
      <c r="G330" s="94">
        <f t="shared" si="188"/>
        <v>1078577654</v>
      </c>
      <c r="H330" s="94">
        <f t="shared" si="188"/>
        <v>137296117</v>
      </c>
      <c r="I330" s="94">
        <f t="shared" si="188"/>
        <v>95459519.310000002</v>
      </c>
      <c r="J330" s="94">
        <f t="shared" si="188"/>
        <v>1008150386.5799999</v>
      </c>
      <c r="K330" s="94">
        <f t="shared" si="188"/>
        <v>727670581.66000009</v>
      </c>
      <c r="L330" s="94">
        <f t="shared" si="188"/>
        <v>256464462.27000001</v>
      </c>
      <c r="M330" s="94">
        <f t="shared" si="188"/>
        <v>6033355</v>
      </c>
      <c r="N330" s="94">
        <f t="shared" si="188"/>
        <v>266522</v>
      </c>
      <c r="O330" s="94">
        <f t="shared" si="188"/>
        <v>751685924.30999994</v>
      </c>
      <c r="P330" s="94">
        <f t="shared" si="188"/>
        <v>3349806082.1000004</v>
      </c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  <c r="IW330" s="32"/>
      <c r="IX330" s="32"/>
      <c r="IY330" s="32"/>
      <c r="IZ330" s="32"/>
      <c r="JA330" s="32"/>
      <c r="JB330" s="32"/>
      <c r="JC330" s="32"/>
      <c r="JD330" s="32"/>
      <c r="JE330" s="32"/>
      <c r="JF330" s="32"/>
      <c r="JG330" s="32"/>
      <c r="JH330" s="32"/>
      <c r="JI330" s="32"/>
      <c r="JJ330" s="32"/>
      <c r="JK330" s="32"/>
      <c r="JL330" s="32"/>
      <c r="JM330" s="32"/>
      <c r="JN330" s="32"/>
      <c r="JO330" s="32"/>
      <c r="JP330" s="32"/>
      <c r="JQ330" s="32"/>
      <c r="JR330" s="32"/>
      <c r="JS330" s="32"/>
      <c r="JT330" s="32"/>
      <c r="JU330" s="32"/>
      <c r="JV330" s="32"/>
      <c r="JW330" s="32"/>
      <c r="JX330" s="32"/>
      <c r="JY330" s="32"/>
      <c r="JZ330" s="32"/>
      <c r="KA330" s="32"/>
      <c r="KB330" s="32"/>
      <c r="KC330" s="32"/>
      <c r="KD330" s="32"/>
      <c r="KE330" s="32"/>
      <c r="KF330" s="32"/>
      <c r="KG330" s="32"/>
      <c r="KH330" s="32"/>
      <c r="KI330" s="32"/>
      <c r="KJ330" s="32"/>
      <c r="KK330" s="32"/>
      <c r="KL330" s="32"/>
      <c r="KM330" s="32"/>
      <c r="KN330" s="32"/>
      <c r="KO330" s="32"/>
      <c r="KP330" s="32"/>
      <c r="KQ330" s="32"/>
      <c r="KR330" s="32"/>
      <c r="KS330" s="32"/>
      <c r="KT330" s="32"/>
      <c r="KU330" s="32"/>
      <c r="KV330" s="32"/>
      <c r="KW330" s="32"/>
      <c r="KX330" s="32"/>
      <c r="KY330" s="32"/>
      <c r="KZ330" s="32"/>
      <c r="LA330" s="32"/>
      <c r="LB330" s="32"/>
      <c r="LC330" s="32"/>
      <c r="LD330" s="32"/>
      <c r="LE330" s="32"/>
      <c r="LF330" s="32"/>
      <c r="LG330" s="32"/>
      <c r="LH330" s="32"/>
      <c r="LI330" s="32"/>
      <c r="LJ330" s="32"/>
      <c r="LK330" s="32"/>
      <c r="LL330" s="32"/>
      <c r="LM330" s="32"/>
      <c r="LN330" s="32"/>
      <c r="LO330" s="32"/>
      <c r="LP330" s="32"/>
      <c r="LQ330" s="32"/>
      <c r="LR330" s="32"/>
      <c r="LS330" s="32"/>
      <c r="LT330" s="32"/>
      <c r="LU330" s="32"/>
      <c r="LV330" s="32"/>
      <c r="LW330" s="32"/>
      <c r="LX330" s="32"/>
      <c r="LY330" s="32"/>
      <c r="LZ330" s="32"/>
      <c r="MA330" s="32"/>
      <c r="MB330" s="32"/>
      <c r="MC330" s="32"/>
      <c r="MD330" s="32"/>
      <c r="ME330" s="32"/>
      <c r="MF330" s="32"/>
      <c r="MG330" s="32"/>
      <c r="MH330" s="32"/>
      <c r="MI330" s="32"/>
      <c r="MJ330" s="32"/>
      <c r="MK330" s="32"/>
      <c r="ML330" s="32"/>
      <c r="MM330" s="32"/>
      <c r="MN330" s="32"/>
      <c r="MO330" s="32"/>
      <c r="MP330" s="32"/>
      <c r="MQ330" s="32"/>
      <c r="MR330" s="32"/>
      <c r="MS330" s="32"/>
      <c r="MT330" s="32"/>
      <c r="MU330" s="32"/>
      <c r="MV330" s="32"/>
      <c r="MW330" s="32"/>
      <c r="MX330" s="32"/>
      <c r="MY330" s="32"/>
      <c r="MZ330" s="32"/>
      <c r="NA330" s="32"/>
      <c r="NB330" s="32"/>
      <c r="NC330" s="32"/>
      <c r="ND330" s="32"/>
      <c r="NE330" s="32"/>
      <c r="NF330" s="32"/>
      <c r="NG330" s="32"/>
      <c r="NH330" s="32"/>
      <c r="NI330" s="32"/>
      <c r="NJ330" s="32"/>
      <c r="NK330" s="32"/>
      <c r="NL330" s="32"/>
      <c r="NM330" s="32"/>
      <c r="NN330" s="32"/>
      <c r="NO330" s="32"/>
      <c r="NP330" s="32"/>
      <c r="NQ330" s="32"/>
      <c r="NR330" s="32"/>
      <c r="NS330" s="32"/>
      <c r="NT330" s="32"/>
      <c r="NU330" s="32"/>
      <c r="NV330" s="32"/>
      <c r="NW330" s="32"/>
      <c r="NX330" s="32"/>
      <c r="NY330" s="32"/>
      <c r="NZ330" s="32"/>
      <c r="OA330" s="32"/>
      <c r="OB330" s="32"/>
      <c r="OC330" s="32"/>
      <c r="OD330" s="32"/>
      <c r="OE330" s="32"/>
      <c r="OF330" s="32"/>
      <c r="OG330" s="32"/>
      <c r="OH330" s="32"/>
      <c r="OI330" s="32"/>
      <c r="OJ330" s="32"/>
      <c r="OK330" s="32"/>
      <c r="OL330" s="32"/>
      <c r="OM330" s="32"/>
      <c r="ON330" s="32"/>
      <c r="OO330" s="32"/>
      <c r="OP330" s="32"/>
      <c r="OQ330" s="32"/>
      <c r="OR330" s="32"/>
      <c r="OS330" s="32"/>
      <c r="OT330" s="32"/>
      <c r="OU330" s="32"/>
      <c r="OV330" s="32"/>
      <c r="OW330" s="32"/>
      <c r="OX330" s="32"/>
      <c r="OY330" s="32"/>
      <c r="OZ330" s="32"/>
      <c r="PA330" s="32"/>
      <c r="PB330" s="32"/>
      <c r="PC330" s="32"/>
      <c r="PD330" s="32"/>
      <c r="PE330" s="32"/>
      <c r="PF330" s="32"/>
      <c r="PG330" s="32"/>
      <c r="PH330" s="32"/>
      <c r="PI330" s="32"/>
      <c r="PJ330" s="32"/>
      <c r="PK330" s="32"/>
      <c r="PL330" s="32"/>
      <c r="PM330" s="32"/>
      <c r="PN330" s="32"/>
      <c r="PO330" s="32"/>
      <c r="PP330" s="32"/>
      <c r="PQ330" s="32"/>
      <c r="PR330" s="32"/>
      <c r="PS330" s="32"/>
      <c r="PT330" s="32"/>
      <c r="PU330" s="32"/>
      <c r="PV330" s="32"/>
      <c r="PW330" s="32"/>
      <c r="PX330" s="32"/>
      <c r="PY330" s="32"/>
      <c r="PZ330" s="32"/>
      <c r="QA330" s="32"/>
      <c r="QB330" s="32"/>
      <c r="QC330" s="32"/>
      <c r="QD330" s="32"/>
      <c r="QE330" s="32"/>
      <c r="QF330" s="32"/>
      <c r="QG330" s="32"/>
      <c r="QH330" s="32"/>
      <c r="QI330" s="32"/>
      <c r="QJ330" s="32"/>
      <c r="QK330" s="32"/>
      <c r="QL330" s="32"/>
      <c r="QM330" s="32"/>
      <c r="QN330" s="32"/>
      <c r="QO330" s="32"/>
      <c r="QP330" s="32"/>
      <c r="QQ330" s="32"/>
      <c r="QR330" s="32"/>
      <c r="QS330" s="32"/>
      <c r="QT330" s="32"/>
      <c r="QU330" s="32"/>
      <c r="QV330" s="32"/>
      <c r="QW330" s="32"/>
      <c r="QX330" s="32"/>
      <c r="QY330" s="32"/>
      <c r="QZ330" s="32"/>
      <c r="RA330" s="32"/>
      <c r="RB330" s="32"/>
      <c r="RC330" s="32"/>
      <c r="RD330" s="32"/>
      <c r="RE330" s="32"/>
      <c r="RF330" s="32"/>
      <c r="RG330" s="32"/>
      <c r="RH330" s="32"/>
      <c r="RI330" s="32"/>
      <c r="RJ330" s="32"/>
      <c r="RK330" s="32"/>
      <c r="RL330" s="32"/>
      <c r="RM330" s="32"/>
      <c r="RN330" s="32"/>
      <c r="RO330" s="32"/>
      <c r="RP330" s="32"/>
      <c r="RQ330" s="32"/>
      <c r="RR330" s="32"/>
      <c r="RS330" s="32"/>
      <c r="RT330" s="32"/>
      <c r="RU330" s="32"/>
      <c r="RV330" s="32"/>
      <c r="RW330" s="32"/>
      <c r="RX330" s="32"/>
      <c r="RY330" s="32"/>
      <c r="RZ330" s="32"/>
      <c r="SA330" s="32"/>
      <c r="SB330" s="32"/>
      <c r="SC330" s="32"/>
      <c r="SD330" s="32"/>
      <c r="SE330" s="32"/>
      <c r="SF330" s="32"/>
      <c r="SG330" s="32"/>
      <c r="SH330" s="32"/>
      <c r="SI330" s="32"/>
      <c r="SJ330" s="32"/>
      <c r="SK330" s="32"/>
      <c r="SL330" s="32"/>
      <c r="SM330" s="32"/>
      <c r="SN330" s="32"/>
      <c r="SO330" s="32"/>
      <c r="SP330" s="32"/>
      <c r="SQ330" s="32"/>
      <c r="SR330" s="32"/>
      <c r="SS330" s="32"/>
      <c r="ST330" s="32"/>
      <c r="SU330" s="32"/>
      <c r="SV330" s="32"/>
      <c r="SW330" s="32"/>
      <c r="SX330" s="32"/>
      <c r="SY330" s="32"/>
      <c r="SZ330" s="32"/>
      <c r="TA330" s="32"/>
      <c r="TB330" s="32"/>
      <c r="TC330" s="32"/>
      <c r="TD330" s="32"/>
      <c r="TE330" s="32"/>
      <c r="TF330" s="32"/>
      <c r="TG330" s="32"/>
    </row>
    <row r="331" spans="1:527" s="34" customFormat="1" ht="39.75" customHeight="1" x14ac:dyDescent="0.25">
      <c r="A331" s="118"/>
      <c r="B331" s="108"/>
      <c r="C331" s="96"/>
      <c r="D331" s="76" t="s">
        <v>401</v>
      </c>
      <c r="E331" s="97">
        <f>E65+E72+E227+E228+E75+E133+E74+E276</f>
        <v>485697135.60000002</v>
      </c>
      <c r="F331" s="97">
        <f t="shared" ref="F331:P331" si="189">F65+F72+F227+F228+F75+F133+F74+F276</f>
        <v>485697135.60000002</v>
      </c>
      <c r="G331" s="97">
        <f t="shared" si="189"/>
        <v>395816000</v>
      </c>
      <c r="H331" s="97">
        <f t="shared" si="189"/>
        <v>0</v>
      </c>
      <c r="I331" s="97">
        <f t="shared" si="189"/>
        <v>0</v>
      </c>
      <c r="J331" s="97">
        <f>J65+J72+J227+J228+J75+J133+J74+J276</f>
        <v>40444460.18</v>
      </c>
      <c r="K331" s="97">
        <f t="shared" si="189"/>
        <v>36951510.18</v>
      </c>
      <c r="L331" s="97">
        <f t="shared" si="189"/>
        <v>0</v>
      </c>
      <c r="M331" s="97">
        <f t="shared" si="189"/>
        <v>0</v>
      </c>
      <c r="N331" s="97">
        <f t="shared" si="189"/>
        <v>0</v>
      </c>
      <c r="O331" s="97">
        <f t="shared" si="189"/>
        <v>40444460.18</v>
      </c>
      <c r="P331" s="97">
        <f t="shared" si="189"/>
        <v>526141595.77999997</v>
      </c>
      <c r="Q331" s="33"/>
      <c r="R331" s="32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  <c r="IW331" s="33"/>
      <c r="IX331" s="33"/>
      <c r="IY331" s="33"/>
      <c r="IZ331" s="33"/>
      <c r="JA331" s="33"/>
      <c r="JB331" s="33"/>
      <c r="JC331" s="33"/>
      <c r="JD331" s="33"/>
      <c r="JE331" s="33"/>
      <c r="JF331" s="33"/>
      <c r="JG331" s="33"/>
      <c r="JH331" s="33"/>
      <c r="JI331" s="33"/>
      <c r="JJ331" s="33"/>
      <c r="JK331" s="33"/>
      <c r="JL331" s="33"/>
      <c r="JM331" s="33"/>
      <c r="JN331" s="33"/>
      <c r="JO331" s="33"/>
      <c r="JP331" s="33"/>
      <c r="JQ331" s="33"/>
      <c r="JR331" s="33"/>
      <c r="JS331" s="33"/>
      <c r="JT331" s="33"/>
      <c r="JU331" s="33"/>
      <c r="JV331" s="33"/>
      <c r="JW331" s="33"/>
      <c r="JX331" s="33"/>
      <c r="JY331" s="33"/>
      <c r="JZ331" s="33"/>
      <c r="KA331" s="33"/>
      <c r="KB331" s="33"/>
      <c r="KC331" s="33"/>
      <c r="KD331" s="33"/>
      <c r="KE331" s="33"/>
      <c r="KF331" s="33"/>
      <c r="KG331" s="33"/>
      <c r="KH331" s="33"/>
      <c r="KI331" s="33"/>
      <c r="KJ331" s="33"/>
      <c r="KK331" s="33"/>
      <c r="KL331" s="33"/>
      <c r="KM331" s="33"/>
      <c r="KN331" s="33"/>
      <c r="KO331" s="33"/>
      <c r="KP331" s="33"/>
      <c r="KQ331" s="33"/>
      <c r="KR331" s="33"/>
      <c r="KS331" s="33"/>
      <c r="KT331" s="33"/>
      <c r="KU331" s="33"/>
      <c r="KV331" s="33"/>
      <c r="KW331" s="33"/>
      <c r="KX331" s="33"/>
      <c r="KY331" s="33"/>
      <c r="KZ331" s="33"/>
      <c r="LA331" s="33"/>
      <c r="LB331" s="33"/>
      <c r="LC331" s="33"/>
      <c r="LD331" s="33"/>
      <c r="LE331" s="33"/>
      <c r="LF331" s="33"/>
      <c r="LG331" s="33"/>
      <c r="LH331" s="33"/>
      <c r="LI331" s="33"/>
      <c r="LJ331" s="33"/>
      <c r="LK331" s="33"/>
      <c r="LL331" s="33"/>
      <c r="LM331" s="33"/>
      <c r="LN331" s="33"/>
      <c r="LO331" s="33"/>
      <c r="LP331" s="33"/>
      <c r="LQ331" s="33"/>
      <c r="LR331" s="33"/>
      <c r="LS331" s="33"/>
      <c r="LT331" s="33"/>
      <c r="LU331" s="33"/>
      <c r="LV331" s="33"/>
      <c r="LW331" s="33"/>
      <c r="LX331" s="33"/>
      <c r="LY331" s="33"/>
      <c r="LZ331" s="33"/>
      <c r="MA331" s="33"/>
      <c r="MB331" s="33"/>
      <c r="MC331" s="33"/>
      <c r="MD331" s="33"/>
      <c r="ME331" s="33"/>
      <c r="MF331" s="33"/>
      <c r="MG331" s="33"/>
      <c r="MH331" s="33"/>
      <c r="MI331" s="33"/>
      <c r="MJ331" s="33"/>
      <c r="MK331" s="33"/>
      <c r="ML331" s="33"/>
      <c r="MM331" s="33"/>
      <c r="MN331" s="33"/>
      <c r="MO331" s="33"/>
      <c r="MP331" s="33"/>
      <c r="MQ331" s="33"/>
      <c r="MR331" s="33"/>
      <c r="MS331" s="33"/>
      <c r="MT331" s="33"/>
      <c r="MU331" s="33"/>
      <c r="MV331" s="33"/>
      <c r="MW331" s="33"/>
      <c r="MX331" s="33"/>
      <c r="MY331" s="33"/>
      <c r="MZ331" s="33"/>
      <c r="NA331" s="33"/>
      <c r="NB331" s="33"/>
      <c r="NC331" s="33"/>
      <c r="ND331" s="33"/>
      <c r="NE331" s="33"/>
      <c r="NF331" s="33"/>
      <c r="NG331" s="33"/>
      <c r="NH331" s="33"/>
      <c r="NI331" s="33"/>
      <c r="NJ331" s="33"/>
      <c r="NK331" s="33"/>
      <c r="NL331" s="33"/>
      <c r="NM331" s="33"/>
      <c r="NN331" s="33"/>
      <c r="NO331" s="33"/>
      <c r="NP331" s="33"/>
      <c r="NQ331" s="33"/>
      <c r="NR331" s="33"/>
      <c r="NS331" s="33"/>
      <c r="NT331" s="33"/>
      <c r="NU331" s="33"/>
      <c r="NV331" s="33"/>
      <c r="NW331" s="33"/>
      <c r="NX331" s="33"/>
      <c r="NY331" s="33"/>
      <c r="NZ331" s="33"/>
      <c r="OA331" s="33"/>
      <c r="OB331" s="33"/>
      <c r="OC331" s="33"/>
      <c r="OD331" s="33"/>
      <c r="OE331" s="33"/>
      <c r="OF331" s="33"/>
      <c r="OG331" s="33"/>
      <c r="OH331" s="33"/>
      <c r="OI331" s="33"/>
      <c r="OJ331" s="33"/>
      <c r="OK331" s="33"/>
      <c r="OL331" s="33"/>
      <c r="OM331" s="33"/>
      <c r="ON331" s="33"/>
      <c r="OO331" s="33"/>
      <c r="OP331" s="33"/>
      <c r="OQ331" s="33"/>
      <c r="OR331" s="33"/>
      <c r="OS331" s="33"/>
      <c r="OT331" s="33"/>
      <c r="OU331" s="33"/>
      <c r="OV331" s="33"/>
      <c r="OW331" s="33"/>
      <c r="OX331" s="33"/>
      <c r="OY331" s="33"/>
      <c r="OZ331" s="33"/>
      <c r="PA331" s="33"/>
      <c r="PB331" s="33"/>
      <c r="PC331" s="33"/>
      <c r="PD331" s="33"/>
      <c r="PE331" s="33"/>
      <c r="PF331" s="33"/>
      <c r="PG331" s="33"/>
      <c r="PH331" s="33"/>
      <c r="PI331" s="33"/>
      <c r="PJ331" s="33"/>
      <c r="PK331" s="33"/>
      <c r="PL331" s="33"/>
      <c r="PM331" s="33"/>
      <c r="PN331" s="33"/>
      <c r="PO331" s="33"/>
      <c r="PP331" s="33"/>
      <c r="PQ331" s="33"/>
      <c r="PR331" s="33"/>
      <c r="PS331" s="33"/>
      <c r="PT331" s="33"/>
      <c r="PU331" s="33"/>
      <c r="PV331" s="33"/>
      <c r="PW331" s="33"/>
      <c r="PX331" s="33"/>
      <c r="PY331" s="33"/>
      <c r="PZ331" s="33"/>
      <c r="QA331" s="33"/>
      <c r="QB331" s="33"/>
      <c r="QC331" s="33"/>
      <c r="QD331" s="33"/>
      <c r="QE331" s="33"/>
      <c r="QF331" s="33"/>
      <c r="QG331" s="33"/>
      <c r="QH331" s="33"/>
      <c r="QI331" s="33"/>
      <c r="QJ331" s="33"/>
      <c r="QK331" s="33"/>
      <c r="QL331" s="33"/>
      <c r="QM331" s="33"/>
      <c r="QN331" s="33"/>
      <c r="QO331" s="33"/>
      <c r="QP331" s="33"/>
      <c r="QQ331" s="33"/>
      <c r="QR331" s="33"/>
      <c r="QS331" s="33"/>
      <c r="QT331" s="33"/>
      <c r="QU331" s="33"/>
      <c r="QV331" s="33"/>
      <c r="QW331" s="33"/>
      <c r="QX331" s="33"/>
      <c r="QY331" s="33"/>
      <c r="QZ331" s="33"/>
      <c r="RA331" s="33"/>
      <c r="RB331" s="33"/>
      <c r="RC331" s="33"/>
      <c r="RD331" s="33"/>
      <c r="RE331" s="33"/>
      <c r="RF331" s="33"/>
      <c r="RG331" s="33"/>
      <c r="RH331" s="33"/>
      <c r="RI331" s="33"/>
      <c r="RJ331" s="33"/>
      <c r="RK331" s="33"/>
      <c r="RL331" s="33"/>
      <c r="RM331" s="33"/>
      <c r="RN331" s="33"/>
      <c r="RO331" s="33"/>
      <c r="RP331" s="33"/>
      <c r="RQ331" s="33"/>
      <c r="RR331" s="33"/>
      <c r="RS331" s="33"/>
      <c r="RT331" s="33"/>
      <c r="RU331" s="33"/>
      <c r="RV331" s="33"/>
      <c r="RW331" s="33"/>
      <c r="RX331" s="33"/>
      <c r="RY331" s="33"/>
      <c r="RZ331" s="33"/>
      <c r="SA331" s="33"/>
      <c r="SB331" s="33"/>
      <c r="SC331" s="33"/>
      <c r="SD331" s="33"/>
      <c r="SE331" s="33"/>
      <c r="SF331" s="33"/>
      <c r="SG331" s="33"/>
      <c r="SH331" s="33"/>
      <c r="SI331" s="33"/>
      <c r="SJ331" s="33"/>
      <c r="SK331" s="33"/>
      <c r="SL331" s="33"/>
      <c r="SM331" s="33"/>
      <c r="SN331" s="33"/>
      <c r="SO331" s="33"/>
      <c r="SP331" s="33"/>
      <c r="SQ331" s="33"/>
      <c r="SR331" s="33"/>
      <c r="SS331" s="33"/>
      <c r="ST331" s="33"/>
      <c r="SU331" s="33"/>
      <c r="SV331" s="33"/>
      <c r="SW331" s="33"/>
      <c r="SX331" s="33"/>
      <c r="SY331" s="33"/>
      <c r="SZ331" s="33"/>
      <c r="TA331" s="33"/>
      <c r="TB331" s="33"/>
      <c r="TC331" s="33"/>
      <c r="TD331" s="33"/>
      <c r="TE331" s="33"/>
      <c r="TF331" s="33"/>
      <c r="TG331" s="33"/>
    </row>
    <row r="332" spans="1:527" s="34" customFormat="1" ht="37.5" customHeight="1" x14ac:dyDescent="0.25">
      <c r="A332" s="118"/>
      <c r="B332" s="108"/>
      <c r="C332" s="96"/>
      <c r="D332" s="76" t="s">
        <v>402</v>
      </c>
      <c r="E332" s="97">
        <f>E19+E68+E70+E168+E67+E71+E132+E73+E76+E135+E169+E170+E231+E207+E226+E229+E230+E134+E322</f>
        <v>32479367.16</v>
      </c>
      <c r="F332" s="97">
        <f t="shared" ref="F332:P332" si="190">F19+F68+F70+F168+F67+F71+F132+F73+F76+F135+F169+F170+F231+F207+F226+F229+F230+F134+F322</f>
        <v>32479367.16</v>
      </c>
      <c r="G332" s="97">
        <f t="shared" si="190"/>
        <v>4045670</v>
      </c>
      <c r="H332" s="97">
        <f t="shared" si="190"/>
        <v>0</v>
      </c>
      <c r="I332" s="97">
        <f t="shared" si="190"/>
        <v>0</v>
      </c>
      <c r="J332" s="97">
        <f t="shared" si="190"/>
        <v>228565632.65000001</v>
      </c>
      <c r="K332" s="97">
        <f t="shared" si="190"/>
        <v>16673672.25</v>
      </c>
      <c r="L332" s="97">
        <f t="shared" si="190"/>
        <v>206891960.40000001</v>
      </c>
      <c r="M332" s="97">
        <f t="shared" si="190"/>
        <v>0</v>
      </c>
      <c r="N332" s="97">
        <f t="shared" si="190"/>
        <v>0</v>
      </c>
      <c r="O332" s="97">
        <f t="shared" si="190"/>
        <v>21673672.25</v>
      </c>
      <c r="P332" s="97">
        <f t="shared" si="190"/>
        <v>261044999.81</v>
      </c>
      <c r="Q332" s="33"/>
      <c r="R332" s="32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  <c r="SQ332" s="33"/>
      <c r="SR332" s="33"/>
      <c r="SS332" s="33"/>
      <c r="ST332" s="33"/>
      <c r="SU332" s="33"/>
      <c r="SV332" s="33"/>
      <c r="SW332" s="33"/>
      <c r="SX332" s="33"/>
      <c r="SY332" s="33"/>
      <c r="SZ332" s="33"/>
      <c r="TA332" s="33"/>
      <c r="TB332" s="33"/>
      <c r="TC332" s="33"/>
      <c r="TD332" s="33"/>
      <c r="TE332" s="33"/>
      <c r="TF332" s="33"/>
      <c r="TG332" s="33"/>
    </row>
    <row r="333" spans="1:527" s="34" customFormat="1" ht="26.25" customHeight="1" x14ac:dyDescent="0.25">
      <c r="A333" s="95"/>
      <c r="B333" s="108"/>
      <c r="C333" s="108"/>
      <c r="D333" s="82" t="s">
        <v>419</v>
      </c>
      <c r="E333" s="97">
        <f t="shared" ref="E333:P333" si="191">E136+E277+E232</f>
        <v>0</v>
      </c>
      <c r="F333" s="97">
        <f t="shared" si="191"/>
        <v>0</v>
      </c>
      <c r="G333" s="97">
        <f t="shared" si="191"/>
        <v>0</v>
      </c>
      <c r="H333" s="97">
        <f t="shared" si="191"/>
        <v>0</v>
      </c>
      <c r="I333" s="97">
        <f t="shared" si="191"/>
        <v>0</v>
      </c>
      <c r="J333" s="97">
        <f t="shared" si="191"/>
        <v>127771665.12</v>
      </c>
      <c r="K333" s="97">
        <f t="shared" si="191"/>
        <v>127771665.12</v>
      </c>
      <c r="L333" s="97">
        <f t="shared" si="191"/>
        <v>0</v>
      </c>
      <c r="M333" s="97">
        <f t="shared" si="191"/>
        <v>0</v>
      </c>
      <c r="N333" s="97">
        <f t="shared" si="191"/>
        <v>0</v>
      </c>
      <c r="O333" s="97">
        <f t="shared" si="191"/>
        <v>127771665.12</v>
      </c>
      <c r="P333" s="97">
        <f t="shared" si="191"/>
        <v>127771665.12</v>
      </c>
      <c r="Q333" s="33"/>
      <c r="R333" s="32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  <c r="SQ333" s="33"/>
      <c r="SR333" s="33"/>
      <c r="SS333" s="33"/>
      <c r="ST333" s="33"/>
      <c r="SU333" s="33"/>
      <c r="SV333" s="33"/>
      <c r="SW333" s="33"/>
      <c r="SX333" s="33"/>
      <c r="SY333" s="33"/>
      <c r="SZ333" s="33"/>
      <c r="TA333" s="33"/>
      <c r="TB333" s="33"/>
      <c r="TC333" s="33"/>
      <c r="TD333" s="33"/>
      <c r="TE333" s="33"/>
      <c r="TF333" s="33"/>
      <c r="TG333" s="33"/>
    </row>
    <row r="334" spans="1:527" s="27" customFormat="1" ht="30" customHeight="1" x14ac:dyDescent="0.25">
      <c r="A334" s="66"/>
      <c r="B334" s="67"/>
      <c r="C334" s="68"/>
      <c r="D334" s="69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  <c r="TF334" s="32"/>
      <c r="TG334" s="32"/>
    </row>
    <row r="335" spans="1:527" s="27" customFormat="1" ht="30" hidden="1" customHeight="1" x14ac:dyDescent="0.25">
      <c r="A335" s="66"/>
      <c r="B335" s="67"/>
      <c r="C335" s="68"/>
      <c r="D335" s="69"/>
      <c r="E335" s="143">
        <f>E330-'дод 7'!D262</f>
        <v>0</v>
      </c>
      <c r="F335" s="143">
        <f>F330-'дод 7'!E262</f>
        <v>0</v>
      </c>
      <c r="G335" s="143">
        <f>G330-'дод 7'!F262</f>
        <v>0</v>
      </c>
      <c r="H335" s="143">
        <f>H330-'дод 7'!G262</f>
        <v>0</v>
      </c>
      <c r="I335" s="143">
        <f>I330-'дод 7'!H262</f>
        <v>0</v>
      </c>
      <c r="J335" s="143">
        <f>J330-'дод 7'!I262</f>
        <v>0</v>
      </c>
      <c r="K335" s="143">
        <f>K330-'дод 7'!J262</f>
        <v>0</v>
      </c>
      <c r="L335" s="143">
        <f>L330-'дод 7'!K262</f>
        <v>0</v>
      </c>
      <c r="M335" s="143">
        <f>M330-'дод 7'!L262</f>
        <v>0</v>
      </c>
      <c r="N335" s="143">
        <f>N330-'дод 7'!M262</f>
        <v>0</v>
      </c>
      <c r="O335" s="143">
        <f>O330-'дод 7'!N262</f>
        <v>0</v>
      </c>
      <c r="P335" s="143">
        <f>P330-'дод 7'!O262</f>
        <v>0</v>
      </c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  <c r="TF335" s="32"/>
      <c r="TG335" s="32"/>
    </row>
    <row r="336" spans="1:527" s="27" customFormat="1" ht="30" hidden="1" customHeight="1" x14ac:dyDescent="0.25">
      <c r="A336" s="66"/>
      <c r="B336" s="67"/>
      <c r="C336" s="68"/>
      <c r="D336" s="69"/>
      <c r="E336" s="143">
        <f>E331-'дод 7'!D263</f>
        <v>0</v>
      </c>
      <c r="F336" s="143">
        <f>F331-'дод 7'!E263</f>
        <v>0</v>
      </c>
      <c r="G336" s="143">
        <f>G331-'дод 7'!F263</f>
        <v>0</v>
      </c>
      <c r="H336" s="143">
        <f>H331-'дод 7'!G263</f>
        <v>0</v>
      </c>
      <c r="I336" s="143">
        <f>I331-'дод 7'!H263</f>
        <v>0</v>
      </c>
      <c r="J336" s="143">
        <f>J331-'дод 7'!I263</f>
        <v>0</v>
      </c>
      <c r="K336" s="143">
        <f>K331-'дод 7'!J263</f>
        <v>0</v>
      </c>
      <c r="L336" s="143">
        <f>L331-'дод 7'!K263</f>
        <v>0</v>
      </c>
      <c r="M336" s="143">
        <f>M331-'дод 7'!L263</f>
        <v>0</v>
      </c>
      <c r="N336" s="143">
        <f>N331-'дод 7'!M263</f>
        <v>0</v>
      </c>
      <c r="O336" s="143">
        <f>O331-'дод 7'!N263</f>
        <v>0</v>
      </c>
      <c r="P336" s="143">
        <f>P331-'дод 7'!O263</f>
        <v>0</v>
      </c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  <c r="SQ336" s="32"/>
      <c r="SR336" s="32"/>
      <c r="SS336" s="32"/>
      <c r="ST336" s="32"/>
      <c r="SU336" s="32"/>
      <c r="SV336" s="32"/>
      <c r="SW336" s="32"/>
      <c r="SX336" s="32"/>
      <c r="SY336" s="32"/>
      <c r="SZ336" s="32"/>
      <c r="TA336" s="32"/>
      <c r="TB336" s="32"/>
      <c r="TC336" s="32"/>
      <c r="TD336" s="32"/>
      <c r="TE336" s="32"/>
      <c r="TF336" s="32"/>
      <c r="TG336" s="32"/>
    </row>
    <row r="337" spans="1:527" s="27" customFormat="1" ht="30" hidden="1" customHeight="1" x14ac:dyDescent="0.25">
      <c r="A337" s="66"/>
      <c r="B337" s="67"/>
      <c r="C337" s="68"/>
      <c r="D337" s="69"/>
      <c r="E337" s="143">
        <f>E332-'дод 7'!D264</f>
        <v>0</v>
      </c>
      <c r="F337" s="143">
        <f>F332-'дод 7'!E264</f>
        <v>0</v>
      </c>
      <c r="G337" s="143">
        <f>G332-'дод 7'!F264</f>
        <v>0</v>
      </c>
      <c r="H337" s="143">
        <f>H332-'дод 7'!G264</f>
        <v>0</v>
      </c>
      <c r="I337" s="143">
        <f>I332-'дод 7'!H264</f>
        <v>0</v>
      </c>
      <c r="J337" s="143">
        <f>J332-'дод 7'!I264</f>
        <v>0</v>
      </c>
      <c r="K337" s="143">
        <f>K332-'дод 7'!J264</f>
        <v>0</v>
      </c>
      <c r="L337" s="143">
        <f>L332-'дод 7'!K264</f>
        <v>0</v>
      </c>
      <c r="M337" s="143">
        <f>M332-'дод 7'!L264</f>
        <v>0</v>
      </c>
      <c r="N337" s="143">
        <f>N332-'дод 7'!M264</f>
        <v>0</v>
      </c>
      <c r="O337" s="143">
        <f>O332-'дод 7'!N264</f>
        <v>0</v>
      </c>
      <c r="P337" s="143">
        <f>P332-'дод 7'!O264</f>
        <v>0</v>
      </c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  <c r="SQ337" s="32"/>
      <c r="SR337" s="32"/>
      <c r="SS337" s="32"/>
      <c r="ST337" s="32"/>
      <c r="SU337" s="32"/>
      <c r="SV337" s="32"/>
      <c r="SW337" s="32"/>
      <c r="SX337" s="32"/>
      <c r="SY337" s="32"/>
      <c r="SZ337" s="32"/>
      <c r="TA337" s="32"/>
      <c r="TB337" s="32"/>
      <c r="TC337" s="32"/>
      <c r="TD337" s="32"/>
      <c r="TE337" s="32"/>
      <c r="TF337" s="32"/>
      <c r="TG337" s="32"/>
    </row>
    <row r="338" spans="1:527" s="27" customFormat="1" ht="30" hidden="1" customHeight="1" x14ac:dyDescent="0.25">
      <c r="A338" s="66"/>
      <c r="B338" s="67"/>
      <c r="C338" s="68"/>
      <c r="D338" s="69"/>
      <c r="E338" s="143">
        <f>E333-'дод 7'!D265</f>
        <v>0</v>
      </c>
      <c r="F338" s="143">
        <f>F333-'дод 7'!E265</f>
        <v>0</v>
      </c>
      <c r="G338" s="143">
        <f>G333-'дод 7'!F265</f>
        <v>0</v>
      </c>
      <c r="H338" s="143">
        <f>H333-'дод 7'!G265</f>
        <v>0</v>
      </c>
      <c r="I338" s="143">
        <f>I333-'дод 7'!H265</f>
        <v>0</v>
      </c>
      <c r="J338" s="143">
        <f>J333-'дод 7'!I265</f>
        <v>0</v>
      </c>
      <c r="K338" s="143">
        <f>K333-'дод 7'!J265</f>
        <v>0</v>
      </c>
      <c r="L338" s="143">
        <f>L333-'дод 7'!K265</f>
        <v>0</v>
      </c>
      <c r="M338" s="143">
        <f>M333-'дод 7'!L265</f>
        <v>0</v>
      </c>
      <c r="N338" s="143">
        <f>N333-'дод 7'!M265</f>
        <v>0</v>
      </c>
      <c r="O338" s="143">
        <f>O333-'дод 7'!N265</f>
        <v>0</v>
      </c>
      <c r="P338" s="143">
        <f>P333-'дод 7'!O265</f>
        <v>0</v>
      </c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  <c r="TF338" s="32"/>
      <c r="TG338" s="32"/>
    </row>
    <row r="339" spans="1:527" s="27" customFormat="1" ht="30" hidden="1" customHeight="1" x14ac:dyDescent="0.25">
      <c r="A339" s="66"/>
      <c r="B339" s="67"/>
      <c r="C339" s="68"/>
      <c r="D339" s="69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  <c r="SQ339" s="32"/>
      <c r="SR339" s="32"/>
      <c r="SS339" s="32"/>
      <c r="ST339" s="32"/>
      <c r="SU339" s="32"/>
      <c r="SV339" s="32"/>
      <c r="SW339" s="32"/>
      <c r="SX339" s="32"/>
      <c r="SY339" s="32"/>
      <c r="SZ339" s="32"/>
      <c r="TA339" s="32"/>
      <c r="TB339" s="32"/>
      <c r="TC339" s="32"/>
      <c r="TD339" s="32"/>
      <c r="TE339" s="32"/>
      <c r="TF339" s="32"/>
      <c r="TG339" s="32"/>
    </row>
    <row r="340" spans="1:527" s="27" customFormat="1" ht="30" customHeight="1" x14ac:dyDescent="0.25">
      <c r="A340" s="66"/>
      <c r="B340" s="67"/>
      <c r="C340" s="68"/>
      <c r="D340" s="69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  <c r="SQ340" s="32"/>
      <c r="SR340" s="32"/>
      <c r="SS340" s="32"/>
      <c r="ST340" s="32"/>
      <c r="SU340" s="32"/>
      <c r="SV340" s="32"/>
      <c r="SW340" s="32"/>
      <c r="SX340" s="32"/>
      <c r="SY340" s="32"/>
      <c r="SZ340" s="32"/>
      <c r="TA340" s="32"/>
      <c r="TB340" s="32"/>
      <c r="TC340" s="32"/>
      <c r="TD340" s="32"/>
      <c r="TE340" s="32"/>
      <c r="TF340" s="32"/>
      <c r="TG340" s="32"/>
    </row>
    <row r="341" spans="1:527" s="27" customFormat="1" ht="30" customHeight="1" x14ac:dyDescent="0.25">
      <c r="A341" s="66"/>
      <c r="B341" s="67"/>
      <c r="C341" s="68"/>
      <c r="D341" s="69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  <c r="SQ341" s="32"/>
      <c r="SR341" s="32"/>
      <c r="SS341" s="32"/>
      <c r="ST341" s="32"/>
      <c r="SU341" s="32"/>
      <c r="SV341" s="32"/>
      <c r="SW341" s="32"/>
      <c r="SX341" s="32"/>
      <c r="SY341" s="32"/>
      <c r="SZ341" s="32"/>
      <c r="TA341" s="32"/>
      <c r="TB341" s="32"/>
      <c r="TC341" s="32"/>
      <c r="TD341" s="32"/>
      <c r="TE341" s="32"/>
      <c r="TF341" s="32"/>
      <c r="TG341" s="32"/>
    </row>
    <row r="342" spans="1:527" s="27" customFormat="1" ht="30" customHeight="1" x14ac:dyDescent="0.25">
      <c r="A342" s="66"/>
      <c r="B342" s="67"/>
      <c r="C342" s="68"/>
      <c r="D342" s="69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  <c r="JN342" s="32"/>
      <c r="JO342" s="32"/>
      <c r="JP342" s="32"/>
      <c r="JQ342" s="32"/>
      <c r="JR342" s="32"/>
      <c r="JS342" s="32"/>
      <c r="JT342" s="32"/>
      <c r="JU342" s="32"/>
      <c r="JV342" s="32"/>
      <c r="JW342" s="32"/>
      <c r="JX342" s="32"/>
      <c r="JY342" s="32"/>
      <c r="JZ342" s="32"/>
      <c r="KA342" s="32"/>
      <c r="KB342" s="32"/>
      <c r="KC342" s="32"/>
      <c r="KD342" s="32"/>
      <c r="KE342" s="32"/>
      <c r="KF342" s="32"/>
      <c r="KG342" s="32"/>
      <c r="KH342" s="32"/>
      <c r="KI342" s="32"/>
      <c r="KJ342" s="32"/>
      <c r="KK342" s="32"/>
      <c r="KL342" s="32"/>
      <c r="KM342" s="32"/>
      <c r="KN342" s="32"/>
      <c r="KO342" s="32"/>
      <c r="KP342" s="32"/>
      <c r="KQ342" s="32"/>
      <c r="KR342" s="32"/>
      <c r="KS342" s="32"/>
      <c r="KT342" s="32"/>
      <c r="KU342" s="32"/>
      <c r="KV342" s="32"/>
      <c r="KW342" s="32"/>
      <c r="KX342" s="32"/>
      <c r="KY342" s="32"/>
      <c r="KZ342" s="32"/>
      <c r="LA342" s="32"/>
      <c r="LB342" s="32"/>
      <c r="LC342" s="32"/>
      <c r="LD342" s="32"/>
      <c r="LE342" s="32"/>
      <c r="LF342" s="32"/>
      <c r="LG342" s="32"/>
      <c r="LH342" s="32"/>
      <c r="LI342" s="32"/>
      <c r="LJ342" s="32"/>
      <c r="LK342" s="32"/>
      <c r="LL342" s="32"/>
      <c r="LM342" s="32"/>
      <c r="LN342" s="32"/>
      <c r="LO342" s="32"/>
      <c r="LP342" s="32"/>
      <c r="LQ342" s="32"/>
      <c r="LR342" s="32"/>
      <c r="LS342" s="32"/>
      <c r="LT342" s="32"/>
      <c r="LU342" s="32"/>
      <c r="LV342" s="32"/>
      <c r="LW342" s="32"/>
      <c r="LX342" s="32"/>
      <c r="LY342" s="32"/>
      <c r="LZ342" s="32"/>
      <c r="MA342" s="32"/>
      <c r="MB342" s="32"/>
      <c r="MC342" s="32"/>
      <c r="MD342" s="32"/>
      <c r="ME342" s="32"/>
      <c r="MF342" s="32"/>
      <c r="MG342" s="32"/>
      <c r="MH342" s="32"/>
      <c r="MI342" s="32"/>
      <c r="MJ342" s="32"/>
      <c r="MK342" s="32"/>
      <c r="ML342" s="32"/>
      <c r="MM342" s="32"/>
      <c r="MN342" s="32"/>
      <c r="MO342" s="32"/>
      <c r="MP342" s="32"/>
      <c r="MQ342" s="32"/>
      <c r="MR342" s="32"/>
      <c r="MS342" s="32"/>
      <c r="MT342" s="32"/>
      <c r="MU342" s="32"/>
      <c r="MV342" s="32"/>
      <c r="MW342" s="32"/>
      <c r="MX342" s="32"/>
      <c r="MY342" s="32"/>
      <c r="MZ342" s="32"/>
      <c r="NA342" s="32"/>
      <c r="NB342" s="32"/>
      <c r="NC342" s="32"/>
      <c r="ND342" s="32"/>
      <c r="NE342" s="32"/>
      <c r="NF342" s="32"/>
      <c r="NG342" s="32"/>
      <c r="NH342" s="32"/>
      <c r="NI342" s="32"/>
      <c r="NJ342" s="32"/>
      <c r="NK342" s="32"/>
      <c r="NL342" s="32"/>
      <c r="NM342" s="32"/>
      <c r="NN342" s="32"/>
      <c r="NO342" s="32"/>
      <c r="NP342" s="32"/>
      <c r="NQ342" s="32"/>
      <c r="NR342" s="32"/>
      <c r="NS342" s="32"/>
      <c r="NT342" s="32"/>
      <c r="NU342" s="32"/>
      <c r="NV342" s="32"/>
      <c r="NW342" s="32"/>
      <c r="NX342" s="32"/>
      <c r="NY342" s="32"/>
      <c r="NZ342" s="32"/>
      <c r="OA342" s="32"/>
      <c r="OB342" s="32"/>
      <c r="OC342" s="32"/>
      <c r="OD342" s="32"/>
      <c r="OE342" s="32"/>
      <c r="OF342" s="32"/>
      <c r="OG342" s="32"/>
      <c r="OH342" s="32"/>
      <c r="OI342" s="32"/>
      <c r="OJ342" s="32"/>
      <c r="OK342" s="32"/>
      <c r="OL342" s="32"/>
      <c r="OM342" s="32"/>
      <c r="ON342" s="32"/>
      <c r="OO342" s="32"/>
      <c r="OP342" s="32"/>
      <c r="OQ342" s="32"/>
      <c r="OR342" s="32"/>
      <c r="OS342" s="32"/>
      <c r="OT342" s="32"/>
      <c r="OU342" s="32"/>
      <c r="OV342" s="32"/>
      <c r="OW342" s="32"/>
      <c r="OX342" s="32"/>
      <c r="OY342" s="32"/>
      <c r="OZ342" s="32"/>
      <c r="PA342" s="32"/>
      <c r="PB342" s="32"/>
      <c r="PC342" s="32"/>
      <c r="PD342" s="32"/>
      <c r="PE342" s="32"/>
      <c r="PF342" s="32"/>
      <c r="PG342" s="32"/>
      <c r="PH342" s="32"/>
      <c r="PI342" s="32"/>
      <c r="PJ342" s="32"/>
      <c r="PK342" s="32"/>
      <c r="PL342" s="32"/>
      <c r="PM342" s="32"/>
      <c r="PN342" s="32"/>
      <c r="PO342" s="32"/>
      <c r="PP342" s="32"/>
      <c r="PQ342" s="32"/>
      <c r="PR342" s="32"/>
      <c r="PS342" s="32"/>
      <c r="PT342" s="32"/>
      <c r="PU342" s="32"/>
      <c r="PV342" s="32"/>
      <c r="PW342" s="32"/>
      <c r="PX342" s="32"/>
      <c r="PY342" s="32"/>
      <c r="PZ342" s="32"/>
      <c r="QA342" s="32"/>
      <c r="QB342" s="32"/>
      <c r="QC342" s="32"/>
      <c r="QD342" s="32"/>
      <c r="QE342" s="32"/>
      <c r="QF342" s="32"/>
      <c r="QG342" s="32"/>
      <c r="QH342" s="32"/>
      <c r="QI342" s="32"/>
      <c r="QJ342" s="32"/>
      <c r="QK342" s="32"/>
      <c r="QL342" s="32"/>
      <c r="QM342" s="32"/>
      <c r="QN342" s="32"/>
      <c r="QO342" s="32"/>
      <c r="QP342" s="32"/>
      <c r="QQ342" s="32"/>
      <c r="QR342" s="32"/>
      <c r="QS342" s="32"/>
      <c r="QT342" s="32"/>
      <c r="QU342" s="32"/>
      <c r="QV342" s="32"/>
      <c r="QW342" s="32"/>
      <c r="QX342" s="32"/>
      <c r="QY342" s="32"/>
      <c r="QZ342" s="32"/>
      <c r="RA342" s="32"/>
      <c r="RB342" s="32"/>
      <c r="RC342" s="32"/>
      <c r="RD342" s="32"/>
      <c r="RE342" s="32"/>
      <c r="RF342" s="32"/>
      <c r="RG342" s="32"/>
      <c r="RH342" s="32"/>
      <c r="RI342" s="32"/>
      <c r="RJ342" s="32"/>
      <c r="RK342" s="32"/>
      <c r="RL342" s="32"/>
      <c r="RM342" s="32"/>
      <c r="RN342" s="32"/>
      <c r="RO342" s="32"/>
      <c r="RP342" s="32"/>
      <c r="RQ342" s="32"/>
      <c r="RR342" s="32"/>
      <c r="RS342" s="32"/>
      <c r="RT342" s="32"/>
      <c r="RU342" s="32"/>
      <c r="RV342" s="32"/>
      <c r="RW342" s="32"/>
      <c r="RX342" s="32"/>
      <c r="RY342" s="32"/>
      <c r="RZ342" s="32"/>
      <c r="SA342" s="32"/>
      <c r="SB342" s="32"/>
      <c r="SC342" s="32"/>
      <c r="SD342" s="32"/>
      <c r="SE342" s="32"/>
      <c r="SF342" s="32"/>
      <c r="SG342" s="32"/>
      <c r="SH342" s="32"/>
      <c r="SI342" s="32"/>
      <c r="SJ342" s="32"/>
      <c r="SK342" s="32"/>
      <c r="SL342" s="32"/>
      <c r="SM342" s="32"/>
      <c r="SN342" s="32"/>
      <c r="SO342" s="32"/>
      <c r="SP342" s="32"/>
      <c r="SQ342" s="32"/>
      <c r="SR342" s="32"/>
      <c r="SS342" s="32"/>
      <c r="ST342" s="32"/>
      <c r="SU342" s="32"/>
      <c r="SV342" s="32"/>
      <c r="SW342" s="32"/>
      <c r="SX342" s="32"/>
      <c r="SY342" s="32"/>
      <c r="SZ342" s="32"/>
      <c r="TA342" s="32"/>
      <c r="TB342" s="32"/>
      <c r="TC342" s="32"/>
      <c r="TD342" s="32"/>
      <c r="TE342" s="32"/>
      <c r="TF342" s="32"/>
      <c r="TG342" s="32"/>
    </row>
    <row r="343" spans="1:527" s="140" customFormat="1" ht="33.75" customHeight="1" x14ac:dyDescent="0.55000000000000004">
      <c r="A343" s="137" t="s">
        <v>613</v>
      </c>
      <c r="B343" s="138"/>
      <c r="C343" s="139"/>
      <c r="D343" s="129"/>
      <c r="E343" s="143"/>
      <c r="F343" s="129"/>
      <c r="G343" s="129"/>
      <c r="H343" s="129"/>
      <c r="I343" s="129"/>
      <c r="J343" s="129"/>
      <c r="M343" s="129"/>
      <c r="N343" s="129" t="s">
        <v>615</v>
      </c>
      <c r="O343" s="130"/>
      <c r="P343" s="130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141"/>
      <c r="BA343" s="141"/>
      <c r="BB343" s="141"/>
      <c r="BC343" s="141"/>
      <c r="BD343" s="141"/>
      <c r="BE343" s="141"/>
      <c r="BF343" s="141"/>
      <c r="BG343" s="141"/>
      <c r="BH343" s="141"/>
      <c r="BI343" s="141"/>
      <c r="BJ343" s="141"/>
      <c r="BK343" s="141"/>
      <c r="BL343" s="141"/>
      <c r="BM343" s="141"/>
      <c r="BN343" s="141"/>
      <c r="BO343" s="141"/>
      <c r="BP343" s="141"/>
      <c r="BQ343" s="141"/>
      <c r="BR343" s="141"/>
      <c r="BS343" s="141"/>
      <c r="BT343" s="141"/>
      <c r="BU343" s="141"/>
      <c r="BV343" s="141"/>
      <c r="BW343" s="141"/>
      <c r="BX343" s="141"/>
      <c r="BY343" s="141"/>
      <c r="BZ343" s="141"/>
      <c r="CA343" s="141"/>
      <c r="CB343" s="141"/>
      <c r="CC343" s="141"/>
      <c r="CD343" s="141"/>
      <c r="CE343" s="141"/>
      <c r="CF343" s="141"/>
      <c r="CG343" s="141"/>
      <c r="CH343" s="141"/>
      <c r="CI343" s="141"/>
      <c r="CJ343" s="141"/>
      <c r="CK343" s="141"/>
      <c r="CL343" s="141"/>
      <c r="CM343" s="141"/>
      <c r="CN343" s="141"/>
      <c r="CO343" s="141"/>
      <c r="CP343" s="141"/>
      <c r="CQ343" s="141"/>
      <c r="CR343" s="141"/>
      <c r="CS343" s="141"/>
      <c r="CT343" s="141"/>
      <c r="CU343" s="141"/>
      <c r="CV343" s="141"/>
      <c r="CW343" s="141"/>
      <c r="CX343" s="141"/>
      <c r="CY343" s="141"/>
      <c r="CZ343" s="141"/>
      <c r="DA343" s="141"/>
      <c r="DB343" s="141"/>
      <c r="DC343" s="141"/>
      <c r="DD343" s="141"/>
      <c r="DE343" s="141"/>
      <c r="DF343" s="141"/>
      <c r="DG343" s="141"/>
      <c r="DH343" s="141"/>
      <c r="DI343" s="141"/>
      <c r="DJ343" s="141"/>
      <c r="DK343" s="141"/>
      <c r="DL343" s="141"/>
      <c r="DM343" s="141"/>
      <c r="DN343" s="141"/>
      <c r="DO343" s="141"/>
      <c r="DP343" s="141"/>
      <c r="DQ343" s="141"/>
      <c r="DR343" s="141"/>
      <c r="DS343" s="141"/>
      <c r="DT343" s="141"/>
      <c r="DU343" s="141"/>
      <c r="DV343" s="141"/>
      <c r="DW343" s="141"/>
      <c r="DX343" s="141"/>
      <c r="DY343" s="141"/>
      <c r="DZ343" s="141"/>
      <c r="EA343" s="141"/>
      <c r="EB343" s="141"/>
      <c r="EC343" s="141"/>
      <c r="ED343" s="141"/>
      <c r="EE343" s="141"/>
      <c r="EF343" s="141"/>
      <c r="EG343" s="141"/>
      <c r="EH343" s="141"/>
      <c r="EI343" s="141"/>
      <c r="EJ343" s="141"/>
      <c r="EK343" s="141"/>
      <c r="EL343" s="141"/>
      <c r="EM343" s="141"/>
      <c r="EN343" s="141"/>
      <c r="EO343" s="141"/>
      <c r="EP343" s="141"/>
      <c r="EQ343" s="141"/>
      <c r="ER343" s="141"/>
      <c r="ES343" s="141"/>
      <c r="ET343" s="141"/>
      <c r="EU343" s="141"/>
      <c r="EV343" s="141"/>
      <c r="EW343" s="141"/>
      <c r="EX343" s="141"/>
      <c r="EY343" s="141"/>
      <c r="EZ343" s="141"/>
      <c r="FA343" s="141"/>
      <c r="FB343" s="141"/>
      <c r="FC343" s="141"/>
      <c r="FD343" s="141"/>
      <c r="FE343" s="141"/>
      <c r="FF343" s="141"/>
      <c r="FG343" s="141"/>
      <c r="FH343" s="141"/>
      <c r="FI343" s="141"/>
      <c r="FJ343" s="141"/>
      <c r="FK343" s="141"/>
      <c r="FL343" s="141"/>
      <c r="FM343" s="141"/>
      <c r="FN343" s="141"/>
      <c r="FO343" s="141"/>
      <c r="FP343" s="141"/>
      <c r="FQ343" s="141"/>
      <c r="FR343" s="141"/>
      <c r="FS343" s="141"/>
      <c r="FT343" s="141"/>
      <c r="FU343" s="141"/>
      <c r="FV343" s="141"/>
      <c r="FW343" s="141"/>
      <c r="FX343" s="141"/>
      <c r="FY343" s="141"/>
      <c r="FZ343" s="141"/>
      <c r="GA343" s="141"/>
      <c r="GB343" s="141"/>
      <c r="GC343" s="141"/>
      <c r="GD343" s="141"/>
      <c r="GE343" s="141"/>
      <c r="GF343" s="141"/>
      <c r="GG343" s="141"/>
      <c r="GH343" s="141"/>
      <c r="GI343" s="141"/>
      <c r="GJ343" s="141"/>
      <c r="GK343" s="141"/>
      <c r="GL343" s="141"/>
      <c r="GM343" s="141"/>
      <c r="GN343" s="141"/>
      <c r="GO343" s="141"/>
      <c r="GP343" s="141"/>
      <c r="GQ343" s="141"/>
      <c r="GR343" s="141"/>
      <c r="GS343" s="141"/>
      <c r="GT343" s="141"/>
      <c r="GU343" s="141"/>
      <c r="GV343" s="141"/>
      <c r="GW343" s="141"/>
      <c r="GX343" s="141"/>
      <c r="GY343" s="141"/>
      <c r="GZ343" s="141"/>
      <c r="HA343" s="141"/>
      <c r="HB343" s="141"/>
      <c r="HC343" s="141"/>
      <c r="HD343" s="141"/>
      <c r="HE343" s="141"/>
      <c r="HF343" s="141"/>
      <c r="HG343" s="141"/>
      <c r="HH343" s="141"/>
      <c r="HI343" s="141"/>
      <c r="HJ343" s="141"/>
      <c r="HK343" s="141"/>
      <c r="HL343" s="141"/>
      <c r="HM343" s="141"/>
      <c r="HN343" s="141"/>
      <c r="HO343" s="141"/>
      <c r="HP343" s="141"/>
      <c r="HQ343" s="141"/>
      <c r="HR343" s="141"/>
      <c r="HS343" s="141"/>
      <c r="HT343" s="141"/>
      <c r="HU343" s="141"/>
      <c r="HV343" s="141"/>
      <c r="HW343" s="141"/>
      <c r="HX343" s="141"/>
      <c r="HY343" s="141"/>
      <c r="HZ343" s="141"/>
      <c r="IA343" s="141"/>
      <c r="IB343" s="141"/>
      <c r="IC343" s="141"/>
      <c r="ID343" s="141"/>
      <c r="IE343" s="141"/>
      <c r="IF343" s="141"/>
      <c r="IG343" s="141"/>
      <c r="IH343" s="141"/>
      <c r="II343" s="141"/>
      <c r="IJ343" s="141"/>
      <c r="IK343" s="141"/>
      <c r="IL343" s="141"/>
      <c r="IM343" s="141"/>
      <c r="IN343" s="141"/>
      <c r="IO343" s="141"/>
      <c r="IP343" s="141"/>
      <c r="IQ343" s="141"/>
      <c r="IR343" s="141"/>
      <c r="IS343" s="141"/>
      <c r="IT343" s="141"/>
      <c r="IU343" s="141"/>
      <c r="IV343" s="141"/>
      <c r="IW343" s="141"/>
      <c r="IX343" s="141"/>
      <c r="IY343" s="141"/>
      <c r="IZ343" s="141"/>
      <c r="JA343" s="141"/>
      <c r="JB343" s="141"/>
      <c r="JC343" s="141"/>
      <c r="JD343" s="141"/>
      <c r="JE343" s="141"/>
      <c r="JF343" s="141"/>
      <c r="JG343" s="141"/>
      <c r="JH343" s="141"/>
      <c r="JI343" s="141"/>
      <c r="JJ343" s="141"/>
      <c r="JK343" s="141"/>
      <c r="JL343" s="141"/>
      <c r="JM343" s="141"/>
      <c r="JN343" s="141"/>
      <c r="JO343" s="141"/>
      <c r="JP343" s="141"/>
      <c r="JQ343" s="141"/>
      <c r="JR343" s="141"/>
      <c r="JS343" s="141"/>
      <c r="JT343" s="141"/>
      <c r="JU343" s="141"/>
      <c r="JV343" s="141"/>
      <c r="JW343" s="141"/>
      <c r="JX343" s="141"/>
      <c r="JY343" s="141"/>
      <c r="JZ343" s="141"/>
      <c r="KA343" s="141"/>
      <c r="KB343" s="141"/>
      <c r="KC343" s="141"/>
      <c r="KD343" s="141"/>
      <c r="KE343" s="141"/>
      <c r="KF343" s="141"/>
      <c r="KG343" s="141"/>
      <c r="KH343" s="141"/>
      <c r="KI343" s="141"/>
      <c r="KJ343" s="141"/>
      <c r="KK343" s="141"/>
      <c r="KL343" s="141"/>
      <c r="KM343" s="141"/>
      <c r="KN343" s="141"/>
      <c r="KO343" s="141"/>
      <c r="KP343" s="141"/>
      <c r="KQ343" s="141"/>
      <c r="KR343" s="141"/>
      <c r="KS343" s="141"/>
      <c r="KT343" s="141"/>
      <c r="KU343" s="141"/>
      <c r="KV343" s="141"/>
      <c r="KW343" s="141"/>
      <c r="KX343" s="141"/>
      <c r="KY343" s="141"/>
      <c r="KZ343" s="141"/>
      <c r="LA343" s="141"/>
      <c r="LB343" s="141"/>
      <c r="LC343" s="141"/>
      <c r="LD343" s="141"/>
      <c r="LE343" s="141"/>
      <c r="LF343" s="141"/>
      <c r="LG343" s="141"/>
      <c r="LH343" s="141"/>
      <c r="LI343" s="141"/>
      <c r="LJ343" s="141"/>
      <c r="LK343" s="141"/>
      <c r="LL343" s="141"/>
      <c r="LM343" s="141"/>
      <c r="LN343" s="141"/>
      <c r="LO343" s="141"/>
      <c r="LP343" s="141"/>
      <c r="LQ343" s="141"/>
      <c r="LR343" s="141"/>
      <c r="LS343" s="141"/>
      <c r="LT343" s="141"/>
      <c r="LU343" s="141"/>
      <c r="LV343" s="141"/>
      <c r="LW343" s="141"/>
      <c r="LX343" s="141"/>
      <c r="LY343" s="141"/>
      <c r="LZ343" s="141"/>
      <c r="MA343" s="141"/>
      <c r="MB343" s="141"/>
      <c r="MC343" s="141"/>
      <c r="MD343" s="141"/>
      <c r="ME343" s="141"/>
      <c r="MF343" s="141"/>
      <c r="MG343" s="141"/>
      <c r="MH343" s="141"/>
      <c r="MI343" s="141"/>
      <c r="MJ343" s="141"/>
      <c r="MK343" s="141"/>
      <c r="ML343" s="141"/>
      <c r="MM343" s="141"/>
      <c r="MN343" s="141"/>
      <c r="MO343" s="141"/>
      <c r="MP343" s="141"/>
      <c r="MQ343" s="141"/>
      <c r="MR343" s="141"/>
      <c r="MS343" s="141"/>
      <c r="MT343" s="141"/>
      <c r="MU343" s="141"/>
      <c r="MV343" s="141"/>
      <c r="MW343" s="141"/>
      <c r="MX343" s="141"/>
      <c r="MY343" s="141"/>
      <c r="MZ343" s="141"/>
      <c r="NA343" s="141"/>
      <c r="NB343" s="141"/>
      <c r="NC343" s="141"/>
      <c r="ND343" s="141"/>
      <c r="NE343" s="141"/>
      <c r="NF343" s="141"/>
      <c r="NG343" s="141"/>
      <c r="NH343" s="141"/>
      <c r="NI343" s="141"/>
      <c r="NJ343" s="141"/>
      <c r="NK343" s="141"/>
      <c r="NL343" s="141"/>
      <c r="NM343" s="141"/>
      <c r="NN343" s="141"/>
      <c r="NO343" s="141"/>
      <c r="NP343" s="141"/>
      <c r="NQ343" s="141"/>
      <c r="NR343" s="141"/>
      <c r="NS343" s="141"/>
      <c r="NT343" s="141"/>
      <c r="NU343" s="141"/>
      <c r="NV343" s="141"/>
      <c r="NW343" s="141"/>
      <c r="NX343" s="141"/>
      <c r="NY343" s="141"/>
      <c r="NZ343" s="141"/>
      <c r="OA343" s="141"/>
      <c r="OB343" s="141"/>
      <c r="OC343" s="141"/>
      <c r="OD343" s="141"/>
      <c r="OE343" s="141"/>
      <c r="OF343" s="141"/>
      <c r="OG343" s="141"/>
      <c r="OH343" s="141"/>
      <c r="OI343" s="141"/>
      <c r="OJ343" s="141"/>
      <c r="OK343" s="141"/>
      <c r="OL343" s="141"/>
      <c r="OM343" s="141"/>
      <c r="ON343" s="141"/>
      <c r="OO343" s="141"/>
      <c r="OP343" s="141"/>
      <c r="OQ343" s="141"/>
      <c r="OR343" s="141"/>
      <c r="OS343" s="141"/>
      <c r="OT343" s="141"/>
      <c r="OU343" s="141"/>
      <c r="OV343" s="141"/>
      <c r="OW343" s="141"/>
      <c r="OX343" s="141"/>
      <c r="OY343" s="141"/>
      <c r="OZ343" s="141"/>
      <c r="PA343" s="141"/>
      <c r="PB343" s="141"/>
      <c r="PC343" s="141"/>
      <c r="PD343" s="141"/>
      <c r="PE343" s="141"/>
      <c r="PF343" s="141"/>
      <c r="PG343" s="141"/>
      <c r="PH343" s="141"/>
      <c r="PI343" s="141"/>
      <c r="PJ343" s="141"/>
      <c r="PK343" s="141"/>
      <c r="PL343" s="141"/>
      <c r="PM343" s="141"/>
      <c r="PN343" s="141"/>
      <c r="PO343" s="141"/>
      <c r="PP343" s="141"/>
      <c r="PQ343" s="141"/>
      <c r="PR343" s="141"/>
      <c r="PS343" s="141"/>
      <c r="PT343" s="141"/>
      <c r="PU343" s="141"/>
      <c r="PV343" s="141"/>
      <c r="PW343" s="141"/>
      <c r="PX343" s="141"/>
      <c r="PY343" s="141"/>
      <c r="PZ343" s="141"/>
      <c r="QA343" s="141"/>
      <c r="QB343" s="141"/>
      <c r="QC343" s="141"/>
      <c r="QD343" s="141"/>
      <c r="QE343" s="141"/>
      <c r="QF343" s="141"/>
      <c r="QG343" s="141"/>
      <c r="QH343" s="141"/>
      <c r="QI343" s="141"/>
      <c r="QJ343" s="141"/>
      <c r="QK343" s="141"/>
      <c r="QL343" s="141"/>
      <c r="QM343" s="141"/>
      <c r="QN343" s="141"/>
      <c r="QO343" s="141"/>
      <c r="QP343" s="141"/>
      <c r="QQ343" s="141"/>
      <c r="QR343" s="141"/>
      <c r="QS343" s="141"/>
      <c r="QT343" s="141"/>
      <c r="QU343" s="141"/>
      <c r="QV343" s="141"/>
      <c r="QW343" s="141"/>
      <c r="QX343" s="141"/>
      <c r="QY343" s="141"/>
      <c r="QZ343" s="141"/>
      <c r="RA343" s="141"/>
      <c r="RB343" s="141"/>
      <c r="RC343" s="141"/>
      <c r="RD343" s="141"/>
      <c r="RE343" s="141"/>
      <c r="RF343" s="141"/>
      <c r="RG343" s="141"/>
      <c r="RH343" s="141"/>
      <c r="RI343" s="141"/>
      <c r="RJ343" s="141"/>
      <c r="RK343" s="141"/>
      <c r="RL343" s="141"/>
      <c r="RM343" s="141"/>
      <c r="RN343" s="141"/>
      <c r="RO343" s="141"/>
      <c r="RP343" s="141"/>
      <c r="RQ343" s="141"/>
      <c r="RR343" s="141"/>
      <c r="RS343" s="141"/>
      <c r="RT343" s="141"/>
      <c r="RU343" s="141"/>
      <c r="RV343" s="141"/>
      <c r="RW343" s="141"/>
      <c r="RX343" s="141"/>
      <c r="RY343" s="141"/>
      <c r="RZ343" s="141"/>
      <c r="SA343" s="141"/>
      <c r="SB343" s="141"/>
      <c r="SC343" s="141"/>
      <c r="SD343" s="141"/>
      <c r="SE343" s="141"/>
      <c r="SF343" s="141"/>
      <c r="SG343" s="141"/>
      <c r="SH343" s="141"/>
      <c r="SI343" s="141"/>
      <c r="SJ343" s="141"/>
      <c r="SK343" s="141"/>
      <c r="SL343" s="141"/>
      <c r="SM343" s="141"/>
      <c r="SN343" s="141"/>
      <c r="SO343" s="141"/>
      <c r="SP343" s="141"/>
      <c r="SQ343" s="141"/>
      <c r="SR343" s="141"/>
      <c r="SS343" s="141"/>
      <c r="ST343" s="141"/>
      <c r="SU343" s="141"/>
      <c r="SV343" s="141"/>
      <c r="SW343" s="141"/>
      <c r="SX343" s="141"/>
      <c r="SY343" s="141"/>
      <c r="SZ343" s="141"/>
      <c r="TA343" s="141"/>
      <c r="TB343" s="141"/>
      <c r="TC343" s="141"/>
      <c r="TD343" s="141"/>
      <c r="TE343" s="141"/>
      <c r="TF343" s="141"/>
      <c r="TG343" s="141"/>
    </row>
    <row r="344" spans="1:527" s="28" customFormat="1" ht="18.75" customHeigh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2"/>
    </row>
    <row r="345" spans="1:527" s="133" customFormat="1" ht="41.25" customHeight="1" x14ac:dyDescent="0.45">
      <c r="A345" s="131" t="s">
        <v>632</v>
      </c>
      <c r="B345" s="131"/>
      <c r="C345" s="131"/>
      <c r="D345" s="131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</row>
    <row r="346" spans="1:527" s="125" customFormat="1" ht="39.75" customHeight="1" x14ac:dyDescent="0.4">
      <c r="A346" s="157" t="s">
        <v>623</v>
      </c>
      <c r="B346" s="157"/>
      <c r="C346" s="157"/>
      <c r="D346" s="157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1:527" s="28" customFormat="1" ht="21.75" customHeigh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</row>
    <row r="348" spans="1:527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149"/>
      <c r="P348" s="47"/>
    </row>
    <row r="349" spans="1:527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</row>
    <row r="350" spans="1:527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</row>
    <row r="351" spans="1:527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2"/>
    </row>
    <row r="352" spans="1:527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2"/>
    </row>
    <row r="353" spans="1:1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2"/>
    </row>
    <row r="354" spans="1:1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2"/>
    </row>
    <row r="355" spans="1:1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2"/>
    </row>
    <row r="356" spans="1:1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2"/>
    </row>
    <row r="357" spans="1:1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2"/>
    </row>
    <row r="358" spans="1:1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2"/>
    </row>
    <row r="359" spans="1:1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2"/>
    </row>
    <row r="360" spans="1:1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2"/>
    </row>
    <row r="361" spans="1:1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2"/>
    </row>
    <row r="362" spans="1:1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2"/>
    </row>
    <row r="363" spans="1:1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2"/>
    </row>
    <row r="364" spans="1:1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2"/>
    </row>
    <row r="365" spans="1:1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2"/>
    </row>
    <row r="366" spans="1:1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2"/>
    </row>
    <row r="367" spans="1:1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2"/>
    </row>
    <row r="368" spans="1:1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2"/>
    </row>
    <row r="369" spans="1:1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2"/>
    </row>
    <row r="370" spans="1:1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2"/>
    </row>
    <row r="371" spans="1:1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2"/>
    </row>
    <row r="372" spans="1:1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2"/>
    </row>
    <row r="373" spans="1:1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2"/>
    </row>
    <row r="374" spans="1:1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2"/>
    </row>
    <row r="375" spans="1:1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2"/>
    </row>
    <row r="376" spans="1:1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2"/>
    </row>
    <row r="377" spans="1:1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2"/>
    </row>
    <row r="378" spans="1:1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2"/>
    </row>
    <row r="379" spans="1:1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2"/>
    </row>
    <row r="380" spans="1:1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2"/>
    </row>
    <row r="381" spans="1:1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2"/>
    </row>
    <row r="382" spans="1:1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2"/>
    </row>
    <row r="383" spans="1:1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2"/>
    </row>
    <row r="384" spans="1:1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2"/>
    </row>
    <row r="385" spans="1:1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2"/>
    </row>
    <row r="386" spans="1:1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2"/>
    </row>
    <row r="387" spans="1:1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2"/>
    </row>
    <row r="388" spans="1:1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2"/>
    </row>
    <row r="389" spans="1:1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2"/>
    </row>
    <row r="390" spans="1:1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2"/>
    </row>
    <row r="391" spans="1:1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2"/>
    </row>
    <row r="392" spans="1:1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2"/>
    </row>
    <row r="393" spans="1:1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2"/>
    </row>
    <row r="394" spans="1:1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2"/>
    </row>
    <row r="395" spans="1:1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2"/>
    </row>
    <row r="396" spans="1:1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2"/>
    </row>
    <row r="397" spans="1:1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2"/>
    </row>
    <row r="398" spans="1:1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2"/>
    </row>
    <row r="399" spans="1:1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2"/>
    </row>
    <row r="400" spans="1:1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2"/>
    </row>
    <row r="401" spans="1:1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2"/>
    </row>
    <row r="402" spans="1:1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2"/>
    </row>
    <row r="403" spans="1:1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2"/>
    </row>
    <row r="404" spans="1:1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2"/>
    </row>
    <row r="405" spans="1:1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2"/>
    </row>
    <row r="406" spans="1:1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2"/>
    </row>
    <row r="407" spans="1:1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2"/>
    </row>
    <row r="408" spans="1:1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2"/>
    </row>
    <row r="409" spans="1:1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2"/>
    </row>
    <row r="410" spans="1:1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2"/>
    </row>
    <row r="411" spans="1:1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2"/>
    </row>
    <row r="412" spans="1:1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2"/>
    </row>
    <row r="413" spans="1:1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2"/>
    </row>
    <row r="414" spans="1:1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2"/>
    </row>
    <row r="415" spans="1:1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2"/>
    </row>
    <row r="416" spans="1:1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2"/>
    </row>
    <row r="417" spans="1:1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2"/>
    </row>
    <row r="418" spans="1:1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2"/>
    </row>
    <row r="419" spans="1:1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2"/>
    </row>
    <row r="420" spans="1:1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2"/>
    </row>
    <row r="421" spans="1:1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2"/>
    </row>
    <row r="422" spans="1:1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2"/>
    </row>
    <row r="423" spans="1:1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2"/>
    </row>
    <row r="424" spans="1:1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2"/>
    </row>
    <row r="425" spans="1:1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2"/>
    </row>
    <row r="426" spans="1:1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2"/>
    </row>
    <row r="427" spans="1:1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2"/>
    </row>
    <row r="428" spans="1:1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2"/>
    </row>
    <row r="429" spans="1:1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2"/>
    </row>
    <row r="430" spans="1:1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2"/>
    </row>
    <row r="431" spans="1:1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2"/>
    </row>
    <row r="432" spans="1:1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2"/>
    </row>
    <row r="433" spans="1:1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2"/>
    </row>
    <row r="434" spans="1:1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2"/>
    </row>
    <row r="435" spans="1:1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2"/>
    </row>
    <row r="436" spans="1:1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2"/>
    </row>
    <row r="437" spans="1:1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2"/>
    </row>
    <row r="438" spans="1:1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2"/>
    </row>
    <row r="439" spans="1:1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2"/>
    </row>
    <row r="440" spans="1:1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2"/>
    </row>
    <row r="441" spans="1:1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2"/>
    </row>
    <row r="442" spans="1:1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2"/>
    </row>
    <row r="443" spans="1:1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2"/>
    </row>
    <row r="444" spans="1:1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2"/>
    </row>
    <row r="445" spans="1:1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2"/>
    </row>
    <row r="446" spans="1:1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2"/>
    </row>
    <row r="447" spans="1:1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2"/>
    </row>
    <row r="448" spans="1:1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2"/>
    </row>
    <row r="449" spans="1:1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2"/>
    </row>
    <row r="450" spans="1:1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2"/>
    </row>
    <row r="451" spans="1:1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2"/>
    </row>
    <row r="452" spans="1:1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2"/>
    </row>
    <row r="453" spans="1:1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2"/>
    </row>
    <row r="454" spans="1:1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2"/>
    </row>
    <row r="455" spans="1:1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2"/>
    </row>
    <row r="456" spans="1:1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2"/>
    </row>
    <row r="457" spans="1:1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2"/>
    </row>
    <row r="458" spans="1:1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2"/>
    </row>
    <row r="459" spans="1:1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2"/>
    </row>
    <row r="460" spans="1:1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2"/>
    </row>
    <row r="461" spans="1:1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2"/>
    </row>
    <row r="462" spans="1:1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2"/>
    </row>
    <row r="463" spans="1:1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2"/>
    </row>
    <row r="464" spans="1:1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2"/>
    </row>
    <row r="465" spans="1:1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2"/>
    </row>
    <row r="466" spans="1:1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2"/>
    </row>
    <row r="467" spans="1:1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2"/>
    </row>
    <row r="468" spans="1:1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2"/>
    </row>
    <row r="469" spans="1:1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2"/>
    </row>
    <row r="470" spans="1:1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2"/>
    </row>
    <row r="471" spans="1:1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2"/>
    </row>
    <row r="472" spans="1:1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2"/>
    </row>
    <row r="473" spans="1:1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2"/>
    </row>
    <row r="474" spans="1:1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2"/>
    </row>
    <row r="475" spans="1:1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2"/>
    </row>
    <row r="476" spans="1:1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2"/>
    </row>
    <row r="477" spans="1:1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2"/>
    </row>
    <row r="478" spans="1:1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2"/>
    </row>
    <row r="479" spans="1:1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2"/>
    </row>
    <row r="480" spans="1:1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2"/>
    </row>
    <row r="481" spans="1:1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2"/>
    </row>
    <row r="482" spans="1:1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2"/>
    </row>
    <row r="483" spans="1:1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2"/>
    </row>
    <row r="484" spans="1:1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2"/>
    </row>
    <row r="485" spans="1:1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2"/>
    </row>
    <row r="486" spans="1:1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2"/>
    </row>
    <row r="487" spans="1:1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2"/>
    </row>
    <row r="488" spans="1:1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2"/>
    </row>
    <row r="489" spans="1:1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2"/>
    </row>
    <row r="490" spans="1:1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2"/>
    </row>
    <row r="491" spans="1:1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2"/>
    </row>
    <row r="492" spans="1:1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2"/>
    </row>
    <row r="493" spans="1:1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2"/>
    </row>
    <row r="494" spans="1:1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2"/>
    </row>
    <row r="495" spans="1:1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2"/>
    </row>
    <row r="496" spans="1:1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2"/>
    </row>
    <row r="497" spans="1:1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2"/>
    </row>
    <row r="498" spans="1:1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2"/>
    </row>
    <row r="499" spans="1:1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2"/>
    </row>
    <row r="500" spans="1:1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2"/>
    </row>
    <row r="501" spans="1:1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2"/>
    </row>
    <row r="502" spans="1:1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2"/>
    </row>
    <row r="503" spans="1:1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2"/>
    </row>
    <row r="504" spans="1:1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2"/>
    </row>
    <row r="505" spans="1:1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2"/>
    </row>
    <row r="506" spans="1:1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2"/>
    </row>
    <row r="507" spans="1:1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2"/>
    </row>
    <row r="508" spans="1:1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2"/>
    </row>
    <row r="509" spans="1:1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2"/>
    </row>
    <row r="510" spans="1:1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2"/>
    </row>
    <row r="511" spans="1:1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2"/>
    </row>
    <row r="512" spans="1:1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2"/>
    </row>
    <row r="513" spans="1:1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2"/>
    </row>
    <row r="514" spans="1:1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2"/>
    </row>
    <row r="515" spans="1:1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2"/>
    </row>
    <row r="516" spans="1:1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2"/>
    </row>
    <row r="517" spans="1:1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2"/>
    </row>
    <row r="518" spans="1:1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2"/>
    </row>
    <row r="519" spans="1:1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2"/>
    </row>
    <row r="520" spans="1:1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2"/>
    </row>
    <row r="521" spans="1:1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2"/>
    </row>
    <row r="522" spans="1:1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2"/>
    </row>
    <row r="523" spans="1:1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2"/>
    </row>
    <row r="524" spans="1:1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2"/>
    </row>
    <row r="525" spans="1:1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2"/>
    </row>
    <row r="526" spans="1:1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2"/>
    </row>
    <row r="527" spans="1:1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2"/>
    </row>
    <row r="528" spans="1:1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2"/>
    </row>
    <row r="529" spans="1:1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2"/>
    </row>
    <row r="530" spans="1:1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2"/>
    </row>
    <row r="531" spans="1:1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2"/>
    </row>
    <row r="532" spans="1:1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2"/>
    </row>
    <row r="533" spans="1:1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2"/>
    </row>
    <row r="534" spans="1:1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2"/>
    </row>
    <row r="535" spans="1:1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2"/>
    </row>
    <row r="536" spans="1:1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2"/>
    </row>
    <row r="537" spans="1:1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2"/>
    </row>
    <row r="538" spans="1:1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2"/>
    </row>
    <row r="539" spans="1:1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2"/>
    </row>
    <row r="540" spans="1:1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2"/>
    </row>
    <row r="541" spans="1:1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2"/>
    </row>
    <row r="542" spans="1:1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2"/>
    </row>
    <row r="543" spans="1:1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2"/>
    </row>
    <row r="544" spans="1:1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2"/>
    </row>
    <row r="545" spans="1:1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2"/>
    </row>
    <row r="546" spans="1:1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2"/>
    </row>
    <row r="547" spans="1:1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2"/>
    </row>
    <row r="548" spans="1:1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2"/>
    </row>
    <row r="549" spans="1:1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2"/>
    </row>
    <row r="550" spans="1:1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2"/>
    </row>
    <row r="551" spans="1:1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2"/>
    </row>
    <row r="552" spans="1:1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2"/>
    </row>
    <row r="553" spans="1:1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2"/>
    </row>
    <row r="554" spans="1:1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2"/>
    </row>
    <row r="555" spans="1:1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2"/>
    </row>
    <row r="556" spans="1:1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2"/>
    </row>
    <row r="557" spans="1:1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2"/>
    </row>
    <row r="558" spans="1:1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2"/>
    </row>
    <row r="559" spans="1:1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2"/>
    </row>
    <row r="560" spans="1:1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2"/>
    </row>
    <row r="561" spans="1:1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2"/>
    </row>
    <row r="562" spans="1:1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2"/>
    </row>
    <row r="563" spans="1:1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2"/>
    </row>
    <row r="564" spans="1:1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2"/>
    </row>
    <row r="565" spans="1:1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2"/>
    </row>
    <row r="566" spans="1:1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2"/>
    </row>
    <row r="567" spans="1:1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2"/>
    </row>
    <row r="568" spans="1:1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2"/>
    </row>
    <row r="569" spans="1:1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2"/>
    </row>
    <row r="570" spans="1:1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2"/>
    </row>
    <row r="571" spans="1:1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2"/>
    </row>
    <row r="572" spans="1:1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2"/>
    </row>
    <row r="573" spans="1:1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2"/>
    </row>
    <row r="574" spans="1:1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2"/>
    </row>
    <row r="575" spans="1:1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2"/>
    </row>
    <row r="576" spans="1:1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2"/>
    </row>
    <row r="577" spans="1:1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2"/>
    </row>
    <row r="578" spans="1:1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2"/>
    </row>
    <row r="579" spans="1:1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2"/>
    </row>
    <row r="580" spans="1:1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2"/>
    </row>
    <row r="581" spans="1:1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2"/>
    </row>
    <row r="582" spans="1:1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2"/>
    </row>
    <row r="583" spans="1:1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2"/>
    </row>
    <row r="584" spans="1:1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2"/>
    </row>
    <row r="585" spans="1:1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2"/>
    </row>
    <row r="586" spans="1:1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2"/>
    </row>
    <row r="587" spans="1:1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2"/>
    </row>
    <row r="588" spans="1:1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2"/>
    </row>
    <row r="589" spans="1:1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2"/>
    </row>
    <row r="590" spans="1:1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2"/>
    </row>
    <row r="591" spans="1:1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2"/>
    </row>
    <row r="592" spans="1:1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2"/>
    </row>
    <row r="593" spans="1:1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2"/>
    </row>
    <row r="594" spans="1:1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2"/>
    </row>
    <row r="595" spans="1:1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2"/>
    </row>
    <row r="596" spans="1:1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2"/>
    </row>
    <row r="597" spans="1:1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2"/>
    </row>
    <row r="598" spans="1:1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2"/>
    </row>
    <row r="599" spans="1:1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2"/>
    </row>
    <row r="600" spans="1:1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2"/>
    </row>
    <row r="601" spans="1:1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2"/>
    </row>
    <row r="602" spans="1:1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2"/>
    </row>
    <row r="603" spans="1:1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2"/>
    </row>
    <row r="604" spans="1:1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2"/>
    </row>
    <row r="605" spans="1:1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2"/>
    </row>
    <row r="606" spans="1:1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2"/>
    </row>
    <row r="607" spans="1:1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2"/>
    </row>
    <row r="608" spans="1:1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2"/>
    </row>
    <row r="609" spans="1:1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2"/>
    </row>
    <row r="610" spans="1:1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2"/>
    </row>
    <row r="611" spans="1:1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2"/>
    </row>
    <row r="612" spans="1:1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2"/>
    </row>
    <row r="613" spans="1:1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2"/>
    </row>
    <row r="614" spans="1:1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2"/>
    </row>
    <row r="615" spans="1:1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2"/>
    </row>
    <row r="616" spans="1:1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2"/>
    </row>
    <row r="617" spans="1:1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2"/>
    </row>
    <row r="618" spans="1:1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2"/>
    </row>
    <row r="619" spans="1:1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2"/>
    </row>
    <row r="620" spans="1:1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2"/>
    </row>
    <row r="621" spans="1:1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2"/>
    </row>
    <row r="622" spans="1:1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2"/>
    </row>
    <row r="623" spans="1:1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2"/>
    </row>
    <row r="624" spans="1:1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2"/>
    </row>
    <row r="625" spans="1:1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2"/>
    </row>
    <row r="626" spans="1:1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2"/>
    </row>
    <row r="627" spans="1:1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2"/>
    </row>
    <row r="628" spans="1:1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2"/>
    </row>
    <row r="629" spans="1:1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2"/>
    </row>
    <row r="630" spans="1:1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2"/>
    </row>
    <row r="631" spans="1:1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2"/>
    </row>
    <row r="632" spans="1:1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2"/>
    </row>
    <row r="633" spans="1:1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2"/>
    </row>
    <row r="634" spans="1:1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2"/>
    </row>
    <row r="635" spans="1:1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2"/>
    </row>
    <row r="636" spans="1:1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2"/>
    </row>
    <row r="637" spans="1:1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2"/>
    </row>
    <row r="638" spans="1:1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2"/>
    </row>
    <row r="639" spans="1:1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2"/>
    </row>
    <row r="640" spans="1:1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2"/>
    </row>
    <row r="641" spans="1:1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2"/>
    </row>
    <row r="642" spans="1:1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2"/>
    </row>
    <row r="643" spans="1:1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2"/>
    </row>
    <row r="644" spans="1:1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2"/>
    </row>
    <row r="645" spans="1:1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2"/>
    </row>
    <row r="646" spans="1:1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2"/>
    </row>
    <row r="647" spans="1:1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2"/>
    </row>
    <row r="648" spans="1:1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2"/>
    </row>
    <row r="649" spans="1:1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2"/>
    </row>
    <row r="650" spans="1:1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2"/>
    </row>
    <row r="651" spans="1:1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2"/>
    </row>
    <row r="652" spans="1:1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2"/>
    </row>
    <row r="653" spans="1:1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2"/>
    </row>
    <row r="654" spans="1:1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2"/>
    </row>
    <row r="655" spans="1:1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2"/>
    </row>
    <row r="656" spans="1:1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2"/>
    </row>
    <row r="657" spans="1:1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2"/>
    </row>
    <row r="658" spans="1:1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2"/>
    </row>
    <row r="659" spans="1:1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2"/>
    </row>
    <row r="660" spans="1:1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2"/>
    </row>
    <row r="661" spans="1:1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2"/>
    </row>
    <row r="662" spans="1:1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2"/>
    </row>
    <row r="663" spans="1:1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2"/>
    </row>
    <row r="664" spans="1:1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2"/>
    </row>
    <row r="665" spans="1:1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2"/>
    </row>
    <row r="666" spans="1:1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2"/>
    </row>
    <row r="667" spans="1:1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2"/>
    </row>
    <row r="668" spans="1:1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2"/>
    </row>
    <row r="669" spans="1:1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2"/>
    </row>
    <row r="670" spans="1:1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2"/>
    </row>
    <row r="671" spans="1:1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2"/>
    </row>
    <row r="672" spans="1:1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2"/>
    </row>
    <row r="673" spans="1:1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2"/>
    </row>
    <row r="674" spans="1:1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2"/>
    </row>
    <row r="675" spans="1:1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2"/>
    </row>
    <row r="676" spans="1:1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2"/>
    </row>
    <row r="677" spans="1:1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2"/>
    </row>
    <row r="678" spans="1:1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2"/>
    </row>
    <row r="679" spans="1:1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2"/>
    </row>
    <row r="680" spans="1:1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2"/>
    </row>
    <row r="681" spans="1:1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2"/>
    </row>
    <row r="682" spans="1:1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2"/>
    </row>
    <row r="683" spans="1:1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2"/>
    </row>
    <row r="684" spans="1:1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2"/>
    </row>
    <row r="685" spans="1:1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2"/>
    </row>
    <row r="686" spans="1:1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2"/>
    </row>
    <row r="687" spans="1:1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2"/>
    </row>
    <row r="688" spans="1:1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2"/>
    </row>
    <row r="689" spans="1:1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2"/>
    </row>
    <row r="690" spans="1:1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2"/>
    </row>
    <row r="691" spans="1:1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2"/>
    </row>
    <row r="692" spans="1:1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2"/>
    </row>
    <row r="693" spans="1:1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2"/>
    </row>
    <row r="694" spans="1:1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2"/>
    </row>
    <row r="695" spans="1:1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2"/>
    </row>
    <row r="696" spans="1:1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2"/>
    </row>
    <row r="697" spans="1:1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2"/>
    </row>
    <row r="698" spans="1:1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2"/>
    </row>
    <row r="699" spans="1:1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2"/>
    </row>
    <row r="700" spans="1:1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2"/>
    </row>
    <row r="701" spans="1:1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2"/>
    </row>
    <row r="702" spans="1:1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2"/>
    </row>
    <row r="703" spans="1:1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2"/>
    </row>
    <row r="704" spans="1:1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2"/>
    </row>
    <row r="705" spans="1:1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2"/>
    </row>
    <row r="706" spans="1:1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2"/>
    </row>
    <row r="707" spans="1:1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2"/>
    </row>
    <row r="708" spans="1:1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2"/>
    </row>
    <row r="709" spans="1:1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2"/>
    </row>
    <row r="710" spans="1:1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2"/>
    </row>
    <row r="711" spans="1:1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2"/>
    </row>
    <row r="712" spans="1:1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2"/>
    </row>
    <row r="713" spans="1:1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2"/>
    </row>
    <row r="714" spans="1:1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2"/>
    </row>
    <row r="715" spans="1:1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2"/>
    </row>
    <row r="716" spans="1:1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2"/>
    </row>
    <row r="717" spans="1:1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2"/>
    </row>
    <row r="718" spans="1:1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2"/>
    </row>
    <row r="719" spans="1:1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2"/>
    </row>
    <row r="720" spans="1:1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2"/>
    </row>
    <row r="721" spans="1:1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2"/>
    </row>
    <row r="722" spans="1:1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2"/>
    </row>
    <row r="723" spans="1:1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2"/>
    </row>
    <row r="724" spans="1:1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2"/>
    </row>
    <row r="725" spans="1:1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2"/>
    </row>
    <row r="726" spans="1:1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2"/>
    </row>
    <row r="727" spans="1:1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2"/>
    </row>
    <row r="728" spans="1:1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2"/>
    </row>
    <row r="729" spans="1:1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2"/>
    </row>
    <row r="730" spans="1:1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2"/>
    </row>
    <row r="731" spans="1:1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2"/>
    </row>
    <row r="732" spans="1:1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2"/>
    </row>
    <row r="733" spans="1:1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2"/>
    </row>
    <row r="734" spans="1:1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2"/>
    </row>
    <row r="735" spans="1:1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2"/>
    </row>
    <row r="736" spans="1:1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2"/>
    </row>
    <row r="737" spans="1:1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2"/>
    </row>
    <row r="738" spans="1:1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2"/>
    </row>
    <row r="739" spans="1:1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2"/>
    </row>
    <row r="740" spans="1:1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2"/>
    </row>
    <row r="741" spans="1:1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2"/>
    </row>
    <row r="742" spans="1:1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2"/>
    </row>
    <row r="743" spans="1:1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2"/>
    </row>
    <row r="744" spans="1:1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2"/>
    </row>
    <row r="745" spans="1:1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2"/>
    </row>
    <row r="746" spans="1:1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2"/>
    </row>
    <row r="747" spans="1:1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2"/>
    </row>
    <row r="748" spans="1:1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2"/>
    </row>
    <row r="749" spans="1:1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2"/>
    </row>
    <row r="750" spans="1:1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2"/>
    </row>
    <row r="751" spans="1:1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2"/>
    </row>
    <row r="752" spans="1:1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2"/>
    </row>
    <row r="753" spans="1:1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2"/>
    </row>
    <row r="754" spans="1:1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2"/>
    </row>
    <row r="755" spans="1:1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2"/>
    </row>
    <row r="756" spans="1:1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2"/>
    </row>
    <row r="757" spans="1:1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2"/>
    </row>
    <row r="758" spans="1:1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2"/>
    </row>
    <row r="759" spans="1:1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2"/>
    </row>
    <row r="760" spans="1:1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2"/>
    </row>
    <row r="761" spans="1:1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2"/>
    </row>
    <row r="762" spans="1:1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2"/>
    </row>
    <row r="763" spans="1:1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2"/>
    </row>
    <row r="764" spans="1:1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2"/>
    </row>
    <row r="765" spans="1:1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2"/>
    </row>
    <row r="766" spans="1:1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2"/>
    </row>
    <row r="767" spans="1:1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2"/>
    </row>
    <row r="768" spans="1:1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2"/>
    </row>
    <row r="769" spans="1:1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2"/>
    </row>
    <row r="770" spans="1:1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2"/>
    </row>
    <row r="771" spans="1:1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2"/>
    </row>
    <row r="772" spans="1:1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2"/>
    </row>
    <row r="773" spans="1:1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2"/>
    </row>
    <row r="774" spans="1:1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2"/>
    </row>
    <row r="775" spans="1:1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2"/>
    </row>
    <row r="776" spans="1:1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2"/>
    </row>
    <row r="777" spans="1:1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2"/>
    </row>
    <row r="778" spans="1:1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2"/>
    </row>
    <row r="779" spans="1:1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2"/>
    </row>
    <row r="780" spans="1:1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2"/>
    </row>
    <row r="781" spans="1:1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2"/>
    </row>
    <row r="782" spans="1:1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2"/>
    </row>
    <row r="783" spans="1:1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2"/>
    </row>
    <row r="784" spans="1:1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2"/>
    </row>
    <row r="785" spans="1:1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2"/>
    </row>
    <row r="786" spans="1:1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2"/>
    </row>
    <row r="787" spans="1:1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2"/>
    </row>
    <row r="788" spans="1:1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2"/>
    </row>
    <row r="789" spans="1:1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2"/>
    </row>
    <row r="790" spans="1:1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2"/>
    </row>
    <row r="791" spans="1:1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2"/>
    </row>
    <row r="792" spans="1:1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2"/>
    </row>
    <row r="793" spans="1:1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2"/>
    </row>
    <row r="794" spans="1:1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2"/>
    </row>
    <row r="795" spans="1:1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2"/>
    </row>
    <row r="796" spans="1:1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2"/>
    </row>
    <row r="797" spans="1:1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2"/>
    </row>
    <row r="798" spans="1:1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2"/>
    </row>
    <row r="799" spans="1:1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2"/>
    </row>
    <row r="800" spans="1:1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2"/>
    </row>
    <row r="801" spans="1:1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2"/>
    </row>
    <row r="802" spans="1:1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2"/>
    </row>
    <row r="803" spans="1:1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2"/>
    </row>
    <row r="804" spans="1:1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2"/>
    </row>
    <row r="805" spans="1:1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2"/>
    </row>
    <row r="806" spans="1:1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2"/>
    </row>
    <row r="807" spans="1:1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2"/>
    </row>
    <row r="808" spans="1:1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2"/>
    </row>
    <row r="809" spans="1:1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2"/>
    </row>
    <row r="810" spans="1:1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2"/>
    </row>
    <row r="811" spans="1:1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2"/>
    </row>
    <row r="812" spans="1:1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2"/>
    </row>
    <row r="813" spans="1:1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2"/>
    </row>
    <row r="814" spans="1:1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2"/>
    </row>
    <row r="815" spans="1:1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2"/>
    </row>
    <row r="816" spans="1:1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2"/>
    </row>
    <row r="817" spans="1:1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2"/>
    </row>
    <row r="818" spans="1:1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2"/>
    </row>
    <row r="819" spans="1:1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2"/>
    </row>
    <row r="820" spans="1:1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2"/>
    </row>
    <row r="821" spans="1:1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2"/>
    </row>
    <row r="822" spans="1:1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2"/>
    </row>
    <row r="823" spans="1:1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2"/>
    </row>
    <row r="824" spans="1:1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2"/>
    </row>
    <row r="825" spans="1:1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2"/>
    </row>
    <row r="826" spans="1:1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2"/>
    </row>
    <row r="827" spans="1:1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2"/>
    </row>
    <row r="828" spans="1:1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2"/>
    </row>
    <row r="829" spans="1:1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2"/>
    </row>
    <row r="830" spans="1:1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2"/>
    </row>
    <row r="831" spans="1:1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2"/>
    </row>
    <row r="832" spans="1:1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2"/>
    </row>
    <row r="833" spans="1:1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2"/>
    </row>
    <row r="834" spans="1:1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2"/>
    </row>
    <row r="835" spans="1:1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2"/>
    </row>
    <row r="836" spans="1:1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2"/>
    </row>
    <row r="837" spans="1:1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2"/>
    </row>
    <row r="838" spans="1:1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2"/>
    </row>
    <row r="839" spans="1:1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2"/>
    </row>
    <row r="840" spans="1:1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2"/>
    </row>
    <row r="841" spans="1:1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2"/>
    </row>
    <row r="842" spans="1:1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2"/>
    </row>
    <row r="843" spans="1:1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2"/>
    </row>
    <row r="844" spans="1:1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2"/>
    </row>
    <row r="845" spans="1:1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2"/>
    </row>
    <row r="846" spans="1:1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2"/>
    </row>
    <row r="847" spans="1:1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2"/>
    </row>
    <row r="848" spans="1:1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2"/>
    </row>
    <row r="849" spans="1:1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2"/>
    </row>
    <row r="850" spans="1:1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2"/>
    </row>
    <row r="851" spans="1:1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2"/>
    </row>
    <row r="852" spans="1:1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2"/>
    </row>
    <row r="853" spans="1:1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2"/>
    </row>
    <row r="854" spans="1:1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2"/>
    </row>
    <row r="855" spans="1:1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2"/>
    </row>
    <row r="856" spans="1:1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2"/>
    </row>
    <row r="857" spans="1:1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2"/>
    </row>
    <row r="858" spans="1:1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2"/>
    </row>
    <row r="859" spans="1:1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2"/>
    </row>
    <row r="860" spans="1:1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2"/>
    </row>
    <row r="861" spans="1:1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2"/>
    </row>
    <row r="862" spans="1:1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2"/>
    </row>
    <row r="863" spans="1:1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2"/>
    </row>
    <row r="864" spans="1:1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2"/>
    </row>
    <row r="865" spans="1:1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2"/>
    </row>
    <row r="866" spans="1:1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2"/>
    </row>
    <row r="867" spans="1:1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2"/>
    </row>
    <row r="868" spans="1:1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2"/>
    </row>
    <row r="869" spans="1:1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2"/>
    </row>
    <row r="870" spans="1:1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2"/>
    </row>
    <row r="871" spans="1:1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2"/>
    </row>
    <row r="872" spans="1:1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2"/>
    </row>
    <row r="873" spans="1:1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2"/>
    </row>
    <row r="874" spans="1:1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2"/>
    </row>
    <row r="875" spans="1:1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2"/>
    </row>
    <row r="876" spans="1:1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2"/>
    </row>
    <row r="877" spans="1:1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2"/>
    </row>
    <row r="878" spans="1:1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2"/>
    </row>
    <row r="879" spans="1:1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2"/>
    </row>
    <row r="880" spans="1:1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2"/>
    </row>
    <row r="881" spans="1:1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2"/>
    </row>
    <row r="882" spans="1:1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2"/>
    </row>
    <row r="883" spans="1:1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2"/>
    </row>
    <row r="884" spans="1:1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2"/>
    </row>
    <row r="885" spans="1:1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2"/>
    </row>
    <row r="886" spans="1:1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2"/>
    </row>
    <row r="887" spans="1:1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2"/>
    </row>
    <row r="888" spans="1:1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2"/>
    </row>
    <row r="889" spans="1:1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2"/>
    </row>
    <row r="890" spans="1:1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2"/>
    </row>
    <row r="891" spans="1:1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2"/>
    </row>
    <row r="892" spans="1:1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2"/>
    </row>
    <row r="893" spans="1:1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2"/>
    </row>
    <row r="894" spans="1:1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2"/>
    </row>
    <row r="895" spans="1:1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2"/>
    </row>
    <row r="896" spans="1:1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2"/>
    </row>
    <row r="897" spans="1:1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2"/>
    </row>
    <row r="898" spans="1:1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2"/>
    </row>
    <row r="899" spans="1:1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2"/>
    </row>
    <row r="900" spans="1:1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2"/>
    </row>
    <row r="901" spans="1:1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2"/>
    </row>
    <row r="902" spans="1:1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2"/>
    </row>
    <row r="903" spans="1:1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2"/>
    </row>
    <row r="904" spans="1:1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2"/>
    </row>
    <row r="905" spans="1:1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2"/>
    </row>
    <row r="906" spans="1:1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2"/>
    </row>
    <row r="907" spans="1:1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2"/>
    </row>
    <row r="908" spans="1:1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2"/>
    </row>
    <row r="909" spans="1:1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2"/>
    </row>
    <row r="910" spans="1:1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2"/>
    </row>
    <row r="911" spans="1:1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2"/>
    </row>
    <row r="912" spans="1:1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2"/>
    </row>
    <row r="913" spans="1:1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2"/>
    </row>
    <row r="914" spans="1:1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2"/>
    </row>
    <row r="915" spans="1:1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2"/>
    </row>
    <row r="916" spans="1:1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2"/>
    </row>
    <row r="917" spans="1:1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2"/>
    </row>
    <row r="918" spans="1:1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2"/>
    </row>
    <row r="919" spans="1:1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2"/>
    </row>
    <row r="920" spans="1:1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2"/>
    </row>
    <row r="921" spans="1:1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2"/>
    </row>
    <row r="922" spans="1:1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2"/>
    </row>
    <row r="923" spans="1:1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2"/>
    </row>
    <row r="924" spans="1:1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2"/>
    </row>
    <row r="925" spans="1:1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2"/>
    </row>
    <row r="926" spans="1:1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2"/>
    </row>
    <row r="927" spans="1:1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2"/>
    </row>
    <row r="928" spans="1:1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2"/>
    </row>
    <row r="929" spans="1:1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2"/>
    </row>
    <row r="930" spans="1:1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2"/>
    </row>
    <row r="931" spans="1:1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2"/>
    </row>
    <row r="932" spans="1:1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2"/>
    </row>
    <row r="933" spans="1:1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2"/>
    </row>
    <row r="934" spans="1:1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2"/>
    </row>
    <row r="935" spans="1:1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2"/>
    </row>
    <row r="936" spans="1:1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2"/>
    </row>
    <row r="937" spans="1:1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2"/>
    </row>
    <row r="938" spans="1:1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2"/>
    </row>
    <row r="939" spans="1:1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2"/>
    </row>
    <row r="940" spans="1:1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2"/>
    </row>
    <row r="941" spans="1:1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2"/>
    </row>
    <row r="942" spans="1:1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2"/>
    </row>
    <row r="943" spans="1:1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2"/>
    </row>
    <row r="944" spans="1:1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2"/>
    </row>
    <row r="945" spans="1:1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2"/>
    </row>
    <row r="946" spans="1:1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2"/>
    </row>
    <row r="947" spans="1:1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2"/>
    </row>
    <row r="948" spans="1:1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2"/>
    </row>
    <row r="949" spans="1:1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2"/>
    </row>
    <row r="950" spans="1:1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2"/>
    </row>
    <row r="951" spans="1:1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2"/>
    </row>
    <row r="952" spans="1:1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2"/>
    </row>
    <row r="953" spans="1:1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2"/>
    </row>
    <row r="954" spans="1:1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2"/>
    </row>
    <row r="955" spans="1:1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2"/>
    </row>
    <row r="956" spans="1:1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2"/>
    </row>
    <row r="957" spans="1:1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2"/>
    </row>
    <row r="958" spans="1:1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2"/>
    </row>
    <row r="959" spans="1:1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2"/>
    </row>
    <row r="960" spans="1:1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2"/>
    </row>
    <row r="961" spans="1:1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2"/>
    </row>
    <row r="962" spans="1:1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2"/>
    </row>
    <row r="963" spans="1:1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2"/>
    </row>
    <row r="964" spans="1:1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2"/>
    </row>
    <row r="965" spans="1:1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2"/>
    </row>
    <row r="966" spans="1:1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2"/>
    </row>
    <row r="967" spans="1:1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2"/>
    </row>
    <row r="968" spans="1:1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2"/>
    </row>
    <row r="969" spans="1:1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2"/>
    </row>
    <row r="970" spans="1:1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2"/>
    </row>
    <row r="971" spans="1:1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2"/>
    </row>
    <row r="972" spans="1:1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2"/>
    </row>
    <row r="973" spans="1:1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2"/>
    </row>
    <row r="974" spans="1:1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2"/>
    </row>
    <row r="975" spans="1:1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2"/>
    </row>
    <row r="976" spans="1:1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2"/>
    </row>
    <row r="977" spans="1:1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2"/>
    </row>
    <row r="978" spans="1:1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2"/>
    </row>
    <row r="979" spans="1:1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2"/>
    </row>
    <row r="980" spans="1:1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2"/>
    </row>
    <row r="981" spans="1:1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2"/>
    </row>
    <row r="982" spans="1:1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2"/>
    </row>
    <row r="983" spans="1:1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2"/>
    </row>
    <row r="984" spans="1:1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2"/>
    </row>
    <row r="985" spans="1:1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2"/>
    </row>
    <row r="986" spans="1:1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2"/>
    </row>
    <row r="987" spans="1:1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2"/>
    </row>
    <row r="988" spans="1:1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2"/>
    </row>
    <row r="989" spans="1:1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2"/>
    </row>
    <row r="990" spans="1:1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2"/>
    </row>
    <row r="991" spans="1:1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2"/>
    </row>
    <row r="992" spans="1:1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2"/>
    </row>
    <row r="993" spans="1:1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2"/>
    </row>
    <row r="994" spans="1:1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2"/>
    </row>
    <row r="995" spans="1:1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2"/>
    </row>
    <row r="996" spans="1:1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2"/>
    </row>
    <row r="997" spans="1:1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2"/>
    </row>
    <row r="998" spans="1:1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2"/>
    </row>
    <row r="999" spans="1:1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2"/>
    </row>
    <row r="1000" spans="1:1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2"/>
    </row>
    <row r="1001" spans="1:1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2"/>
    </row>
    <row r="1002" spans="1:1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2"/>
    </row>
    <row r="1003" spans="1:1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2"/>
    </row>
    <row r="1004" spans="1:1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2"/>
    </row>
    <row r="1005" spans="1:1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2"/>
    </row>
    <row r="1006" spans="1:1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2"/>
    </row>
    <row r="1007" spans="1:1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2"/>
    </row>
    <row r="1008" spans="1:1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2"/>
    </row>
    <row r="1009" spans="1:1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2"/>
    </row>
    <row r="1010" spans="1:1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2"/>
    </row>
    <row r="1011" spans="1:1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2"/>
    </row>
    <row r="1012" spans="1:1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2"/>
    </row>
    <row r="1013" spans="1:1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2"/>
    </row>
    <row r="1014" spans="1:1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2"/>
    </row>
    <row r="1015" spans="1:1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2"/>
    </row>
    <row r="1016" spans="1:1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2"/>
    </row>
    <row r="1017" spans="1:1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2"/>
    </row>
    <row r="1018" spans="1:1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2"/>
    </row>
    <row r="1019" spans="1:1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2"/>
    </row>
    <row r="1020" spans="1:1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2"/>
    </row>
    <row r="1021" spans="1:1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2"/>
    </row>
    <row r="1022" spans="1:1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2"/>
    </row>
    <row r="1023" spans="1:1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2"/>
    </row>
    <row r="1024" spans="1:1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2"/>
    </row>
    <row r="1025" spans="1:1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2"/>
    </row>
    <row r="1026" spans="1:1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2"/>
    </row>
    <row r="1027" spans="1:1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2"/>
    </row>
    <row r="1028" spans="1:1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2"/>
    </row>
    <row r="1029" spans="1:1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2"/>
    </row>
    <row r="1030" spans="1:1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2"/>
    </row>
    <row r="1031" spans="1:1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2"/>
    </row>
    <row r="1032" spans="1:1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2"/>
    </row>
    <row r="1033" spans="1:1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2"/>
    </row>
    <row r="1034" spans="1:1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2"/>
    </row>
    <row r="1035" spans="1:1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2"/>
    </row>
    <row r="1036" spans="1:1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2"/>
    </row>
    <row r="1037" spans="1:1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2"/>
    </row>
    <row r="1038" spans="1:1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2"/>
    </row>
    <row r="1039" spans="1:1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2"/>
    </row>
    <row r="1040" spans="1:1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2"/>
    </row>
    <row r="1041" spans="1:1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2"/>
    </row>
    <row r="1042" spans="1:1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2"/>
    </row>
    <row r="1043" spans="1:1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2"/>
    </row>
    <row r="1044" spans="1:1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2"/>
    </row>
    <row r="1045" spans="1:1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2"/>
    </row>
    <row r="1046" spans="1:1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2"/>
    </row>
    <row r="1047" spans="1:1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2"/>
    </row>
    <row r="1048" spans="1:1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2"/>
    </row>
    <row r="1049" spans="1:1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2"/>
    </row>
    <row r="1050" spans="1:1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2"/>
    </row>
    <row r="1051" spans="1:1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2"/>
    </row>
    <row r="1052" spans="1:1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2"/>
    </row>
    <row r="1053" spans="1:1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2"/>
    </row>
    <row r="1054" spans="1:1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2"/>
    </row>
    <row r="1055" spans="1:1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2"/>
    </row>
    <row r="1056" spans="1:1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2"/>
    </row>
    <row r="1057" spans="1:1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2"/>
    </row>
    <row r="1058" spans="1:1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2"/>
    </row>
    <row r="1059" spans="1:1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2"/>
    </row>
    <row r="1060" spans="1:1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2"/>
    </row>
    <row r="1061" spans="1:1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2"/>
    </row>
    <row r="1062" spans="1:1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2"/>
    </row>
    <row r="1063" spans="1:1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2"/>
    </row>
    <row r="1064" spans="1:1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2"/>
    </row>
    <row r="1065" spans="1:1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2"/>
    </row>
    <row r="1066" spans="1:1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2"/>
    </row>
    <row r="1067" spans="1:1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2"/>
    </row>
    <row r="1068" spans="1:1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2"/>
    </row>
    <row r="1069" spans="1:1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2"/>
    </row>
    <row r="1070" spans="1:1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2"/>
    </row>
    <row r="1071" spans="1:1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2"/>
    </row>
    <row r="1072" spans="1:1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2"/>
    </row>
    <row r="1073" spans="1:1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2"/>
    </row>
    <row r="1074" spans="1:1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2"/>
    </row>
    <row r="1075" spans="1:1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2"/>
    </row>
    <row r="1076" spans="1:1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2"/>
    </row>
    <row r="1077" spans="1:1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2"/>
    </row>
    <row r="1078" spans="1:1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2"/>
    </row>
    <row r="1079" spans="1:1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2"/>
    </row>
    <row r="1080" spans="1:1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2"/>
    </row>
    <row r="1081" spans="1:1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2"/>
    </row>
    <row r="1082" spans="1:1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2"/>
    </row>
    <row r="1083" spans="1:1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2"/>
    </row>
    <row r="1084" spans="1:1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2"/>
    </row>
    <row r="1085" spans="1:1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2"/>
    </row>
    <row r="1086" spans="1:1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2"/>
    </row>
    <row r="1087" spans="1:1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2"/>
    </row>
    <row r="1088" spans="1:1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2"/>
    </row>
    <row r="1089" spans="1:1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2"/>
    </row>
    <row r="1090" spans="1:1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2"/>
    </row>
    <row r="1091" spans="1:1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2"/>
    </row>
    <row r="1092" spans="1:1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2"/>
    </row>
    <row r="1093" spans="1:1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2"/>
    </row>
    <row r="1094" spans="1:1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2"/>
    </row>
    <row r="1095" spans="1:1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2"/>
    </row>
    <row r="1096" spans="1:1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2"/>
    </row>
    <row r="1097" spans="1:1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2"/>
    </row>
    <row r="1098" spans="1:1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2"/>
    </row>
    <row r="1099" spans="1:1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2"/>
    </row>
    <row r="1100" spans="1:1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2"/>
    </row>
    <row r="1101" spans="1:1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2"/>
    </row>
    <row r="1102" spans="1:1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2"/>
    </row>
    <row r="1103" spans="1:1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2"/>
    </row>
    <row r="1104" spans="1:1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2"/>
    </row>
    <row r="1105" spans="1:1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2"/>
    </row>
    <row r="1106" spans="1:1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2"/>
    </row>
    <row r="1107" spans="1:1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2"/>
    </row>
    <row r="1108" spans="1:1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2"/>
    </row>
    <row r="1109" spans="1:1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2"/>
    </row>
    <row r="1110" spans="1:1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2"/>
    </row>
    <row r="1111" spans="1:1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2"/>
    </row>
    <row r="1112" spans="1:1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2"/>
    </row>
    <row r="1113" spans="1:1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2"/>
    </row>
    <row r="1114" spans="1:1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2"/>
    </row>
    <row r="1115" spans="1:1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2"/>
    </row>
    <row r="1116" spans="1:1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2"/>
    </row>
    <row r="1117" spans="1:1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2"/>
    </row>
    <row r="1118" spans="1:1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2"/>
    </row>
    <row r="1119" spans="1:1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2"/>
    </row>
    <row r="1120" spans="1:1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2"/>
    </row>
    <row r="1121" spans="1:1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2"/>
    </row>
    <row r="1122" spans="1:1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2"/>
    </row>
    <row r="1123" spans="1:1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2"/>
    </row>
    <row r="1124" spans="1:1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2"/>
    </row>
    <row r="1125" spans="1:1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2"/>
    </row>
    <row r="1126" spans="1:1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2"/>
    </row>
    <row r="1127" spans="1:1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2"/>
    </row>
    <row r="1128" spans="1:1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2"/>
    </row>
    <row r="1129" spans="1:1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2"/>
    </row>
    <row r="1130" spans="1:1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2"/>
    </row>
    <row r="1131" spans="1:1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2"/>
    </row>
    <row r="1132" spans="1:1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2"/>
    </row>
    <row r="1133" spans="1:1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2"/>
    </row>
    <row r="1134" spans="1:1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2"/>
    </row>
    <row r="1135" spans="1:1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2"/>
    </row>
    <row r="1136" spans="1:1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2"/>
    </row>
    <row r="1137" spans="1:1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2"/>
    </row>
    <row r="1138" spans="1:1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2"/>
    </row>
    <row r="1139" spans="1:1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2"/>
    </row>
    <row r="1140" spans="1:1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2"/>
    </row>
    <row r="1141" spans="1:1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2"/>
    </row>
    <row r="1142" spans="1:1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2"/>
    </row>
    <row r="1143" spans="1:1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2"/>
    </row>
    <row r="1144" spans="1:1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2"/>
    </row>
    <row r="1145" spans="1:1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2"/>
    </row>
    <row r="1146" spans="1:1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2"/>
    </row>
    <row r="1147" spans="1:1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2"/>
    </row>
    <row r="1148" spans="1:1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2"/>
    </row>
    <row r="1149" spans="1:1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2"/>
    </row>
    <row r="1150" spans="1:1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2"/>
    </row>
    <row r="1151" spans="1:1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2"/>
    </row>
    <row r="1152" spans="1:1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2"/>
    </row>
    <row r="1153" spans="1:1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2"/>
    </row>
    <row r="1154" spans="1:1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2"/>
    </row>
    <row r="1155" spans="1:1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2"/>
    </row>
    <row r="1156" spans="1:1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2"/>
    </row>
    <row r="1157" spans="1:1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2"/>
    </row>
    <row r="1158" spans="1:1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2"/>
    </row>
    <row r="1159" spans="1:1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2"/>
    </row>
    <row r="1160" spans="1:1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2"/>
    </row>
    <row r="1161" spans="1:1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2"/>
    </row>
    <row r="1162" spans="1:1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2"/>
    </row>
    <row r="1163" spans="1:1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2"/>
    </row>
    <row r="1164" spans="1:1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2"/>
    </row>
    <row r="1165" spans="1:1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2"/>
    </row>
    <row r="1166" spans="1:1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2"/>
    </row>
    <row r="1167" spans="1:1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2"/>
    </row>
    <row r="1168" spans="1:1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2"/>
    </row>
    <row r="1169" spans="1:1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2"/>
    </row>
    <row r="1170" spans="1:1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2"/>
    </row>
    <row r="1171" spans="1:1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2"/>
    </row>
    <row r="1172" spans="1:1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2"/>
    </row>
    <row r="1173" spans="1:1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2"/>
    </row>
    <row r="1174" spans="1:1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2"/>
    </row>
    <row r="1175" spans="1:1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2"/>
    </row>
    <row r="1176" spans="1:1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2"/>
    </row>
    <row r="1177" spans="1:1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2"/>
    </row>
    <row r="1178" spans="1:1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2"/>
    </row>
    <row r="1179" spans="1:1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2"/>
    </row>
    <row r="1180" spans="1:1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2"/>
    </row>
    <row r="1181" spans="1:1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2"/>
    </row>
    <row r="1182" spans="1:1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2"/>
    </row>
    <row r="1183" spans="1:1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2"/>
    </row>
    <row r="1184" spans="1:1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2"/>
    </row>
    <row r="1185" spans="1:1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2"/>
    </row>
    <row r="1186" spans="1:1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2"/>
    </row>
    <row r="1187" spans="1:1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2"/>
    </row>
    <row r="1188" spans="1:1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2"/>
    </row>
    <row r="1189" spans="1:1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2"/>
    </row>
    <row r="1190" spans="1:1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2"/>
    </row>
    <row r="1191" spans="1:1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2"/>
    </row>
    <row r="1192" spans="1:1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2"/>
    </row>
    <row r="1193" spans="1:1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2"/>
    </row>
    <row r="1194" spans="1:1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2"/>
    </row>
    <row r="1195" spans="1:1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2"/>
    </row>
    <row r="1196" spans="1:1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2"/>
    </row>
    <row r="1197" spans="1:1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2"/>
    </row>
    <row r="1198" spans="1:1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2"/>
    </row>
    <row r="1199" spans="1:1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2"/>
    </row>
    <row r="1200" spans="1:1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2"/>
    </row>
    <row r="1201" spans="1:1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2"/>
    </row>
    <row r="1202" spans="1:1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2"/>
    </row>
    <row r="1203" spans="1:1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2"/>
    </row>
    <row r="1204" spans="1:1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2"/>
    </row>
    <row r="1205" spans="1:1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2"/>
    </row>
    <row r="1206" spans="1:1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2"/>
    </row>
    <row r="1207" spans="1:1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2"/>
    </row>
    <row r="1208" spans="1:1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2"/>
    </row>
    <row r="1209" spans="1:1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2"/>
    </row>
    <row r="1210" spans="1:1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2"/>
    </row>
    <row r="1211" spans="1:1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2"/>
    </row>
    <row r="1212" spans="1:1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2"/>
    </row>
    <row r="1213" spans="1:1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2"/>
    </row>
    <row r="1214" spans="1:1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2"/>
    </row>
    <row r="1215" spans="1:1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2"/>
    </row>
    <row r="1216" spans="1:1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2"/>
    </row>
    <row r="1217" spans="1:1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2"/>
    </row>
    <row r="1218" spans="1:1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2"/>
    </row>
    <row r="1219" spans="1:1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2"/>
    </row>
    <row r="1220" spans="1:1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2"/>
    </row>
    <row r="1221" spans="1:1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2"/>
    </row>
    <row r="1222" spans="1:1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2"/>
    </row>
    <row r="1223" spans="1:1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2"/>
    </row>
    <row r="1224" spans="1:1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2"/>
    </row>
    <row r="1225" spans="1:1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2"/>
    </row>
    <row r="1226" spans="1:1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2"/>
    </row>
    <row r="1227" spans="1:1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2"/>
    </row>
    <row r="1228" spans="1:1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2"/>
    </row>
    <row r="1229" spans="1:1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2"/>
    </row>
    <row r="1230" spans="1:1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2"/>
    </row>
    <row r="1231" spans="1:1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2"/>
    </row>
    <row r="1232" spans="1:1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2"/>
    </row>
    <row r="1233" spans="1:1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2"/>
    </row>
    <row r="1234" spans="1:1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2"/>
    </row>
    <row r="1235" spans="1:1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2"/>
    </row>
    <row r="1236" spans="1:1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2"/>
    </row>
    <row r="1237" spans="1:1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2"/>
    </row>
    <row r="1238" spans="1:1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2"/>
    </row>
    <row r="1239" spans="1:1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2"/>
    </row>
    <row r="1240" spans="1:1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2"/>
    </row>
    <row r="1241" spans="1:1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2"/>
    </row>
    <row r="1242" spans="1:1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2"/>
    </row>
    <row r="1243" spans="1:1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2"/>
    </row>
    <row r="1244" spans="1:1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2"/>
    </row>
    <row r="1245" spans="1:1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2"/>
    </row>
    <row r="1246" spans="1:1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2"/>
    </row>
    <row r="1247" spans="1:1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2"/>
    </row>
    <row r="1248" spans="1:1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2"/>
    </row>
    <row r="1249" spans="1:1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2"/>
    </row>
    <row r="1250" spans="1:1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2"/>
    </row>
    <row r="1251" spans="1:1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2"/>
    </row>
    <row r="1252" spans="1:1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2"/>
    </row>
    <row r="1253" spans="1:1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2"/>
    </row>
    <row r="1254" spans="1:1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2"/>
    </row>
    <row r="1255" spans="1:1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2"/>
    </row>
    <row r="1256" spans="1:1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2"/>
    </row>
    <row r="1257" spans="1:1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2"/>
    </row>
    <row r="1258" spans="1:1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2"/>
    </row>
    <row r="1259" spans="1:1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2"/>
    </row>
    <row r="1260" spans="1:1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2"/>
    </row>
    <row r="1261" spans="1:1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2"/>
    </row>
    <row r="1262" spans="1:1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2"/>
    </row>
    <row r="1263" spans="1:1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2"/>
    </row>
    <row r="1264" spans="1:1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2"/>
    </row>
    <row r="1265" spans="1:1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2"/>
    </row>
    <row r="1266" spans="1:1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2"/>
    </row>
    <row r="1267" spans="1:1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2"/>
    </row>
    <row r="1268" spans="1:1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2"/>
    </row>
    <row r="1269" spans="1:1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2"/>
    </row>
    <row r="1270" spans="1:1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2"/>
    </row>
    <row r="1271" spans="1:1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2"/>
    </row>
    <row r="1272" spans="1:1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2"/>
    </row>
    <row r="1273" spans="1:1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2"/>
    </row>
    <row r="1274" spans="1:1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2"/>
    </row>
    <row r="1275" spans="1:1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2"/>
    </row>
    <row r="1276" spans="1:1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2"/>
    </row>
    <row r="1277" spans="1:1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2"/>
    </row>
    <row r="1278" spans="1:1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2"/>
    </row>
    <row r="1279" spans="1:1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2"/>
    </row>
    <row r="1280" spans="1:1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2"/>
    </row>
    <row r="1281" spans="1:1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2"/>
    </row>
    <row r="1282" spans="1:1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2"/>
    </row>
    <row r="1283" spans="1:1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2"/>
    </row>
    <row r="1284" spans="1:1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2"/>
    </row>
    <row r="1285" spans="1:1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2"/>
    </row>
    <row r="1286" spans="1:1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2"/>
    </row>
    <row r="1287" spans="1:1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2"/>
    </row>
    <row r="1288" spans="1:1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2"/>
    </row>
    <row r="1289" spans="1:1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2"/>
    </row>
    <row r="1290" spans="1:1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2"/>
    </row>
    <row r="1291" spans="1:1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2"/>
    </row>
    <row r="1292" spans="1:1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2"/>
    </row>
    <row r="1293" spans="1:1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2"/>
    </row>
    <row r="1294" spans="1:1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2"/>
    </row>
    <row r="1295" spans="1:1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2"/>
    </row>
    <row r="1296" spans="1:1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2"/>
    </row>
    <row r="1297" spans="1:1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2"/>
    </row>
    <row r="1298" spans="1:1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2"/>
    </row>
    <row r="1299" spans="1:1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2"/>
    </row>
    <row r="1300" spans="1:1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2"/>
    </row>
    <row r="1301" spans="1:1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2"/>
    </row>
    <row r="1302" spans="1:1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2"/>
    </row>
    <row r="1303" spans="1:1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2"/>
    </row>
    <row r="1304" spans="1:1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2"/>
    </row>
    <row r="1305" spans="1:1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2"/>
    </row>
    <row r="1306" spans="1:1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2"/>
    </row>
    <row r="1307" spans="1:1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2"/>
    </row>
    <row r="1308" spans="1:1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2"/>
    </row>
    <row r="1309" spans="1:1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2"/>
    </row>
    <row r="1310" spans="1:1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2"/>
    </row>
    <row r="1311" spans="1:1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2"/>
    </row>
    <row r="1312" spans="1:1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2"/>
    </row>
    <row r="1313" spans="1:1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2"/>
    </row>
    <row r="1314" spans="1:1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2"/>
    </row>
    <row r="1315" spans="1:1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2"/>
    </row>
    <row r="1316" spans="1:1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2"/>
    </row>
    <row r="1317" spans="1:1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2"/>
    </row>
    <row r="1318" spans="1:1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2"/>
    </row>
    <row r="1319" spans="1:1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2"/>
    </row>
    <row r="1320" spans="1:1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2"/>
    </row>
    <row r="1321" spans="1:1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2"/>
    </row>
    <row r="1322" spans="1:1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2"/>
    </row>
    <row r="1323" spans="1:1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2"/>
    </row>
    <row r="1324" spans="1:1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2"/>
    </row>
    <row r="1325" spans="1:1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2"/>
    </row>
    <row r="1326" spans="1:1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2"/>
    </row>
    <row r="1327" spans="1:1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2"/>
    </row>
    <row r="1328" spans="1:1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2"/>
    </row>
    <row r="1329" spans="1:1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2"/>
    </row>
    <row r="1330" spans="1:1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2"/>
    </row>
    <row r="1331" spans="1:1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2"/>
    </row>
    <row r="1332" spans="1:1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2"/>
    </row>
    <row r="1333" spans="1:1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2"/>
    </row>
    <row r="1334" spans="1:1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2"/>
    </row>
    <row r="1335" spans="1:1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2"/>
    </row>
    <row r="1336" spans="1:1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2"/>
    </row>
    <row r="1337" spans="1:1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2"/>
    </row>
    <row r="1338" spans="1:1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2"/>
    </row>
    <row r="1339" spans="1:1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2"/>
    </row>
    <row r="1340" spans="1:1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2"/>
    </row>
    <row r="1341" spans="1:1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2"/>
    </row>
    <row r="1342" spans="1:1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2"/>
    </row>
    <row r="1343" spans="1:1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2"/>
    </row>
    <row r="1344" spans="1:1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2"/>
    </row>
    <row r="1345" spans="1:1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2"/>
    </row>
    <row r="1346" spans="1:1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2"/>
    </row>
    <row r="1347" spans="1:1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2"/>
    </row>
    <row r="1348" spans="1:1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2"/>
    </row>
    <row r="1349" spans="1:1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2"/>
    </row>
    <row r="1350" spans="1:1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2"/>
    </row>
    <row r="1351" spans="1:1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2"/>
    </row>
    <row r="1352" spans="1:1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2"/>
    </row>
    <row r="1353" spans="1:1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2"/>
    </row>
    <row r="1354" spans="1:1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2"/>
    </row>
    <row r="1355" spans="1:1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2"/>
    </row>
    <row r="1356" spans="1:1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2"/>
    </row>
    <row r="1357" spans="1:1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2"/>
    </row>
    <row r="1358" spans="1:1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2"/>
    </row>
    <row r="1359" spans="1:1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2"/>
    </row>
    <row r="1360" spans="1:1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2"/>
    </row>
    <row r="1361" spans="1:1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2"/>
    </row>
    <row r="1362" spans="1:1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2"/>
    </row>
    <row r="1363" spans="1:1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2"/>
    </row>
    <row r="1364" spans="1:1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2"/>
    </row>
    <row r="1365" spans="1:1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2"/>
    </row>
    <row r="1366" spans="1:1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2"/>
    </row>
    <row r="1367" spans="1:1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2"/>
    </row>
    <row r="1368" spans="1:1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2"/>
    </row>
    <row r="1369" spans="1:1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2"/>
    </row>
    <row r="1370" spans="1:1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2"/>
    </row>
    <row r="1371" spans="1:1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2"/>
    </row>
    <row r="1372" spans="1:1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2"/>
    </row>
    <row r="1373" spans="1:1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2"/>
    </row>
    <row r="1374" spans="1:1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2"/>
    </row>
    <row r="1375" spans="1:1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2"/>
    </row>
    <row r="1376" spans="1:1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2"/>
    </row>
    <row r="1377" spans="1:1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2"/>
    </row>
    <row r="1378" spans="1:1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2"/>
    </row>
    <row r="1379" spans="1:1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2"/>
    </row>
    <row r="1380" spans="1:1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2"/>
    </row>
    <row r="1381" spans="1:1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2"/>
    </row>
    <row r="1382" spans="1:1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2"/>
    </row>
    <row r="1383" spans="1:1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2"/>
    </row>
    <row r="1384" spans="1:1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2"/>
    </row>
    <row r="1385" spans="1:1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2"/>
    </row>
    <row r="1386" spans="1:1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2"/>
    </row>
    <row r="1387" spans="1:1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2"/>
    </row>
    <row r="1388" spans="1:1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2"/>
    </row>
    <row r="1389" spans="1:1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2"/>
    </row>
    <row r="1390" spans="1:1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2"/>
    </row>
    <row r="1391" spans="1:1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2"/>
    </row>
    <row r="1392" spans="1:1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2"/>
    </row>
    <row r="1393" spans="1:1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2"/>
    </row>
    <row r="1394" spans="1:1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2"/>
    </row>
    <row r="1395" spans="1:1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2"/>
    </row>
    <row r="1396" spans="1:1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2"/>
    </row>
    <row r="1397" spans="1:1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2"/>
    </row>
    <row r="1398" spans="1:1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2"/>
    </row>
    <row r="1399" spans="1:1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2"/>
    </row>
    <row r="1400" spans="1:1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2"/>
    </row>
    <row r="1401" spans="1:1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2"/>
    </row>
    <row r="1402" spans="1:1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2"/>
    </row>
    <row r="1403" spans="1:1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2"/>
    </row>
    <row r="1404" spans="1:1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2"/>
    </row>
    <row r="1405" spans="1:1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2"/>
    </row>
    <row r="1406" spans="1:1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2"/>
    </row>
    <row r="1407" spans="1:1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2"/>
    </row>
    <row r="1408" spans="1:1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2"/>
    </row>
    <row r="1409" spans="1:1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2"/>
    </row>
    <row r="1410" spans="1:1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2"/>
    </row>
    <row r="1411" spans="1:1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2"/>
    </row>
    <row r="1412" spans="1:1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2"/>
    </row>
    <row r="1413" spans="1:1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2"/>
    </row>
    <row r="1414" spans="1:1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2"/>
    </row>
    <row r="1415" spans="1:1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2"/>
    </row>
    <row r="1416" spans="1:1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2"/>
    </row>
    <row r="1417" spans="1:1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2"/>
    </row>
    <row r="1418" spans="1:1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2"/>
    </row>
    <row r="1419" spans="1:1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2"/>
    </row>
    <row r="1420" spans="1:1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2"/>
    </row>
    <row r="1421" spans="1:1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2"/>
    </row>
    <row r="1422" spans="1:1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2"/>
    </row>
    <row r="1423" spans="1:1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2"/>
    </row>
    <row r="1424" spans="1:1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2"/>
    </row>
    <row r="1425" spans="1:1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2"/>
    </row>
    <row r="1426" spans="1:1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2"/>
    </row>
    <row r="1427" spans="1:1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2"/>
    </row>
    <row r="1428" spans="1:1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2"/>
    </row>
    <row r="1429" spans="1:1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2"/>
    </row>
    <row r="1430" spans="1:1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2"/>
    </row>
    <row r="1431" spans="1:1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2"/>
    </row>
    <row r="1432" spans="1:1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2"/>
    </row>
    <row r="1433" spans="1:1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2"/>
    </row>
    <row r="1434" spans="1:1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2"/>
    </row>
    <row r="1435" spans="1:1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2"/>
    </row>
    <row r="1436" spans="1:1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2"/>
    </row>
    <row r="1437" spans="1:1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2"/>
    </row>
    <row r="1438" spans="1:1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2"/>
    </row>
    <row r="1439" spans="1:1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2"/>
    </row>
    <row r="1440" spans="1:1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2"/>
    </row>
    <row r="1441" spans="1:1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2"/>
    </row>
    <row r="1442" spans="1:1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2"/>
    </row>
    <row r="1443" spans="1:1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2"/>
    </row>
    <row r="1444" spans="1:1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2"/>
    </row>
    <row r="1445" spans="1:1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2"/>
    </row>
    <row r="1446" spans="1:1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2"/>
    </row>
    <row r="1447" spans="1:1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2"/>
    </row>
    <row r="1448" spans="1:1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2"/>
    </row>
    <row r="1449" spans="1:1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2"/>
    </row>
    <row r="1450" spans="1:1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2"/>
    </row>
    <row r="1451" spans="1:1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2"/>
    </row>
    <row r="1452" spans="1:1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2"/>
    </row>
    <row r="1453" spans="1:1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2"/>
    </row>
    <row r="1454" spans="1:1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2"/>
    </row>
    <row r="1455" spans="1:1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2"/>
    </row>
    <row r="1456" spans="1:1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2"/>
    </row>
    <row r="1457" spans="1:1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2"/>
    </row>
    <row r="1458" spans="1:1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2"/>
    </row>
    <row r="1459" spans="1:1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2"/>
    </row>
    <row r="1460" spans="1:1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2"/>
    </row>
    <row r="1461" spans="1:1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2"/>
    </row>
    <row r="1462" spans="1:1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2"/>
    </row>
    <row r="1463" spans="1:1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2"/>
    </row>
    <row r="1464" spans="1:1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2"/>
    </row>
    <row r="1465" spans="1:1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2"/>
    </row>
    <row r="1466" spans="1:1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2"/>
    </row>
    <row r="1467" spans="1:1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2"/>
    </row>
    <row r="1468" spans="1:1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2"/>
    </row>
    <row r="1469" spans="1:1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2"/>
    </row>
    <row r="1470" spans="1:1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2"/>
    </row>
    <row r="1471" spans="1:1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2"/>
    </row>
    <row r="1472" spans="1:1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2"/>
    </row>
    <row r="1473" spans="1:1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2"/>
    </row>
    <row r="1474" spans="1:1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2"/>
    </row>
    <row r="1475" spans="1:1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2"/>
    </row>
    <row r="1476" spans="1:1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2"/>
    </row>
    <row r="1477" spans="1:1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2"/>
    </row>
    <row r="1478" spans="1:1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2"/>
    </row>
    <row r="1479" spans="1:1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2"/>
    </row>
    <row r="1480" spans="1:1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2"/>
    </row>
    <row r="1481" spans="1:1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2"/>
    </row>
    <row r="1482" spans="1:1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2"/>
    </row>
    <row r="1483" spans="1:1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2"/>
    </row>
    <row r="1484" spans="1:1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2"/>
    </row>
    <row r="1485" spans="1:1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2"/>
    </row>
    <row r="1486" spans="1:1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2"/>
    </row>
    <row r="1487" spans="1:1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2"/>
    </row>
    <row r="1488" spans="1:1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2"/>
    </row>
    <row r="1489" spans="1:1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2"/>
    </row>
    <row r="1490" spans="1:1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2"/>
    </row>
    <row r="1491" spans="1:1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2"/>
    </row>
    <row r="1492" spans="1:1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2"/>
    </row>
    <row r="1493" spans="1:1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2"/>
    </row>
    <row r="1494" spans="1:1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2"/>
    </row>
    <row r="1495" spans="1:1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2"/>
    </row>
    <row r="1496" spans="1:1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2"/>
    </row>
    <row r="1497" spans="1:1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2"/>
    </row>
    <row r="1498" spans="1:1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2"/>
    </row>
    <row r="1499" spans="1:1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2"/>
    </row>
    <row r="1500" spans="1:1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2"/>
    </row>
    <row r="1501" spans="1:1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2"/>
    </row>
    <row r="1502" spans="1:1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2"/>
    </row>
    <row r="1503" spans="1:1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2"/>
    </row>
    <row r="1504" spans="1:1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2"/>
    </row>
    <row r="1505" spans="1:1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2"/>
    </row>
    <row r="1506" spans="1:1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2"/>
    </row>
    <row r="1507" spans="1:1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2"/>
    </row>
    <row r="1508" spans="1:1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2"/>
    </row>
    <row r="1509" spans="1:1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2"/>
    </row>
    <row r="1510" spans="1:1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2"/>
    </row>
    <row r="1511" spans="1:1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2"/>
    </row>
    <row r="1512" spans="1:1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2"/>
    </row>
    <row r="1513" spans="1:1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2"/>
    </row>
    <row r="1514" spans="1:1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2"/>
    </row>
    <row r="1515" spans="1:1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2"/>
    </row>
    <row r="1516" spans="1:1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2"/>
    </row>
    <row r="1517" spans="1:1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2"/>
    </row>
    <row r="1518" spans="1:1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2"/>
    </row>
    <row r="1519" spans="1:1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2"/>
    </row>
    <row r="1520" spans="1:1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2"/>
    </row>
    <row r="1521" spans="1:1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2"/>
    </row>
    <row r="1522" spans="1:1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2"/>
    </row>
    <row r="1523" spans="1:1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2"/>
    </row>
    <row r="1524" spans="1:1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2"/>
    </row>
    <row r="1525" spans="1:1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2"/>
    </row>
    <row r="1526" spans="1:1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2"/>
    </row>
    <row r="1527" spans="1:1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2"/>
    </row>
    <row r="1528" spans="1:1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2"/>
    </row>
    <row r="1529" spans="1:1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2"/>
    </row>
    <row r="1530" spans="1:1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2"/>
    </row>
    <row r="1531" spans="1:1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2"/>
    </row>
    <row r="1532" spans="1:1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2"/>
    </row>
    <row r="1533" spans="1:1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2"/>
    </row>
    <row r="1534" spans="1:1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2"/>
    </row>
    <row r="1535" spans="1:1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2"/>
    </row>
    <row r="1536" spans="1:1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2"/>
    </row>
    <row r="1537" spans="1:1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2"/>
    </row>
    <row r="1538" spans="1:1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2"/>
    </row>
    <row r="1539" spans="1:1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2"/>
    </row>
    <row r="1540" spans="1:1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2"/>
    </row>
    <row r="1541" spans="1:1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2"/>
    </row>
    <row r="1542" spans="1:1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2"/>
    </row>
    <row r="1543" spans="1:1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2"/>
    </row>
    <row r="1544" spans="1:1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2"/>
    </row>
    <row r="1545" spans="1:1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2"/>
    </row>
    <row r="1546" spans="1:1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2"/>
    </row>
    <row r="1547" spans="1:1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2"/>
    </row>
    <row r="1548" spans="1:1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2"/>
    </row>
    <row r="1549" spans="1:1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2"/>
    </row>
    <row r="1550" spans="1:1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2"/>
    </row>
    <row r="1551" spans="1:1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2"/>
    </row>
    <row r="1552" spans="1:1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2"/>
    </row>
    <row r="1553" spans="1:1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2"/>
    </row>
    <row r="1554" spans="1:1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2"/>
    </row>
    <row r="1555" spans="1:1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2"/>
    </row>
    <row r="1556" spans="1:1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2"/>
    </row>
    <row r="1557" spans="1:1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2"/>
    </row>
    <row r="1558" spans="1:1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2"/>
    </row>
    <row r="1559" spans="1:1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2"/>
    </row>
    <row r="1560" spans="1:1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2"/>
    </row>
    <row r="1561" spans="1:1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2"/>
    </row>
    <row r="1562" spans="1:1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2"/>
    </row>
    <row r="1563" spans="1:1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2"/>
    </row>
    <row r="1564" spans="1:1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2"/>
    </row>
    <row r="1565" spans="1:1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2"/>
    </row>
    <row r="1566" spans="1:1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2"/>
    </row>
    <row r="1567" spans="1:1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2"/>
    </row>
    <row r="1568" spans="1:1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2"/>
    </row>
    <row r="1569" spans="1:1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2"/>
    </row>
    <row r="1570" spans="1:1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2"/>
    </row>
    <row r="1571" spans="1:1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2"/>
    </row>
    <row r="1572" spans="1:1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2"/>
    </row>
    <row r="1573" spans="1:1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2"/>
    </row>
    <row r="1574" spans="1:1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2"/>
    </row>
    <row r="1575" spans="1:1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2"/>
    </row>
    <row r="1576" spans="1:1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2"/>
    </row>
    <row r="1577" spans="1:1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2"/>
    </row>
    <row r="1578" spans="1:1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2"/>
    </row>
    <row r="1579" spans="1:1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2"/>
    </row>
    <row r="1580" spans="1:1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2"/>
    </row>
    <row r="1581" spans="1:1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2"/>
    </row>
    <row r="1582" spans="1:1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2"/>
    </row>
    <row r="1583" spans="1:1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2"/>
    </row>
    <row r="1584" spans="1:1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2"/>
    </row>
    <row r="1585" spans="1:1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2"/>
    </row>
    <row r="1586" spans="1:1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2"/>
    </row>
    <row r="1587" spans="1:1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2"/>
    </row>
    <row r="1588" spans="1:1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2"/>
    </row>
    <row r="1589" spans="1:1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2"/>
    </row>
    <row r="1590" spans="1:1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2"/>
    </row>
    <row r="1591" spans="1:1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2"/>
    </row>
    <row r="1592" spans="1:1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2"/>
    </row>
    <row r="1593" spans="1:1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2"/>
    </row>
    <row r="1594" spans="1:1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2"/>
    </row>
    <row r="1595" spans="1:1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2"/>
    </row>
    <row r="1596" spans="1:1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2"/>
    </row>
    <row r="1597" spans="1:1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2"/>
    </row>
    <row r="1598" spans="1:1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2"/>
    </row>
    <row r="1599" spans="1:1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2"/>
    </row>
    <row r="1600" spans="1:1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2"/>
    </row>
    <row r="1601" spans="1:1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2"/>
    </row>
    <row r="1602" spans="1:1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2"/>
    </row>
    <row r="1603" spans="1:1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2"/>
    </row>
    <row r="1604" spans="1:1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2"/>
    </row>
    <row r="1605" spans="1:1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2"/>
    </row>
    <row r="1606" spans="1:1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2"/>
    </row>
    <row r="1607" spans="1:1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2"/>
    </row>
    <row r="1608" spans="1:1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2"/>
    </row>
    <row r="1609" spans="1:1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2"/>
    </row>
    <row r="1610" spans="1:1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2"/>
    </row>
    <row r="1611" spans="1:1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2"/>
    </row>
    <row r="1612" spans="1:1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2"/>
    </row>
    <row r="1613" spans="1:1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2"/>
    </row>
    <row r="1614" spans="1:1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2"/>
    </row>
    <row r="1615" spans="1:1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2"/>
    </row>
    <row r="1616" spans="1:1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2"/>
    </row>
    <row r="1617" spans="1:1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2"/>
    </row>
    <row r="1618" spans="1:1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2"/>
    </row>
    <row r="1619" spans="1:1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2"/>
    </row>
    <row r="1620" spans="1:1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2"/>
    </row>
    <row r="1621" spans="1:1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2"/>
    </row>
    <row r="1622" spans="1:1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2"/>
    </row>
    <row r="1623" spans="1:1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2"/>
    </row>
    <row r="1624" spans="1:1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2"/>
    </row>
    <row r="1625" spans="1:1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2"/>
    </row>
    <row r="1626" spans="1:1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2"/>
    </row>
    <row r="1627" spans="1:1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2"/>
    </row>
    <row r="1628" spans="1:1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2"/>
    </row>
    <row r="1629" spans="1:1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2"/>
    </row>
    <row r="1630" spans="1:1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2"/>
    </row>
    <row r="1631" spans="1:1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2"/>
    </row>
    <row r="1632" spans="1:1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2"/>
    </row>
    <row r="1633" spans="1:1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2"/>
    </row>
    <row r="1634" spans="1:1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2"/>
    </row>
    <row r="1635" spans="1:1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2"/>
    </row>
    <row r="1636" spans="1:1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2"/>
    </row>
    <row r="1637" spans="1:1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2"/>
    </row>
    <row r="1638" spans="1:1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2"/>
    </row>
    <row r="1639" spans="1:1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2"/>
    </row>
    <row r="1640" spans="1:1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2"/>
    </row>
    <row r="1641" spans="1:1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2"/>
    </row>
    <row r="1642" spans="1:1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2"/>
    </row>
    <row r="1643" spans="1:1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2"/>
    </row>
    <row r="1644" spans="1:1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2"/>
    </row>
    <row r="1645" spans="1:1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2"/>
    </row>
    <row r="1646" spans="1:1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2"/>
    </row>
    <row r="1647" spans="1:1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2"/>
    </row>
    <row r="1648" spans="1:1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2"/>
    </row>
    <row r="1649" spans="1:1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2"/>
    </row>
    <row r="1650" spans="1:1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2"/>
    </row>
    <row r="1651" spans="1:1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2"/>
    </row>
    <row r="1652" spans="1:1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2"/>
    </row>
    <row r="1653" spans="1:1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2"/>
    </row>
    <row r="1654" spans="1:1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2"/>
    </row>
    <row r="1655" spans="1:1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2"/>
    </row>
    <row r="1656" spans="1:1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2"/>
    </row>
    <row r="1657" spans="1:1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2"/>
    </row>
    <row r="1658" spans="1:1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2"/>
    </row>
    <row r="1659" spans="1:1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2"/>
    </row>
    <row r="1660" spans="1:1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2"/>
    </row>
    <row r="1661" spans="1:1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2"/>
    </row>
    <row r="1662" spans="1:1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2"/>
    </row>
    <row r="1663" spans="1:1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2"/>
    </row>
    <row r="1664" spans="1:1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2"/>
    </row>
    <row r="1665" spans="1:1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2"/>
    </row>
    <row r="1666" spans="1:1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2"/>
    </row>
    <row r="1667" spans="1:1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2"/>
    </row>
    <row r="1668" spans="1:1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2"/>
    </row>
    <row r="1669" spans="1:1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2"/>
    </row>
    <row r="1670" spans="1:1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2"/>
    </row>
    <row r="1671" spans="1:1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2"/>
    </row>
    <row r="1672" spans="1:1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2"/>
    </row>
    <row r="1673" spans="1:1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2"/>
    </row>
    <row r="1674" spans="1:1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2"/>
    </row>
    <row r="1675" spans="1:1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2"/>
    </row>
    <row r="1676" spans="1:1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2"/>
    </row>
    <row r="1677" spans="1:1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2"/>
    </row>
    <row r="1678" spans="1:1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52"/>
    </row>
    <row r="1679" spans="1:1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52"/>
    </row>
    <row r="1680" spans="1:1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52"/>
    </row>
    <row r="1681" spans="1:1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52"/>
    </row>
    <row r="1682" spans="1:1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52"/>
    </row>
    <row r="1683" spans="1:1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52"/>
    </row>
    <row r="1684" spans="1:1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52"/>
    </row>
    <row r="1685" spans="1:1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52"/>
    </row>
    <row r="1686" spans="1:1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52"/>
    </row>
    <row r="1687" spans="1:1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52"/>
    </row>
    <row r="1688" spans="1:1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52"/>
    </row>
    <row r="1689" spans="1:1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52"/>
    </row>
    <row r="1690" spans="1:1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52"/>
    </row>
    <row r="1691" spans="1:1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52"/>
    </row>
    <row r="1692" spans="1:1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152"/>
    </row>
    <row r="1693" spans="1:1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152"/>
    </row>
    <row r="1694" spans="1:1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152"/>
    </row>
    <row r="1695" spans="1:1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152"/>
    </row>
    <row r="1696" spans="1:1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152"/>
    </row>
    <row r="1697" spans="1:1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152"/>
    </row>
    <row r="1698" spans="1:1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152"/>
    </row>
    <row r="1699" spans="1:1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152"/>
    </row>
    <row r="1700" spans="1:1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152"/>
    </row>
    <row r="1701" spans="1:1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152"/>
    </row>
    <row r="1702" spans="1:1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152"/>
    </row>
    <row r="1703" spans="1:1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152"/>
    </row>
    <row r="1704" spans="1:16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152"/>
    </row>
    <row r="1705" spans="1:16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152"/>
    </row>
    <row r="1706" spans="1:16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152"/>
    </row>
    <row r="1707" spans="1:16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152"/>
    </row>
    <row r="1708" spans="1:16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152"/>
    </row>
    <row r="1709" spans="1:16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152"/>
    </row>
    <row r="1710" spans="1:16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152"/>
    </row>
    <row r="1711" spans="1:16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152"/>
    </row>
    <row r="1712" spans="1:16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152"/>
    </row>
    <row r="1713" spans="1:16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152"/>
    </row>
    <row r="1714" spans="1:16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152"/>
    </row>
    <row r="1715" spans="1:16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152"/>
    </row>
    <row r="1716" spans="1:16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152"/>
    </row>
    <row r="1717" spans="1:16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152"/>
    </row>
    <row r="1718" spans="1:16" s="28" customFormat="1" x14ac:dyDescent="0.25">
      <c r="A1718" s="56"/>
      <c r="B1718" s="61"/>
      <c r="C1718" s="61"/>
      <c r="D1718" s="35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152"/>
    </row>
    <row r="1719" spans="1:16" s="28" customFormat="1" x14ac:dyDescent="0.25">
      <c r="A1719" s="56"/>
      <c r="B1719" s="61"/>
      <c r="C1719" s="61"/>
      <c r="D1719" s="35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152"/>
    </row>
  </sheetData>
  <mergeCells count="25">
    <mergeCell ref="A11:P11"/>
    <mergeCell ref="A12:P12"/>
    <mergeCell ref="M15:N15"/>
    <mergeCell ref="O15:O16"/>
    <mergeCell ref="K3:P3"/>
    <mergeCell ref="K4:P4"/>
    <mergeCell ref="K5:P5"/>
    <mergeCell ref="K6:P6"/>
    <mergeCell ref="K8:P8"/>
    <mergeCell ref="A346:D346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86614173228346458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5" man="1"/>
    <brk id="62" max="15" man="1"/>
    <brk id="3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73"/>
  <sheetViews>
    <sheetView showGridLines="0" showZeros="0" tabSelected="1" view="pageBreakPreview" topLeftCell="D1" zoomScale="70" zoomScaleNormal="87" zoomScaleSheetLayoutView="70" workbookViewId="0">
      <selection activeCell="J9" sqref="J9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67" t="s">
        <v>630</v>
      </c>
      <c r="K1" s="167"/>
      <c r="L1" s="167"/>
      <c r="M1" s="167"/>
      <c r="N1" s="167"/>
      <c r="O1" s="167"/>
    </row>
    <row r="2" spans="1:15" ht="24" customHeight="1" x14ac:dyDescent="0.25">
      <c r="J2" s="91" t="s">
        <v>577</v>
      </c>
      <c r="K2" s="91"/>
      <c r="L2" s="91"/>
      <c r="M2" s="91"/>
      <c r="N2" s="91"/>
      <c r="O2" s="91"/>
    </row>
    <row r="3" spans="1:15" ht="26.25" customHeight="1" x14ac:dyDescent="0.4">
      <c r="J3" s="166" t="s">
        <v>576</v>
      </c>
      <c r="K3" s="166"/>
      <c r="L3" s="166"/>
      <c r="M3" s="166"/>
      <c r="N3" s="166"/>
      <c r="O3" s="166"/>
    </row>
    <row r="4" spans="1:15" ht="26.25" customHeight="1" x14ac:dyDescent="0.4">
      <c r="J4" s="166" t="s">
        <v>606</v>
      </c>
      <c r="K4" s="166"/>
      <c r="L4" s="166"/>
      <c r="M4" s="166"/>
      <c r="N4" s="166"/>
      <c r="O4" s="166"/>
    </row>
    <row r="5" spans="1:15" ht="29.25" customHeight="1" x14ac:dyDescent="0.4">
      <c r="J5" s="166" t="s">
        <v>607</v>
      </c>
      <c r="K5" s="166"/>
      <c r="L5" s="166"/>
      <c r="M5" s="166"/>
      <c r="N5" s="166"/>
      <c r="O5" s="166"/>
    </row>
    <row r="6" spans="1:15" ht="29.25" customHeight="1" x14ac:dyDescent="0.4">
      <c r="J6" s="166" t="s">
        <v>578</v>
      </c>
      <c r="K6" s="166"/>
      <c r="L6" s="166"/>
      <c r="M6" s="166"/>
      <c r="N6" s="166"/>
      <c r="O6" s="166"/>
    </row>
    <row r="7" spans="1:15" ht="29.25" customHeight="1" x14ac:dyDescent="0.4">
      <c r="J7" s="146" t="s">
        <v>534</v>
      </c>
      <c r="K7" s="146"/>
      <c r="L7" s="146"/>
      <c r="M7" s="146"/>
      <c r="N7" s="146"/>
      <c r="O7" s="146"/>
    </row>
    <row r="8" spans="1:15" ht="29.25" customHeight="1" x14ac:dyDescent="0.4">
      <c r="J8" s="166" t="s">
        <v>633</v>
      </c>
      <c r="K8" s="166"/>
      <c r="L8" s="166"/>
      <c r="M8" s="166"/>
      <c r="N8" s="166"/>
      <c r="O8" s="166"/>
    </row>
    <row r="9" spans="1:15" ht="29.25" customHeight="1" x14ac:dyDescent="0.25">
      <c r="J9" s="91"/>
      <c r="K9" s="91"/>
      <c r="L9" s="91"/>
      <c r="M9" s="91"/>
      <c r="N9" s="91"/>
      <c r="O9" s="91"/>
    </row>
    <row r="10" spans="1:15" ht="105.75" customHeight="1" x14ac:dyDescent="0.25">
      <c r="A10" s="168" t="s">
        <v>449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ht="23.25" customHeight="1" x14ac:dyDescent="0.25">
      <c r="A11" s="169" t="s">
        <v>583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21" customHeight="1" x14ac:dyDescent="0.25">
      <c r="A12" s="165" t="s">
        <v>582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s="17" customFormat="1" ht="20.25" customHeight="1" x14ac:dyDescent="0.3">
      <c r="A13" s="14"/>
      <c r="B13" s="15"/>
      <c r="C13" s="16"/>
      <c r="O13" s="150" t="s">
        <v>358</v>
      </c>
    </row>
    <row r="14" spans="1:15" s="52" customFormat="1" ht="21.75" customHeight="1" x14ac:dyDescent="0.25">
      <c r="A14" s="163" t="s">
        <v>337</v>
      </c>
      <c r="B14" s="163" t="s">
        <v>327</v>
      </c>
      <c r="C14" s="163" t="s">
        <v>339</v>
      </c>
      <c r="D14" s="162" t="s">
        <v>224</v>
      </c>
      <c r="E14" s="162"/>
      <c r="F14" s="162"/>
      <c r="G14" s="162"/>
      <c r="H14" s="162"/>
      <c r="I14" s="162" t="s">
        <v>225</v>
      </c>
      <c r="J14" s="162"/>
      <c r="K14" s="162"/>
      <c r="L14" s="162"/>
      <c r="M14" s="162"/>
      <c r="N14" s="162"/>
      <c r="O14" s="162" t="s">
        <v>226</v>
      </c>
    </row>
    <row r="15" spans="1:15" s="52" customFormat="1" ht="29.25" customHeight="1" x14ac:dyDescent="0.25">
      <c r="A15" s="163"/>
      <c r="B15" s="163"/>
      <c r="C15" s="163"/>
      <c r="D15" s="160" t="s">
        <v>328</v>
      </c>
      <c r="E15" s="160" t="s">
        <v>227</v>
      </c>
      <c r="F15" s="161" t="s">
        <v>228</v>
      </c>
      <c r="G15" s="161"/>
      <c r="H15" s="160" t="s">
        <v>229</v>
      </c>
      <c r="I15" s="160" t="s">
        <v>328</v>
      </c>
      <c r="J15" s="160" t="s">
        <v>329</v>
      </c>
      <c r="K15" s="160" t="s">
        <v>227</v>
      </c>
      <c r="L15" s="161" t="s">
        <v>228</v>
      </c>
      <c r="M15" s="161"/>
      <c r="N15" s="160" t="s">
        <v>229</v>
      </c>
      <c r="O15" s="162"/>
    </row>
    <row r="16" spans="1:15" s="52" customFormat="1" ht="60.75" customHeight="1" x14ac:dyDescent="0.25">
      <c r="A16" s="163"/>
      <c r="B16" s="163"/>
      <c r="C16" s="163"/>
      <c r="D16" s="160"/>
      <c r="E16" s="160"/>
      <c r="F16" s="147" t="s">
        <v>230</v>
      </c>
      <c r="G16" s="147" t="s">
        <v>231</v>
      </c>
      <c r="H16" s="160"/>
      <c r="I16" s="160"/>
      <c r="J16" s="160"/>
      <c r="K16" s="160"/>
      <c r="L16" s="147" t="s">
        <v>230</v>
      </c>
      <c r="M16" s="147" t="s">
        <v>231</v>
      </c>
      <c r="N16" s="160"/>
      <c r="O16" s="162"/>
    </row>
    <row r="17" spans="1:1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 t="shared" ref="E17:O17" si="0">E19+E20+E21+E22</f>
        <v>261999596</v>
      </c>
      <c r="F17" s="48">
        <f>F19+F20+F21+F22</f>
        <v>196794600</v>
      </c>
      <c r="G17" s="48">
        <f t="shared" si="0"/>
        <v>6384303</v>
      </c>
      <c r="H17" s="48">
        <f t="shared" si="0"/>
        <v>0</v>
      </c>
      <c r="I17" s="48">
        <f t="shared" si="0"/>
        <v>3100000</v>
      </c>
      <c r="J17" s="48">
        <f t="shared" si="0"/>
        <v>1200000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1200000</v>
      </c>
      <c r="O17" s="48">
        <f t="shared" si="0"/>
        <v>265099596</v>
      </c>
    </row>
    <row r="18" spans="1:15" s="52" customFormat="1" ht="61.5" hidden="1" customHeight="1" x14ac:dyDescent="0.25">
      <c r="A18" s="7"/>
      <c r="B18" s="8"/>
      <c r="C18" s="9" t="s">
        <v>439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119</v>
      </c>
      <c r="B19" s="37" t="s">
        <v>46</v>
      </c>
      <c r="C19" s="6" t="s">
        <v>493</v>
      </c>
      <c r="D19" s="49">
        <f>'дод 3'!E21+'дод 3'!E77+'дод 3'!E137+'дод 3'!E171+'дод 3'!E208+'дод 3'!E215+'дод 3'!E233+'дод 3'!E273+'дод 3'!E278+'дод 3'!E298+'дод 3'!E305+'дод 3'!E308+'дод 3'!E320+'дод 3'!E316</f>
        <v>260964096</v>
      </c>
      <c r="E19" s="49">
        <f>'дод 3'!F21+'дод 3'!F77+'дод 3'!F137+'дод 3'!F171+'дод 3'!F208+'дод 3'!F215+'дод 3'!F233+'дод 3'!F273+'дод 3'!F278+'дод 3'!F298+'дод 3'!F305+'дод 3'!F308+'дод 3'!F320+'дод 3'!F316</f>
        <v>260964096</v>
      </c>
      <c r="F19" s="49">
        <f>'дод 3'!G21+'дод 3'!G77+'дод 3'!G137+'дод 3'!G171+'дод 3'!G208+'дод 3'!G215+'дод 3'!G233+'дод 3'!G273+'дод 3'!G278+'дод 3'!G298+'дод 3'!G305+'дод 3'!G308+'дод 3'!G320+'дод 3'!G316</f>
        <v>196794600</v>
      </c>
      <c r="G19" s="49">
        <f>'дод 3'!H21+'дод 3'!H77+'дод 3'!H137+'дод 3'!H171+'дод 3'!H208+'дод 3'!H215+'дод 3'!H233+'дод 3'!H273+'дод 3'!H278+'дод 3'!H298+'дод 3'!H305+'дод 3'!H308+'дод 3'!H320+'дод 3'!H316</f>
        <v>6384303</v>
      </c>
      <c r="H19" s="49">
        <f>'дод 3'!I21+'дод 3'!I77+'дод 3'!I137+'дод 3'!I171+'дод 3'!I208+'дод 3'!I215+'дод 3'!I233+'дод 3'!I273+'дод 3'!I278+'дод 3'!I298+'дод 3'!I305+'дод 3'!I308+'дод 3'!I320+'дод 3'!I316</f>
        <v>0</v>
      </c>
      <c r="I19" s="49">
        <f>'дод 3'!J21+'дод 3'!J77+'дод 3'!J137+'дод 3'!J171+'дод 3'!J208+'дод 3'!J215+'дод 3'!J233+'дод 3'!J273+'дод 3'!J278+'дод 3'!J298+'дод 3'!J305+'дод 3'!J308+'дод 3'!J320+'дод 3'!J316</f>
        <v>3100000</v>
      </c>
      <c r="J19" s="49">
        <f>'дод 3'!K21+'дод 3'!K77+'дод 3'!K137+'дод 3'!K171+'дод 3'!K208+'дод 3'!K215+'дод 3'!K233+'дод 3'!K273+'дод 3'!K278+'дод 3'!K298+'дод 3'!K305+'дод 3'!K308+'дод 3'!K320+'дод 3'!K316</f>
        <v>1200000</v>
      </c>
      <c r="K19" s="49">
        <f>'дод 3'!L21+'дод 3'!L77+'дод 3'!L137+'дод 3'!L171+'дод 3'!L208+'дод 3'!L215+'дод 3'!L233+'дод 3'!L273+'дод 3'!L278+'дод 3'!L298+'дод 3'!L305+'дод 3'!L308+'дод 3'!L320+'дод 3'!L316</f>
        <v>1900000</v>
      </c>
      <c r="L19" s="49">
        <f>'дод 3'!M21+'дод 3'!M77+'дод 3'!M137+'дод 3'!M171+'дод 3'!M208+'дод 3'!M215+'дод 3'!M233+'дод 3'!M273+'дод 3'!M278+'дод 3'!M298+'дод 3'!M305+'дод 3'!M308+'дод 3'!M320+'дод 3'!M316</f>
        <v>1332000</v>
      </c>
      <c r="M19" s="49">
        <f>'дод 3'!N21+'дод 3'!N77+'дод 3'!N137+'дод 3'!N171+'дод 3'!N208+'дод 3'!N215+'дод 3'!N233+'дод 3'!N273+'дод 3'!N278+'дод 3'!N298+'дод 3'!N305+'дод 3'!N308+'дод 3'!N320+'дод 3'!N316</f>
        <v>71500</v>
      </c>
      <c r="N19" s="49">
        <f>'дод 3'!O21+'дод 3'!O77+'дод 3'!O137+'дод 3'!O171+'дод 3'!O208+'дод 3'!O215+'дод 3'!O233+'дод 3'!O273+'дод 3'!O278+'дод 3'!O298+'дод 3'!O305+'дод 3'!O308+'дод 3'!O320+'дод 3'!O316</f>
        <v>1200000</v>
      </c>
      <c r="O19" s="49">
        <f>'дод 3'!P21+'дод 3'!P77+'дод 3'!P137+'дод 3'!P171+'дод 3'!P208+'дод 3'!P215+'дод 3'!P233+'дод 3'!P273+'дод 3'!P278+'дод 3'!P298+'дод 3'!P305+'дод 3'!P308+'дод 3'!P320+'дод 3'!P316</f>
        <v>264064096</v>
      </c>
    </row>
    <row r="20" spans="1:15" ht="33" hidden="1" customHeight="1" x14ac:dyDescent="0.25">
      <c r="A20" s="58" t="s">
        <v>90</v>
      </c>
      <c r="B20" s="58" t="s">
        <v>461</v>
      </c>
      <c r="C20" s="6" t="s">
        <v>452</v>
      </c>
      <c r="D20" s="49">
        <f>'дод 3'!E22</f>
        <v>0</v>
      </c>
      <c r="E20" s="49">
        <f>'дод 3'!F22</f>
        <v>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0</v>
      </c>
    </row>
    <row r="21" spans="1:15" ht="22.5" customHeight="1" x14ac:dyDescent="0.25">
      <c r="A21" s="37" t="s">
        <v>45</v>
      </c>
      <c r="B21" s="37" t="s">
        <v>93</v>
      </c>
      <c r="C21" s="6" t="s">
        <v>242</v>
      </c>
      <c r="D21" s="49">
        <f>'дод 3'!E23+'дод 3'!E172+'дод 3'!E234</f>
        <v>1035500</v>
      </c>
      <c r="E21" s="49">
        <f>'дод 3'!F23+'дод 3'!F172+'дод 3'!F234</f>
        <v>1035500</v>
      </c>
      <c r="F21" s="49">
        <f>'дод 3'!G23+'дод 3'!G172+'дод 3'!G234</f>
        <v>0</v>
      </c>
      <c r="G21" s="49">
        <f>'дод 3'!H23+'дод 3'!H172+'дод 3'!H234</f>
        <v>0</v>
      </c>
      <c r="H21" s="49">
        <f>'дод 3'!I23+'дод 3'!I172+'дод 3'!I234</f>
        <v>0</v>
      </c>
      <c r="I21" s="49">
        <f>'дод 3'!J23+'дод 3'!J172+'дод 3'!J234</f>
        <v>0</v>
      </c>
      <c r="J21" s="49">
        <f>'дод 3'!K23+'дод 3'!K172+'дод 3'!K234</f>
        <v>0</v>
      </c>
      <c r="K21" s="49">
        <f>'дод 3'!L23+'дод 3'!L172+'дод 3'!L234</f>
        <v>0</v>
      </c>
      <c r="L21" s="49">
        <f>'дод 3'!M23+'дод 3'!M172+'дод 3'!M234</f>
        <v>0</v>
      </c>
      <c r="M21" s="49">
        <f>'дод 3'!N23+'дод 3'!N172+'дод 3'!N234</f>
        <v>0</v>
      </c>
      <c r="N21" s="49">
        <f>'дод 3'!O23+'дод 3'!O172+'дод 3'!O234</f>
        <v>0</v>
      </c>
      <c r="O21" s="49">
        <f>'дод 3'!P23+'дод 3'!P172+'дод 3'!P234</f>
        <v>1035500</v>
      </c>
    </row>
    <row r="22" spans="1:15" ht="27" hidden="1" customHeight="1" x14ac:dyDescent="0.25">
      <c r="A22" s="58" t="s">
        <v>435</v>
      </c>
      <c r="B22" s="58" t="s">
        <v>119</v>
      </c>
      <c r="C22" s="6" t="s">
        <v>436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77"/>
      <c r="B23" s="87"/>
      <c r="C23" s="78" t="s">
        <v>439</v>
      </c>
      <c r="D23" s="79">
        <f>'дод 3'!E25</f>
        <v>0</v>
      </c>
      <c r="E23" s="79">
        <f>'дод 3'!F25</f>
        <v>0</v>
      </c>
      <c r="F23" s="79">
        <f>'дод 3'!G25</f>
        <v>0</v>
      </c>
      <c r="G23" s="79">
        <f>'дод 3'!H25</f>
        <v>0</v>
      </c>
      <c r="H23" s="79">
        <f>'дод 3'!I25</f>
        <v>0</v>
      </c>
      <c r="I23" s="79">
        <f>'дод 3'!J25</f>
        <v>0</v>
      </c>
      <c r="J23" s="79">
        <f>'дод 3'!K25</f>
        <v>0</v>
      </c>
      <c r="K23" s="79">
        <f>'дод 3'!L25</f>
        <v>0</v>
      </c>
      <c r="L23" s="79">
        <f>'дод 3'!M25</f>
        <v>0</v>
      </c>
      <c r="M23" s="79">
        <f>'дод 3'!N25</f>
        <v>0</v>
      </c>
      <c r="N23" s="79">
        <f>'дод 3'!O25</f>
        <v>0</v>
      </c>
      <c r="O23" s="79">
        <f>'дод 3'!P25</f>
        <v>0</v>
      </c>
    </row>
    <row r="24" spans="1:15" s="52" customFormat="1" ht="18.75" customHeight="1" x14ac:dyDescent="0.25">
      <c r="A24" s="38" t="s">
        <v>47</v>
      </c>
      <c r="B24" s="39"/>
      <c r="C24" s="9" t="s">
        <v>403</v>
      </c>
      <c r="D24" s="48">
        <f>D36+D38+D45+D47+D48+D51+D53+D55+D58+D60+D61+D62+D63+D64+D65+D67+D68+D69+D71+D73+D75+D77</f>
        <v>1156924869.72</v>
      </c>
      <c r="E24" s="48">
        <f t="shared" ref="E24:O24" si="2">E36+E38+E45+E47+E48+E51+E53+E55+E58+E60+E61+E62+E63+E64+E65+E67+E68+E69+E71+E73+E75+E77</f>
        <v>1156924869.72</v>
      </c>
      <c r="F24" s="48">
        <f t="shared" si="2"/>
        <v>809372471</v>
      </c>
      <c r="G24" s="48">
        <f t="shared" si="2"/>
        <v>87415170</v>
      </c>
      <c r="H24" s="48">
        <f t="shared" si="2"/>
        <v>0</v>
      </c>
      <c r="I24" s="48">
        <f t="shared" si="2"/>
        <v>53874935.980000004</v>
      </c>
      <c r="J24" s="48">
        <f t="shared" si="2"/>
        <v>14255335.979999999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14258465.979999999</v>
      </c>
      <c r="O24" s="48">
        <f t="shared" si="2"/>
        <v>1210799805.7</v>
      </c>
    </row>
    <row r="25" spans="1:15" s="53" customFormat="1" ht="31.5" x14ac:dyDescent="0.25">
      <c r="A25" s="70"/>
      <c r="B25" s="73"/>
      <c r="C25" s="74" t="s">
        <v>389</v>
      </c>
      <c r="D25" s="75">
        <f>D49+D52+D54</f>
        <v>482448000</v>
      </c>
      <c r="E25" s="75">
        <f t="shared" ref="E25:O25" si="3">E49+E52+E54</f>
        <v>482448000</v>
      </c>
      <c r="F25" s="75">
        <f t="shared" si="3"/>
        <v>395816000</v>
      </c>
      <c r="G25" s="75">
        <f t="shared" si="3"/>
        <v>0</v>
      </c>
      <c r="H25" s="75">
        <f t="shared" si="3"/>
        <v>0</v>
      </c>
      <c r="I25" s="75">
        <f t="shared" si="3"/>
        <v>0</v>
      </c>
      <c r="J25" s="75">
        <f t="shared" si="3"/>
        <v>0</v>
      </c>
      <c r="K25" s="75">
        <f t="shared" si="3"/>
        <v>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482448000</v>
      </c>
    </row>
    <row r="26" spans="1:15" s="53" customFormat="1" ht="47.25" x14ac:dyDescent="0.25">
      <c r="A26" s="70"/>
      <c r="B26" s="73"/>
      <c r="C26" s="76" t="s">
        <v>543</v>
      </c>
      <c r="D26" s="75">
        <f>D56</f>
        <v>363000</v>
      </c>
      <c r="E26" s="75">
        <f t="shared" ref="E26:O26" si="4">E56</f>
        <v>363000</v>
      </c>
      <c r="F26" s="75">
        <f t="shared" si="4"/>
        <v>0</v>
      </c>
      <c r="G26" s="75">
        <f t="shared" si="4"/>
        <v>0</v>
      </c>
      <c r="H26" s="75">
        <f t="shared" si="4"/>
        <v>0</v>
      </c>
      <c r="I26" s="75">
        <f t="shared" si="4"/>
        <v>1637000</v>
      </c>
      <c r="J26" s="75">
        <f t="shared" si="4"/>
        <v>1637000</v>
      </c>
      <c r="K26" s="75">
        <f t="shared" si="4"/>
        <v>0</v>
      </c>
      <c r="L26" s="75">
        <f t="shared" si="4"/>
        <v>0</v>
      </c>
      <c r="M26" s="75">
        <f t="shared" si="4"/>
        <v>0</v>
      </c>
      <c r="N26" s="75">
        <f t="shared" si="4"/>
        <v>1637000</v>
      </c>
      <c r="O26" s="75">
        <f t="shared" si="4"/>
        <v>2000000</v>
      </c>
    </row>
    <row r="27" spans="1:15" s="53" customFormat="1" ht="47.25" x14ac:dyDescent="0.25">
      <c r="A27" s="70"/>
      <c r="B27" s="73"/>
      <c r="C27" s="74" t="s">
        <v>384</v>
      </c>
      <c r="D27" s="75">
        <f>D50+D66</f>
        <v>3578416</v>
      </c>
      <c r="E27" s="75">
        <f t="shared" ref="E27:O27" si="5">E50+E66</f>
        <v>3578416</v>
      </c>
      <c r="F27" s="75">
        <f t="shared" si="5"/>
        <v>1228720</v>
      </c>
      <c r="G27" s="75">
        <f t="shared" si="5"/>
        <v>0</v>
      </c>
      <c r="H27" s="75">
        <f t="shared" si="5"/>
        <v>0</v>
      </c>
      <c r="I27" s="75">
        <f t="shared" si="5"/>
        <v>0</v>
      </c>
      <c r="J27" s="75">
        <f t="shared" si="5"/>
        <v>0</v>
      </c>
      <c r="K27" s="75">
        <f t="shared" si="5"/>
        <v>0</v>
      </c>
      <c r="L27" s="75">
        <f t="shared" si="5"/>
        <v>0</v>
      </c>
      <c r="M27" s="75">
        <f t="shared" si="5"/>
        <v>0</v>
      </c>
      <c r="N27" s="75">
        <f t="shared" si="5"/>
        <v>0</v>
      </c>
      <c r="O27" s="75">
        <f t="shared" si="5"/>
        <v>3578416</v>
      </c>
    </row>
    <row r="28" spans="1:15" s="53" customFormat="1" ht="47.25" hidden="1" x14ac:dyDescent="0.25">
      <c r="A28" s="70"/>
      <c r="B28" s="73"/>
      <c r="C28" s="74" t="s">
        <v>386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s="53" customFormat="1" ht="50.25" customHeight="1" x14ac:dyDescent="0.25">
      <c r="A29" s="70"/>
      <c r="B29" s="73"/>
      <c r="C29" s="76" t="s">
        <v>383</v>
      </c>
      <c r="D29" s="75">
        <f>D76</f>
        <v>2417470</v>
      </c>
      <c r="E29" s="75">
        <f t="shared" ref="E29:O29" si="6">E76</f>
        <v>2417470</v>
      </c>
      <c r="F29" s="75">
        <f t="shared" si="6"/>
        <v>1299695</v>
      </c>
      <c r="G29" s="75">
        <f t="shared" si="6"/>
        <v>0</v>
      </c>
      <c r="H29" s="75">
        <f t="shared" si="6"/>
        <v>0</v>
      </c>
      <c r="I29" s="75">
        <f t="shared" si="6"/>
        <v>72000</v>
      </c>
      <c r="J29" s="75">
        <f t="shared" si="6"/>
        <v>72000</v>
      </c>
      <c r="K29" s="75">
        <f t="shared" si="6"/>
        <v>0</v>
      </c>
      <c r="L29" s="75">
        <f t="shared" si="6"/>
        <v>0</v>
      </c>
      <c r="M29" s="75">
        <f t="shared" si="6"/>
        <v>0</v>
      </c>
      <c r="N29" s="75">
        <f t="shared" si="6"/>
        <v>72000</v>
      </c>
      <c r="O29" s="75">
        <f t="shared" si="6"/>
        <v>2489470</v>
      </c>
    </row>
    <row r="30" spans="1:15" s="53" customFormat="1" ht="63" hidden="1" x14ac:dyDescent="0.25">
      <c r="A30" s="70"/>
      <c r="B30" s="73"/>
      <c r="C30" s="74" t="s">
        <v>385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s="53" customFormat="1" ht="63" x14ac:dyDescent="0.25">
      <c r="A31" s="70"/>
      <c r="B31" s="70"/>
      <c r="C31" s="76" t="s">
        <v>523</v>
      </c>
      <c r="D31" s="75">
        <f>D78</f>
        <v>1315285.79</v>
      </c>
      <c r="E31" s="75">
        <f t="shared" ref="E31:O31" si="7">E78</f>
        <v>1315285.79</v>
      </c>
      <c r="F31" s="75">
        <f t="shared" si="7"/>
        <v>1034620</v>
      </c>
      <c r="G31" s="75">
        <f t="shared" si="7"/>
        <v>0</v>
      </c>
      <c r="H31" s="75">
        <f t="shared" si="7"/>
        <v>0</v>
      </c>
      <c r="I31" s="75">
        <f t="shared" si="7"/>
        <v>0</v>
      </c>
      <c r="J31" s="75">
        <f t="shared" si="7"/>
        <v>0</v>
      </c>
      <c r="K31" s="75">
        <f t="shared" si="7"/>
        <v>0</v>
      </c>
      <c r="L31" s="75">
        <f t="shared" si="7"/>
        <v>0</v>
      </c>
      <c r="M31" s="75">
        <f t="shared" si="7"/>
        <v>0</v>
      </c>
      <c r="N31" s="75">
        <f t="shared" si="7"/>
        <v>0</v>
      </c>
      <c r="O31" s="75">
        <f t="shared" si="7"/>
        <v>1315285.79</v>
      </c>
    </row>
    <row r="32" spans="1:15" s="53" customFormat="1" ht="31.5" x14ac:dyDescent="0.25">
      <c r="A32" s="70"/>
      <c r="B32" s="70"/>
      <c r="C32" s="76" t="s">
        <v>540</v>
      </c>
      <c r="D32" s="75">
        <f>D57+D59</f>
        <v>741017.59999999998</v>
      </c>
      <c r="E32" s="75">
        <f t="shared" ref="E32:O32" si="8">E57+E59</f>
        <v>741017.59999999998</v>
      </c>
      <c r="F32" s="75">
        <f t="shared" si="8"/>
        <v>0</v>
      </c>
      <c r="G32" s="75">
        <f t="shared" si="8"/>
        <v>0</v>
      </c>
      <c r="H32" s="75">
        <f t="shared" si="8"/>
        <v>0</v>
      </c>
      <c r="I32" s="75">
        <f t="shared" si="8"/>
        <v>4356725.18</v>
      </c>
      <c r="J32" s="75">
        <f t="shared" si="8"/>
        <v>4356725.18</v>
      </c>
      <c r="K32" s="75">
        <f t="shared" si="8"/>
        <v>0</v>
      </c>
      <c r="L32" s="75">
        <f t="shared" si="8"/>
        <v>0</v>
      </c>
      <c r="M32" s="75">
        <f t="shared" si="8"/>
        <v>0</v>
      </c>
      <c r="N32" s="75">
        <f t="shared" si="8"/>
        <v>4356725.18</v>
      </c>
      <c r="O32" s="75">
        <f t="shared" si="8"/>
        <v>5097742.7799999993</v>
      </c>
    </row>
    <row r="33" spans="1:15" s="53" customFormat="1" ht="55.5" customHeight="1" x14ac:dyDescent="0.25">
      <c r="A33" s="70"/>
      <c r="B33" s="70"/>
      <c r="C33" s="76" t="s">
        <v>602</v>
      </c>
      <c r="D33" s="75">
        <f>D70</f>
        <v>287772</v>
      </c>
      <c r="E33" s="75">
        <f t="shared" ref="E33:O33" si="9">E70</f>
        <v>287772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2859728</v>
      </c>
      <c r="J33" s="75">
        <f t="shared" si="9"/>
        <v>2859728</v>
      </c>
      <c r="K33" s="75">
        <f t="shared" si="9"/>
        <v>0</v>
      </c>
      <c r="L33" s="75">
        <f t="shared" si="9"/>
        <v>0</v>
      </c>
      <c r="M33" s="75">
        <f t="shared" si="9"/>
        <v>0</v>
      </c>
      <c r="N33" s="75">
        <f t="shared" si="9"/>
        <v>2859728</v>
      </c>
      <c r="O33" s="75">
        <f t="shared" si="9"/>
        <v>3147500</v>
      </c>
    </row>
    <row r="34" spans="1:15" s="53" customFormat="1" ht="63" x14ac:dyDescent="0.25">
      <c r="A34" s="70"/>
      <c r="B34" s="70"/>
      <c r="C34" s="76" t="s">
        <v>559</v>
      </c>
      <c r="D34" s="75">
        <f>D74</f>
        <v>4801508.3</v>
      </c>
      <c r="E34" s="75">
        <f t="shared" ref="E34:O34" si="10">E74</f>
        <v>4801508.3</v>
      </c>
      <c r="F34" s="75">
        <f t="shared" si="10"/>
        <v>0</v>
      </c>
      <c r="G34" s="75">
        <f t="shared" si="10"/>
        <v>0</v>
      </c>
      <c r="H34" s="75">
        <f t="shared" si="10"/>
        <v>0</v>
      </c>
      <c r="I34" s="75">
        <f t="shared" si="10"/>
        <v>644352.70000000007</v>
      </c>
      <c r="J34" s="75">
        <f t="shared" si="10"/>
        <v>644352.70000000007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644352.70000000007</v>
      </c>
      <c r="O34" s="75">
        <f t="shared" si="10"/>
        <v>5445861</v>
      </c>
    </row>
    <row r="35" spans="1:15" s="53" customFormat="1" x14ac:dyDescent="0.25">
      <c r="A35" s="70"/>
      <c r="B35" s="70"/>
      <c r="C35" s="76" t="s">
        <v>395</v>
      </c>
      <c r="D35" s="75">
        <f>D72</f>
        <v>150000</v>
      </c>
      <c r="E35" s="75">
        <f t="shared" ref="E35:O35" si="11">E72</f>
        <v>150000</v>
      </c>
      <c r="F35" s="75">
        <f t="shared" si="11"/>
        <v>0</v>
      </c>
      <c r="G35" s="75">
        <f t="shared" si="11"/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0</v>
      </c>
      <c r="M35" s="75">
        <f t="shared" si="11"/>
        <v>0</v>
      </c>
      <c r="N35" s="75">
        <f t="shared" si="11"/>
        <v>0</v>
      </c>
      <c r="O35" s="75">
        <f t="shared" si="11"/>
        <v>150000</v>
      </c>
    </row>
    <row r="36" spans="1:15" ht="17.25" customHeight="1" x14ac:dyDescent="0.25">
      <c r="A36" s="37" t="s">
        <v>48</v>
      </c>
      <c r="B36" s="37" t="s">
        <v>49</v>
      </c>
      <c r="C36" s="6" t="s">
        <v>502</v>
      </c>
      <c r="D36" s="49">
        <f>'дод 3'!E78</f>
        <v>312891086</v>
      </c>
      <c r="E36" s="49">
        <f>'дод 3'!F78</f>
        <v>312891086</v>
      </c>
      <c r="F36" s="49">
        <f>'дод 3'!G78</f>
        <v>204672330</v>
      </c>
      <c r="G36" s="49">
        <f>'дод 3'!H78</f>
        <v>32970107</v>
      </c>
      <c r="H36" s="49">
        <f>'дод 3'!I78</f>
        <v>0</v>
      </c>
      <c r="I36" s="49">
        <f>'дод 3'!J78</f>
        <v>13014798</v>
      </c>
      <c r="J36" s="49">
        <f>'дод 3'!K78</f>
        <v>1255098</v>
      </c>
      <c r="K36" s="49">
        <f>'дод 3'!L78</f>
        <v>11759700</v>
      </c>
      <c r="L36" s="49">
        <f>'дод 3'!M78</f>
        <v>0</v>
      </c>
      <c r="M36" s="49">
        <f>'дод 3'!N78</f>
        <v>0</v>
      </c>
      <c r="N36" s="49">
        <f>'дод 3'!O78</f>
        <v>1255098</v>
      </c>
      <c r="O36" s="49">
        <f>'дод 3'!P78</f>
        <v>325905884</v>
      </c>
    </row>
    <row r="37" spans="1:15" s="54" customFormat="1" ht="47.25" hidden="1" customHeight="1" x14ac:dyDescent="0.25">
      <c r="A37" s="77"/>
      <c r="B37" s="77"/>
      <c r="C37" s="78" t="s">
        <v>383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38.25" customHeight="1" x14ac:dyDescent="0.25">
      <c r="A38" s="37">
        <v>1021</v>
      </c>
      <c r="B38" s="37" t="s">
        <v>51</v>
      </c>
      <c r="C38" s="60" t="s">
        <v>470</v>
      </c>
      <c r="D38" s="49">
        <f>'дод 3'!E79</f>
        <v>224822308.69999999</v>
      </c>
      <c r="E38" s="49">
        <f>'дод 3'!F79</f>
        <v>224822308.69999999</v>
      </c>
      <c r="F38" s="49">
        <f>'дод 3'!G79</f>
        <v>116673485.94</v>
      </c>
      <c r="G38" s="49">
        <f>'дод 3'!H79</f>
        <v>46189009.549999997</v>
      </c>
      <c r="H38" s="49">
        <f>'дод 3'!I79</f>
        <v>0</v>
      </c>
      <c r="I38" s="49">
        <f>'дод 3'!J79</f>
        <v>26423904</v>
      </c>
      <c r="J38" s="49">
        <f>'дод 3'!K79</f>
        <v>1293104</v>
      </c>
      <c r="K38" s="49">
        <f>'дод 3'!L79</f>
        <v>25130800</v>
      </c>
      <c r="L38" s="49">
        <f>'дод 3'!M79</f>
        <v>2268060</v>
      </c>
      <c r="M38" s="49">
        <f>'дод 3'!N79</f>
        <v>139890</v>
      </c>
      <c r="N38" s="49">
        <f>'дод 3'!O79</f>
        <v>1293104</v>
      </c>
      <c r="O38" s="49">
        <f>'дод 3'!P79</f>
        <v>251246212.69999999</v>
      </c>
    </row>
    <row r="39" spans="1:15" s="54" customFormat="1" ht="63" hidden="1" customHeight="1" x14ac:dyDescent="0.25">
      <c r="A39" s="77"/>
      <c r="B39" s="77"/>
      <c r="C39" s="78" t="s">
        <v>387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s="54" customFormat="1" ht="47.25" hidden="1" customHeight="1" x14ac:dyDescent="0.25">
      <c r="A40" s="77"/>
      <c r="B40" s="77"/>
      <c r="C40" s="78" t="s">
        <v>384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s="54" customFormat="1" ht="47.25" hidden="1" customHeight="1" x14ac:dyDescent="0.25">
      <c r="A41" s="77"/>
      <c r="B41" s="77"/>
      <c r="C41" s="78" t="s">
        <v>386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s="54" customFormat="1" ht="47.25" hidden="1" customHeight="1" x14ac:dyDescent="0.25">
      <c r="A42" s="77"/>
      <c r="B42" s="77"/>
      <c r="C42" s="78" t="s">
        <v>383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s="54" customFormat="1" ht="31.5" hidden="1" customHeight="1" x14ac:dyDescent="0.25">
      <c r="A43" s="77"/>
      <c r="B43" s="77"/>
      <c r="C43" s="78" t="s">
        <v>389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s="54" customFormat="1" ht="63" hidden="1" customHeight="1" x14ac:dyDescent="0.25">
      <c r="A44" s="77"/>
      <c r="B44" s="77"/>
      <c r="C44" s="78" t="s">
        <v>385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69.75" customHeight="1" x14ac:dyDescent="0.25">
      <c r="A45" s="37">
        <v>1022</v>
      </c>
      <c r="B45" s="59" t="s">
        <v>55</v>
      </c>
      <c r="C45" s="36" t="s">
        <v>472</v>
      </c>
      <c r="D45" s="49">
        <f>'дод 3'!E80</f>
        <v>15021607</v>
      </c>
      <c r="E45" s="49">
        <f>'дод 3'!F80</f>
        <v>15021607</v>
      </c>
      <c r="F45" s="49">
        <f>'дод 3'!G80</f>
        <v>8830500</v>
      </c>
      <c r="G45" s="49">
        <f>'дод 3'!H80</f>
        <v>2117607</v>
      </c>
      <c r="H45" s="49">
        <f>'дод 3'!I80</f>
        <v>0</v>
      </c>
      <c r="I45" s="49">
        <f>'дод 3'!J80</f>
        <v>97000</v>
      </c>
      <c r="J45" s="49">
        <f>'дод 3'!K80</f>
        <v>97000</v>
      </c>
      <c r="K45" s="49">
        <f>'дод 3'!L80</f>
        <v>0</v>
      </c>
      <c r="L45" s="49">
        <f>'дод 3'!M80</f>
        <v>0</v>
      </c>
      <c r="M45" s="49">
        <f>'дод 3'!N80</f>
        <v>0</v>
      </c>
      <c r="N45" s="49">
        <f>'дод 3'!O80</f>
        <v>97000</v>
      </c>
      <c r="O45" s="49">
        <f>'дод 3'!P80</f>
        <v>15118607</v>
      </c>
    </row>
    <row r="46" spans="1:15" ht="63" hidden="1" x14ac:dyDescent="0.25">
      <c r="A46" s="37"/>
      <c r="B46" s="37"/>
      <c r="C46" s="78" t="s">
        <v>387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63" x14ac:dyDescent="0.25">
      <c r="A47" s="37">
        <v>1025</v>
      </c>
      <c r="B47" s="37" t="s">
        <v>55</v>
      </c>
      <c r="C47" s="3" t="s">
        <v>598</v>
      </c>
      <c r="D47" s="49">
        <f>'дод 3'!E81</f>
        <v>4167674.43</v>
      </c>
      <c r="E47" s="49">
        <f>'дод 3'!F81</f>
        <v>4167674.43</v>
      </c>
      <c r="F47" s="49">
        <f>'дод 3'!G81</f>
        <v>2829220.06</v>
      </c>
      <c r="G47" s="49">
        <f>'дод 3'!H81</f>
        <v>410366.45</v>
      </c>
      <c r="H47" s="49">
        <f>'дод 3'!I81</f>
        <v>0</v>
      </c>
      <c r="I47" s="49">
        <f>'дод 3'!J81</f>
        <v>0</v>
      </c>
      <c r="J47" s="49">
        <f>'дод 3'!K81</f>
        <v>0</v>
      </c>
      <c r="K47" s="49">
        <f>'дод 3'!L81</f>
        <v>0</v>
      </c>
      <c r="L47" s="49">
        <f>'дод 3'!M81</f>
        <v>0</v>
      </c>
      <c r="M47" s="49">
        <f>'дод 3'!N81</f>
        <v>0</v>
      </c>
      <c r="N47" s="49">
        <f>'дод 3'!O81</f>
        <v>0</v>
      </c>
      <c r="O47" s="49">
        <f>'дод 3'!P81</f>
        <v>4167674.43</v>
      </c>
    </row>
    <row r="48" spans="1:15" s="54" customFormat="1" ht="35.25" customHeight="1" x14ac:dyDescent="0.25">
      <c r="A48" s="92">
        <v>1031</v>
      </c>
      <c r="B48" s="59" t="s">
        <v>51</v>
      </c>
      <c r="C48" s="60" t="s">
        <v>503</v>
      </c>
      <c r="D48" s="49">
        <f>'дод 3'!E82</f>
        <v>468297758.54000002</v>
      </c>
      <c r="E48" s="49">
        <f>'дод 3'!F82</f>
        <v>468297758.54000002</v>
      </c>
      <c r="F48" s="49">
        <f>'дод 3'!G82</f>
        <v>382501138.35000002</v>
      </c>
      <c r="G48" s="49">
        <f>'дод 3'!H82</f>
        <v>0</v>
      </c>
      <c r="H48" s="49">
        <f>'дод 3'!I82</f>
        <v>0</v>
      </c>
      <c r="I48" s="49">
        <f>'дод 3'!J82</f>
        <v>0</v>
      </c>
      <c r="J48" s="49">
        <f>'дод 3'!K82</f>
        <v>0</v>
      </c>
      <c r="K48" s="49">
        <f>'дод 3'!L82</f>
        <v>0</v>
      </c>
      <c r="L48" s="49">
        <f>'дод 3'!M82</f>
        <v>0</v>
      </c>
      <c r="M48" s="49">
        <f>'дод 3'!N82</f>
        <v>0</v>
      </c>
      <c r="N48" s="49">
        <f>'дод 3'!O82</f>
        <v>0</v>
      </c>
      <c r="O48" s="49">
        <f>'дод 3'!P82</f>
        <v>468297758.54000002</v>
      </c>
    </row>
    <row r="49" spans="1:15" s="54" customFormat="1" ht="31.5" x14ac:dyDescent="0.25">
      <c r="A49" s="77"/>
      <c r="B49" s="77"/>
      <c r="C49" s="86" t="s">
        <v>389</v>
      </c>
      <c r="D49" s="79">
        <f>'дод 3'!E83</f>
        <v>466218378.54000002</v>
      </c>
      <c r="E49" s="79">
        <f>'дод 3'!F83</f>
        <v>466218378.54000002</v>
      </c>
      <c r="F49" s="79">
        <f>'дод 3'!G83</f>
        <v>382501138.35000002</v>
      </c>
      <c r="G49" s="79">
        <f>'дод 3'!H83</f>
        <v>0</v>
      </c>
      <c r="H49" s="79">
        <f>'дод 3'!I83</f>
        <v>0</v>
      </c>
      <c r="I49" s="79">
        <f>'дод 3'!J83</f>
        <v>0</v>
      </c>
      <c r="J49" s="79">
        <f>'дод 3'!K83</f>
        <v>0</v>
      </c>
      <c r="K49" s="79">
        <f>'дод 3'!L83</f>
        <v>0</v>
      </c>
      <c r="L49" s="79">
        <f>'дод 3'!M83</f>
        <v>0</v>
      </c>
      <c r="M49" s="79">
        <f>'дод 3'!N83</f>
        <v>0</v>
      </c>
      <c r="N49" s="79">
        <f>'дод 3'!O83</f>
        <v>0</v>
      </c>
      <c r="O49" s="79">
        <f>'дод 3'!P83</f>
        <v>466218378.54000002</v>
      </c>
    </row>
    <row r="50" spans="1:15" ht="50.25" customHeight="1" x14ac:dyDescent="0.25">
      <c r="A50" s="37"/>
      <c r="B50" s="37"/>
      <c r="C50" s="86" t="s">
        <v>384</v>
      </c>
      <c r="D50" s="79">
        <f>'дод 3'!E84</f>
        <v>2079380</v>
      </c>
      <c r="E50" s="79">
        <f>'дод 3'!F84</f>
        <v>2079380</v>
      </c>
      <c r="F50" s="79">
        <f>'дод 3'!G84</f>
        <v>0</v>
      </c>
      <c r="G50" s="79">
        <f>'дод 3'!H84</f>
        <v>0</v>
      </c>
      <c r="H50" s="79">
        <f>'дод 3'!I84</f>
        <v>0</v>
      </c>
      <c r="I50" s="79">
        <f>'дод 3'!J84</f>
        <v>0</v>
      </c>
      <c r="J50" s="79">
        <f>'дод 3'!K84</f>
        <v>0</v>
      </c>
      <c r="K50" s="79">
        <f>'дод 3'!L84</f>
        <v>0</v>
      </c>
      <c r="L50" s="79">
        <f>'дод 3'!M84</f>
        <v>0</v>
      </c>
      <c r="M50" s="79">
        <f>'дод 3'!N84</f>
        <v>0</v>
      </c>
      <c r="N50" s="79">
        <f>'дод 3'!O84</f>
        <v>0</v>
      </c>
      <c r="O50" s="79">
        <f>'дод 3'!P84</f>
        <v>2079380</v>
      </c>
    </row>
    <row r="51" spans="1:15" ht="63.75" customHeight="1" x14ac:dyDescent="0.25">
      <c r="A51" s="59" t="s">
        <v>475</v>
      </c>
      <c r="B51" s="59" t="s">
        <v>55</v>
      </c>
      <c r="C51" s="60" t="s">
        <v>504</v>
      </c>
      <c r="D51" s="49">
        <f>'дод 3'!E85</f>
        <v>15808500</v>
      </c>
      <c r="E51" s="49">
        <f>'дод 3'!F85</f>
        <v>15808500</v>
      </c>
      <c r="F51" s="49">
        <f>'дод 3'!G85</f>
        <v>12969100</v>
      </c>
      <c r="G51" s="49">
        <f>'дод 3'!H85</f>
        <v>0</v>
      </c>
      <c r="H51" s="49">
        <f>'дод 3'!I85</f>
        <v>0</v>
      </c>
      <c r="I51" s="49">
        <f>'дод 3'!J85</f>
        <v>0</v>
      </c>
      <c r="J51" s="49">
        <f>'дод 3'!K85</f>
        <v>0</v>
      </c>
      <c r="K51" s="49">
        <f>'дод 3'!L85</f>
        <v>0</v>
      </c>
      <c r="L51" s="49">
        <f>'дод 3'!M85</f>
        <v>0</v>
      </c>
      <c r="M51" s="49">
        <f>'дод 3'!N85</f>
        <v>0</v>
      </c>
      <c r="N51" s="49">
        <f>'дод 3'!O85</f>
        <v>0</v>
      </c>
      <c r="O51" s="49">
        <f>'дод 3'!P85</f>
        <v>15808500</v>
      </c>
    </row>
    <row r="52" spans="1:15" ht="31.5" x14ac:dyDescent="0.25">
      <c r="A52" s="37"/>
      <c r="B52" s="37"/>
      <c r="C52" s="86" t="s">
        <v>389</v>
      </c>
      <c r="D52" s="79">
        <f>'дод 3'!E86</f>
        <v>15808500</v>
      </c>
      <c r="E52" s="79">
        <f>'дод 3'!F86</f>
        <v>15808500</v>
      </c>
      <c r="F52" s="79">
        <f>'дод 3'!G86</f>
        <v>12969100</v>
      </c>
      <c r="G52" s="79">
        <f>'дод 3'!H86</f>
        <v>0</v>
      </c>
      <c r="H52" s="79">
        <f>'дод 3'!I86</f>
        <v>0</v>
      </c>
      <c r="I52" s="79">
        <f>'дод 3'!J86</f>
        <v>0</v>
      </c>
      <c r="J52" s="79">
        <f>'дод 3'!K86</f>
        <v>0</v>
      </c>
      <c r="K52" s="79">
        <f>'дод 3'!L86</f>
        <v>0</v>
      </c>
      <c r="L52" s="79">
        <f>'дод 3'!M86</f>
        <v>0</v>
      </c>
      <c r="M52" s="79">
        <f>'дод 3'!N86</f>
        <v>0</v>
      </c>
      <c r="N52" s="79">
        <f>'дод 3'!O86</f>
        <v>0</v>
      </c>
      <c r="O52" s="79">
        <f>'дод 3'!P86</f>
        <v>15808500</v>
      </c>
    </row>
    <row r="53" spans="1:15" ht="66.75" customHeight="1" x14ac:dyDescent="0.25">
      <c r="A53" s="37">
        <v>1035</v>
      </c>
      <c r="B53" s="37" t="s">
        <v>55</v>
      </c>
      <c r="C53" s="36" t="s">
        <v>600</v>
      </c>
      <c r="D53" s="49">
        <f>'дод 3'!E87</f>
        <v>421121.46</v>
      </c>
      <c r="E53" s="49">
        <f>'дод 3'!F87</f>
        <v>421121.46</v>
      </c>
      <c r="F53" s="49">
        <f>'дод 3'!G87</f>
        <v>345761.65</v>
      </c>
      <c r="G53" s="49">
        <f>'дод 3'!H87</f>
        <v>0</v>
      </c>
      <c r="H53" s="49">
        <f>'дод 3'!I87</f>
        <v>0</v>
      </c>
      <c r="I53" s="49">
        <f>'дод 3'!J87</f>
        <v>0</v>
      </c>
      <c r="J53" s="49">
        <f>'дод 3'!K87</f>
        <v>0</v>
      </c>
      <c r="K53" s="49">
        <f>'дод 3'!L87</f>
        <v>0</v>
      </c>
      <c r="L53" s="49">
        <f>'дод 3'!M87</f>
        <v>0</v>
      </c>
      <c r="M53" s="49">
        <f>'дод 3'!N87</f>
        <v>0</v>
      </c>
      <c r="N53" s="49">
        <f>'дод 3'!O87</f>
        <v>0</v>
      </c>
      <c r="O53" s="49">
        <f>'дод 3'!P87</f>
        <v>421121.46</v>
      </c>
    </row>
    <row r="54" spans="1:15" ht="31.5" x14ac:dyDescent="0.25">
      <c r="A54" s="37"/>
      <c r="B54" s="37"/>
      <c r="C54" s="86" t="s">
        <v>389</v>
      </c>
      <c r="D54" s="79">
        <f>'дод 3'!E88</f>
        <v>421121.46</v>
      </c>
      <c r="E54" s="79">
        <f>'дод 3'!F88</f>
        <v>421121.46</v>
      </c>
      <c r="F54" s="79">
        <f>'дод 3'!G88</f>
        <v>345761.65</v>
      </c>
      <c r="G54" s="79">
        <f>'дод 3'!H88</f>
        <v>0</v>
      </c>
      <c r="H54" s="79">
        <f>'дод 3'!I88</f>
        <v>0</v>
      </c>
      <c r="I54" s="79">
        <f>'дод 3'!J88</f>
        <v>0</v>
      </c>
      <c r="J54" s="79">
        <f>'дод 3'!K88</f>
        <v>0</v>
      </c>
      <c r="K54" s="79">
        <f>'дод 3'!L88</f>
        <v>0</v>
      </c>
      <c r="L54" s="79">
        <f>'дод 3'!M88</f>
        <v>0</v>
      </c>
      <c r="M54" s="79">
        <f>'дод 3'!N88</f>
        <v>0</v>
      </c>
      <c r="N54" s="79">
        <f>'дод 3'!O88</f>
        <v>0</v>
      </c>
      <c r="O54" s="79">
        <f>'дод 3'!P88</f>
        <v>421121.46</v>
      </c>
    </row>
    <row r="55" spans="1:15" ht="31.5" x14ac:dyDescent="0.25">
      <c r="A55" s="37">
        <v>1061</v>
      </c>
      <c r="B55" s="59" t="s">
        <v>51</v>
      </c>
      <c r="C55" s="36" t="s">
        <v>532</v>
      </c>
      <c r="D55" s="49">
        <f>'дод 3'!E89</f>
        <v>1064017.6000000001</v>
      </c>
      <c r="E55" s="49">
        <f>'дод 3'!F89</f>
        <v>1064017.6000000001</v>
      </c>
      <c r="F55" s="49">
        <f>'дод 3'!G89</f>
        <v>0</v>
      </c>
      <c r="G55" s="49">
        <f>'дод 3'!H89</f>
        <v>0</v>
      </c>
      <c r="H55" s="49">
        <f>'дод 3'!I89</f>
        <v>0</v>
      </c>
      <c r="I55" s="49">
        <f>'дод 3'!J89</f>
        <v>5993725.1799999997</v>
      </c>
      <c r="J55" s="49">
        <f>'дод 3'!K89</f>
        <v>5993725.1799999997</v>
      </c>
      <c r="K55" s="49">
        <f>'дод 3'!L89</f>
        <v>0</v>
      </c>
      <c r="L55" s="49">
        <f>'дод 3'!M89</f>
        <v>0</v>
      </c>
      <c r="M55" s="49">
        <f>'дод 3'!N89</f>
        <v>0</v>
      </c>
      <c r="N55" s="49">
        <f>'дод 3'!O89</f>
        <v>5993725.1799999997</v>
      </c>
      <c r="O55" s="49">
        <f>'дод 3'!P89</f>
        <v>7057742.7799999993</v>
      </c>
    </row>
    <row r="56" spans="1:15" ht="48.75" customHeight="1" x14ac:dyDescent="0.25">
      <c r="A56" s="37"/>
      <c r="B56" s="59"/>
      <c r="C56" s="86" t="s">
        <v>543</v>
      </c>
      <c r="D56" s="79">
        <f>'дод 3'!E90</f>
        <v>363000</v>
      </c>
      <c r="E56" s="79">
        <f>'дод 3'!F90</f>
        <v>363000</v>
      </c>
      <c r="F56" s="79">
        <f>'дод 3'!G90</f>
        <v>0</v>
      </c>
      <c r="G56" s="79">
        <f>'дод 3'!H90</f>
        <v>0</v>
      </c>
      <c r="H56" s="79">
        <f>'дод 3'!I90</f>
        <v>0</v>
      </c>
      <c r="I56" s="79">
        <f>'дод 3'!J90</f>
        <v>1637000</v>
      </c>
      <c r="J56" s="79">
        <f>'дод 3'!K90</f>
        <v>1637000</v>
      </c>
      <c r="K56" s="79">
        <f>'дод 3'!L90</f>
        <v>0</v>
      </c>
      <c r="L56" s="79">
        <f>'дод 3'!M90</f>
        <v>0</v>
      </c>
      <c r="M56" s="79">
        <f>'дод 3'!N90</f>
        <v>0</v>
      </c>
      <c r="N56" s="79">
        <f>'дод 3'!O90</f>
        <v>1637000</v>
      </c>
      <c r="O56" s="79">
        <f>'дод 3'!P90</f>
        <v>2000000</v>
      </c>
    </row>
    <row r="57" spans="1:15" s="54" customFormat="1" ht="32.25" customHeight="1" x14ac:dyDescent="0.25">
      <c r="A57" s="77"/>
      <c r="B57" s="83"/>
      <c r="C57" s="86" t="s">
        <v>540</v>
      </c>
      <c r="D57" s="79">
        <f>'дод 3'!E91</f>
        <v>701017.59999999998</v>
      </c>
      <c r="E57" s="79">
        <f>'дод 3'!F91</f>
        <v>701017.59999999998</v>
      </c>
      <c r="F57" s="79">
        <f>'дод 3'!G91</f>
        <v>0</v>
      </c>
      <c r="G57" s="79">
        <f>'дод 3'!H91</f>
        <v>0</v>
      </c>
      <c r="H57" s="79">
        <f>'дод 3'!I91</f>
        <v>0</v>
      </c>
      <c r="I57" s="79">
        <f>'дод 3'!J91</f>
        <v>4356725.18</v>
      </c>
      <c r="J57" s="79">
        <f>'дод 3'!K91</f>
        <v>4356725.18</v>
      </c>
      <c r="K57" s="79">
        <f>'дод 3'!L91</f>
        <v>0</v>
      </c>
      <c r="L57" s="79">
        <f>'дод 3'!M91</f>
        <v>0</v>
      </c>
      <c r="M57" s="79">
        <f>'дод 3'!N91</f>
        <v>0</v>
      </c>
      <c r="N57" s="79">
        <f>'дод 3'!O91</f>
        <v>4356725.18</v>
      </c>
      <c r="O57" s="79">
        <f>'дод 3'!P91</f>
        <v>5057742.7799999993</v>
      </c>
    </row>
    <row r="58" spans="1:15" s="54" customFormat="1" ht="69" customHeight="1" x14ac:dyDescent="0.25">
      <c r="A58" s="37">
        <v>1062</v>
      </c>
      <c r="B58" s="59" t="s">
        <v>55</v>
      </c>
      <c r="C58" s="60" t="s">
        <v>504</v>
      </c>
      <c r="D58" s="49">
        <f>'дод 3'!E92</f>
        <v>40000</v>
      </c>
      <c r="E58" s="49">
        <f>'дод 3'!F92</f>
        <v>40000</v>
      </c>
      <c r="F58" s="49">
        <f>'дод 3'!G92</f>
        <v>0</v>
      </c>
      <c r="G58" s="49">
        <f>'дод 3'!H92</f>
        <v>0</v>
      </c>
      <c r="H58" s="49">
        <f>'дод 3'!I92</f>
        <v>0</v>
      </c>
      <c r="I58" s="49">
        <f>'дод 3'!J92</f>
        <v>0</v>
      </c>
      <c r="J58" s="49">
        <f>'дод 3'!K92</f>
        <v>0</v>
      </c>
      <c r="K58" s="49">
        <f>'дод 3'!L92</f>
        <v>0</v>
      </c>
      <c r="L58" s="49">
        <f>'дод 3'!M92</f>
        <v>0</v>
      </c>
      <c r="M58" s="49">
        <f>'дод 3'!N92</f>
        <v>0</v>
      </c>
      <c r="N58" s="49">
        <f>'дод 3'!O92</f>
        <v>0</v>
      </c>
      <c r="O58" s="49">
        <f>'дод 3'!P92</f>
        <v>40000</v>
      </c>
    </row>
    <row r="59" spans="1:15" s="54" customFormat="1" ht="32.25" customHeight="1" x14ac:dyDescent="0.25">
      <c r="A59" s="77"/>
      <c r="B59" s="83"/>
      <c r="C59" s="86" t="s">
        <v>540</v>
      </c>
      <c r="D59" s="79">
        <f>'дод 3'!E93</f>
        <v>40000</v>
      </c>
      <c r="E59" s="79">
        <f>'дод 3'!F93</f>
        <v>40000</v>
      </c>
      <c r="F59" s="79">
        <f>'дод 3'!G93</f>
        <v>0</v>
      </c>
      <c r="G59" s="79">
        <f>'дод 3'!H93</f>
        <v>0</v>
      </c>
      <c r="H59" s="79">
        <f>'дод 3'!I93</f>
        <v>0</v>
      </c>
      <c r="I59" s="79">
        <f>'дод 3'!J93</f>
        <v>0</v>
      </c>
      <c r="J59" s="79">
        <f>'дод 3'!K93</f>
        <v>0</v>
      </c>
      <c r="K59" s="79">
        <f>'дод 3'!L93</f>
        <v>0</v>
      </c>
      <c r="L59" s="79">
        <f>'дод 3'!M93</f>
        <v>0</v>
      </c>
      <c r="M59" s="79">
        <f>'дод 3'!N93</f>
        <v>0</v>
      </c>
      <c r="N59" s="79">
        <f>'дод 3'!O93</f>
        <v>0</v>
      </c>
      <c r="O59" s="79">
        <f>'дод 3'!P93</f>
        <v>40000</v>
      </c>
    </row>
    <row r="60" spans="1:15" s="54" customFormat="1" ht="38.25" customHeight="1" x14ac:dyDescent="0.25">
      <c r="A60" s="59" t="s">
        <v>54</v>
      </c>
      <c r="B60" s="59" t="s">
        <v>57</v>
      </c>
      <c r="C60" s="60" t="s">
        <v>365</v>
      </c>
      <c r="D60" s="49">
        <f>'дод 3'!E94</f>
        <v>36446395</v>
      </c>
      <c r="E60" s="49">
        <f>'дод 3'!F94</f>
        <v>36446395</v>
      </c>
      <c r="F60" s="49">
        <f>'дод 3'!G94</f>
        <v>26185400</v>
      </c>
      <c r="G60" s="49">
        <f>'дод 3'!H94</f>
        <v>3773845</v>
      </c>
      <c r="H60" s="49">
        <f>'дод 3'!I94</f>
        <v>0</v>
      </c>
      <c r="I60" s="49">
        <f>'дод 3'!J94</f>
        <v>112500</v>
      </c>
      <c r="J60" s="49">
        <f>'дод 3'!K94</f>
        <v>112500</v>
      </c>
      <c r="K60" s="49">
        <f>'дод 3'!L94</f>
        <v>0</v>
      </c>
      <c r="L60" s="49">
        <f>'дод 3'!M94</f>
        <v>0</v>
      </c>
      <c r="M60" s="49">
        <f>'дод 3'!N94</f>
        <v>0</v>
      </c>
      <c r="N60" s="49">
        <f>'дод 3'!O94</f>
        <v>112500</v>
      </c>
      <c r="O60" s="49">
        <f>'дод 3'!P94</f>
        <v>36558895</v>
      </c>
    </row>
    <row r="61" spans="1:15" s="54" customFormat="1" ht="16.5" customHeight="1" x14ac:dyDescent="0.25">
      <c r="A61" s="92">
        <v>1080</v>
      </c>
      <c r="B61" s="59" t="s">
        <v>57</v>
      </c>
      <c r="C61" s="60" t="s">
        <v>509</v>
      </c>
      <c r="D61" s="49">
        <f>'дод 3'!E216</f>
        <v>51160475</v>
      </c>
      <c r="E61" s="49">
        <f>'дод 3'!F216</f>
        <v>51160475</v>
      </c>
      <c r="F61" s="49">
        <f>'дод 3'!G216</f>
        <v>40594000</v>
      </c>
      <c r="G61" s="49">
        <f>'дод 3'!H216</f>
        <v>990275</v>
      </c>
      <c r="H61" s="49">
        <f>'дод 3'!I216</f>
        <v>0</v>
      </c>
      <c r="I61" s="49">
        <f>'дод 3'!J216</f>
        <v>2729100</v>
      </c>
      <c r="J61" s="49">
        <f>'дод 3'!K216</f>
        <v>0</v>
      </c>
      <c r="K61" s="49">
        <f>'дод 3'!L216</f>
        <v>2725970</v>
      </c>
      <c r="L61" s="49">
        <f>'дод 3'!M216</f>
        <v>2226904</v>
      </c>
      <c r="M61" s="49">
        <f>'дод 3'!N216</f>
        <v>0</v>
      </c>
      <c r="N61" s="49">
        <f>'дод 3'!O216</f>
        <v>3130</v>
      </c>
      <c r="O61" s="49">
        <f>'дод 3'!P216</f>
        <v>53889575</v>
      </c>
    </row>
    <row r="62" spans="1:15" s="54" customFormat="1" ht="21" customHeight="1" x14ac:dyDescent="0.25">
      <c r="A62" s="59" t="s">
        <v>478</v>
      </c>
      <c r="B62" s="59" t="s">
        <v>58</v>
      </c>
      <c r="C62" s="36" t="s">
        <v>510</v>
      </c>
      <c r="D62" s="49">
        <f>'дод 3'!E95</f>
        <v>11570150</v>
      </c>
      <c r="E62" s="49">
        <f>'дод 3'!F95</f>
        <v>11570150</v>
      </c>
      <c r="F62" s="49">
        <f>'дод 3'!G95</f>
        <v>8331500</v>
      </c>
      <c r="G62" s="49">
        <f>'дод 3'!H95</f>
        <v>768150</v>
      </c>
      <c r="H62" s="49">
        <f>'дод 3'!I95</f>
        <v>0</v>
      </c>
      <c r="I62" s="49">
        <f>'дод 3'!J95</f>
        <v>0</v>
      </c>
      <c r="J62" s="49">
        <f>'дод 3'!K95</f>
        <v>0</v>
      </c>
      <c r="K62" s="49">
        <f>'дод 3'!L95</f>
        <v>0</v>
      </c>
      <c r="L62" s="49">
        <f>'дод 3'!M95</f>
        <v>0</v>
      </c>
      <c r="M62" s="49">
        <f>'дод 3'!N95</f>
        <v>0</v>
      </c>
      <c r="N62" s="49">
        <f>'дод 3'!O95</f>
        <v>0</v>
      </c>
      <c r="O62" s="49">
        <f>'дод 3'!P95</f>
        <v>11570150</v>
      </c>
    </row>
    <row r="63" spans="1:15" x14ac:dyDescent="0.25">
      <c r="A63" s="59" t="s">
        <v>480</v>
      </c>
      <c r="B63" s="59" t="s">
        <v>58</v>
      </c>
      <c r="C63" s="36" t="s">
        <v>281</v>
      </c>
      <c r="D63" s="49">
        <f>'дод 3'!E96</f>
        <v>113000</v>
      </c>
      <c r="E63" s="49">
        <f>'дод 3'!F96</f>
        <v>113000</v>
      </c>
      <c r="F63" s="49">
        <f>'дод 3'!G96</f>
        <v>0</v>
      </c>
      <c r="G63" s="49">
        <f>'дод 3'!H96</f>
        <v>0</v>
      </c>
      <c r="H63" s="49">
        <f>'дод 3'!I96</f>
        <v>0</v>
      </c>
      <c r="I63" s="49">
        <f>'дод 3'!J96</f>
        <v>0</v>
      </c>
      <c r="J63" s="49">
        <f>'дод 3'!K96</f>
        <v>0</v>
      </c>
      <c r="K63" s="49">
        <f>'дод 3'!L96</f>
        <v>0</v>
      </c>
      <c r="L63" s="49">
        <f>'дод 3'!M96</f>
        <v>0</v>
      </c>
      <c r="M63" s="49">
        <f>'дод 3'!N96</f>
        <v>0</v>
      </c>
      <c r="N63" s="49">
        <f>'дод 3'!O96</f>
        <v>0</v>
      </c>
      <c r="O63" s="49">
        <f>'дод 3'!P96</f>
        <v>113000</v>
      </c>
    </row>
    <row r="64" spans="1:15" ht="31.5" x14ac:dyDescent="0.25">
      <c r="A64" s="59" t="s">
        <v>482</v>
      </c>
      <c r="B64" s="59" t="s">
        <v>58</v>
      </c>
      <c r="C64" s="60" t="s">
        <v>483</v>
      </c>
      <c r="D64" s="49">
        <f>'дод 3'!E97</f>
        <v>135033</v>
      </c>
      <c r="E64" s="49">
        <f>'дод 3'!F97</f>
        <v>135033</v>
      </c>
      <c r="F64" s="49">
        <f>'дод 3'!G97</f>
        <v>0</v>
      </c>
      <c r="G64" s="49">
        <f>'дод 3'!H97</f>
        <v>80633</v>
      </c>
      <c r="H64" s="49">
        <f>'дод 3'!I97</f>
        <v>0</v>
      </c>
      <c r="I64" s="49">
        <f>'дод 3'!J97</f>
        <v>0</v>
      </c>
      <c r="J64" s="49">
        <f>'дод 3'!K97</f>
        <v>0</v>
      </c>
      <c r="K64" s="49">
        <f>'дод 3'!L97</f>
        <v>0</v>
      </c>
      <c r="L64" s="49">
        <f>'дод 3'!M97</f>
        <v>0</v>
      </c>
      <c r="M64" s="49">
        <f>'дод 3'!N97</f>
        <v>0</v>
      </c>
      <c r="N64" s="49">
        <f>'дод 3'!O97</f>
        <v>0</v>
      </c>
      <c r="O64" s="49">
        <f>'дод 3'!P97</f>
        <v>135033</v>
      </c>
    </row>
    <row r="65" spans="1:15" ht="36.75" customHeight="1" x14ac:dyDescent="0.25">
      <c r="A65" s="59" t="s">
        <v>485</v>
      </c>
      <c r="B65" s="59" t="s">
        <v>58</v>
      </c>
      <c r="C65" s="60" t="s">
        <v>511</v>
      </c>
      <c r="D65" s="49">
        <f>'дод 3'!E98</f>
        <v>1499036</v>
      </c>
      <c r="E65" s="49">
        <f>'дод 3'!F98</f>
        <v>1499036</v>
      </c>
      <c r="F65" s="49">
        <f>'дод 3'!G98</f>
        <v>1228720</v>
      </c>
      <c r="G65" s="49">
        <f>'дод 3'!H98</f>
        <v>0</v>
      </c>
      <c r="H65" s="49">
        <f>'дод 3'!I98</f>
        <v>0</v>
      </c>
      <c r="I65" s="49">
        <f>'дод 3'!J98</f>
        <v>0</v>
      </c>
      <c r="J65" s="49">
        <f>'дод 3'!K98</f>
        <v>0</v>
      </c>
      <c r="K65" s="49">
        <f>'дод 3'!L98</f>
        <v>0</v>
      </c>
      <c r="L65" s="49">
        <f>'дод 3'!M98</f>
        <v>0</v>
      </c>
      <c r="M65" s="49">
        <f>'дод 3'!N98</f>
        <v>0</v>
      </c>
      <c r="N65" s="49">
        <f>'дод 3'!O98</f>
        <v>0</v>
      </c>
      <c r="O65" s="49">
        <f>'дод 3'!P98</f>
        <v>1499036</v>
      </c>
    </row>
    <row r="66" spans="1:15" ht="49.5" customHeight="1" x14ac:dyDescent="0.25">
      <c r="A66" s="37"/>
      <c r="B66" s="37"/>
      <c r="C66" s="86" t="s">
        <v>384</v>
      </c>
      <c r="D66" s="79">
        <f>'дод 3'!E99</f>
        <v>1499036</v>
      </c>
      <c r="E66" s="79">
        <f>'дод 3'!F99</f>
        <v>1499036</v>
      </c>
      <c r="F66" s="79">
        <f>'дод 3'!G99</f>
        <v>1228720</v>
      </c>
      <c r="G66" s="79">
        <f>'дод 3'!H99</f>
        <v>0</v>
      </c>
      <c r="H66" s="79">
        <f>'дод 3'!I99</f>
        <v>0</v>
      </c>
      <c r="I66" s="79">
        <f>'дод 3'!J99</f>
        <v>0</v>
      </c>
      <c r="J66" s="79">
        <f>'дод 3'!K99</f>
        <v>0</v>
      </c>
      <c r="K66" s="79">
        <f>'дод 3'!L99</f>
        <v>0</v>
      </c>
      <c r="L66" s="79">
        <f>'дод 3'!M99</f>
        <v>0</v>
      </c>
      <c r="M66" s="79">
        <f>'дод 3'!N99</f>
        <v>0</v>
      </c>
      <c r="N66" s="79">
        <f>'дод 3'!O99</f>
        <v>0</v>
      </c>
      <c r="O66" s="79">
        <f>'дод 3'!P99</f>
        <v>1499036</v>
      </c>
    </row>
    <row r="67" spans="1:15" s="54" customFormat="1" ht="31.5" x14ac:dyDescent="0.25">
      <c r="A67" s="59" t="s">
        <v>487</v>
      </c>
      <c r="B67" s="59" t="str">
        <f>'дод 7'!A19</f>
        <v>0160</v>
      </c>
      <c r="C67" s="60" t="s">
        <v>488</v>
      </c>
      <c r="D67" s="49">
        <f>'дод 3'!E100</f>
        <v>2552577</v>
      </c>
      <c r="E67" s="49">
        <f>'дод 3'!F100</f>
        <v>2552577</v>
      </c>
      <c r="F67" s="49">
        <f>'дод 3'!G100</f>
        <v>1877000</v>
      </c>
      <c r="G67" s="49">
        <f>'дод 3'!H100</f>
        <v>115177</v>
      </c>
      <c r="H67" s="49">
        <f>'дод 3'!I100</f>
        <v>0</v>
      </c>
      <c r="I67" s="49">
        <f>'дод 3'!J100</f>
        <v>41000</v>
      </c>
      <c r="J67" s="49">
        <f>'дод 3'!K100</f>
        <v>41000</v>
      </c>
      <c r="K67" s="49">
        <f>'дод 3'!L100</f>
        <v>0</v>
      </c>
      <c r="L67" s="49">
        <f>'дод 3'!M100</f>
        <v>0</v>
      </c>
      <c r="M67" s="49">
        <f>'дод 3'!N100</f>
        <v>0</v>
      </c>
      <c r="N67" s="49">
        <f>'дод 3'!O100</f>
        <v>41000</v>
      </c>
      <c r="O67" s="49">
        <f>'дод 3'!P100</f>
        <v>2593577</v>
      </c>
    </row>
    <row r="68" spans="1:15" s="54" customFormat="1" ht="66" customHeight="1" x14ac:dyDescent="0.25">
      <c r="A68" s="59" t="s">
        <v>567</v>
      </c>
      <c r="B68" s="59" t="s">
        <v>58</v>
      </c>
      <c r="C68" s="60" t="s">
        <v>570</v>
      </c>
      <c r="D68" s="49">
        <f>'дод 3'!E101</f>
        <v>0</v>
      </c>
      <c r="E68" s="49">
        <f>'дод 3'!F101</f>
        <v>0</v>
      </c>
      <c r="F68" s="49">
        <f>'дод 3'!G101</f>
        <v>0</v>
      </c>
      <c r="G68" s="49">
        <f>'дод 3'!H101</f>
        <v>0</v>
      </c>
      <c r="H68" s="49">
        <f>'дод 3'!I101</f>
        <v>0</v>
      </c>
      <c r="I68" s="49">
        <f>'дод 3'!J101</f>
        <v>1522670</v>
      </c>
      <c r="J68" s="49">
        <f>'дод 3'!K101</f>
        <v>1522670</v>
      </c>
      <c r="K68" s="49">
        <f>'дод 3'!L101</f>
        <v>0</v>
      </c>
      <c r="L68" s="49">
        <f>'дод 3'!M101</f>
        <v>0</v>
      </c>
      <c r="M68" s="49">
        <f>'дод 3'!N101</f>
        <v>0</v>
      </c>
      <c r="N68" s="49">
        <f>'дод 3'!O101</f>
        <v>1522670</v>
      </c>
      <c r="O68" s="49">
        <f>'дод 3'!P101</f>
        <v>1522670</v>
      </c>
    </row>
    <row r="69" spans="1:15" s="54" customFormat="1" ht="65.25" customHeight="1" x14ac:dyDescent="0.25">
      <c r="A69" s="59" t="s">
        <v>557</v>
      </c>
      <c r="B69" s="59" t="s">
        <v>58</v>
      </c>
      <c r="C69" s="60" t="s">
        <v>616</v>
      </c>
      <c r="D69" s="98">
        <f>'дод 3'!E102</f>
        <v>287772</v>
      </c>
      <c r="E69" s="98">
        <f>'дод 3'!F102</f>
        <v>287772</v>
      </c>
      <c r="F69" s="98">
        <f>'дод 3'!G102</f>
        <v>0</v>
      </c>
      <c r="G69" s="98">
        <f>'дод 3'!H102</f>
        <v>0</v>
      </c>
      <c r="H69" s="98">
        <f>'дод 3'!I102</f>
        <v>0</v>
      </c>
      <c r="I69" s="98">
        <f>'дод 3'!J102</f>
        <v>2859728</v>
      </c>
      <c r="J69" s="98">
        <f>'дод 3'!K102</f>
        <v>2859728</v>
      </c>
      <c r="K69" s="98">
        <f>'дод 3'!L102</f>
        <v>0</v>
      </c>
      <c r="L69" s="98">
        <f>'дод 3'!M102</f>
        <v>0</v>
      </c>
      <c r="M69" s="98">
        <f>'дод 3'!N102</f>
        <v>0</v>
      </c>
      <c r="N69" s="98">
        <f>'дод 3'!O102</f>
        <v>2859728</v>
      </c>
      <c r="O69" s="98">
        <f>'дод 3'!P102</f>
        <v>3147500</v>
      </c>
    </row>
    <row r="70" spans="1:15" s="54" customFormat="1" ht="47.25" x14ac:dyDescent="0.25">
      <c r="A70" s="83"/>
      <c r="B70" s="83"/>
      <c r="C70" s="86" t="s">
        <v>602</v>
      </c>
      <c r="D70" s="100">
        <f>'дод 3'!E103</f>
        <v>287772</v>
      </c>
      <c r="E70" s="100">
        <f>'дод 3'!F103</f>
        <v>287772</v>
      </c>
      <c r="F70" s="100">
        <f>'дод 3'!G103</f>
        <v>0</v>
      </c>
      <c r="G70" s="100">
        <f>'дод 3'!H103</f>
        <v>0</v>
      </c>
      <c r="H70" s="100">
        <f>'дод 3'!I103</f>
        <v>0</v>
      </c>
      <c r="I70" s="100">
        <f>'дод 3'!J103</f>
        <v>2859728</v>
      </c>
      <c r="J70" s="100">
        <f>'дод 3'!K103</f>
        <v>2859728</v>
      </c>
      <c r="K70" s="100">
        <f>'дод 3'!L103</f>
        <v>0</v>
      </c>
      <c r="L70" s="100">
        <f>'дод 3'!M103</f>
        <v>0</v>
      </c>
      <c r="M70" s="100">
        <f>'дод 3'!N103</f>
        <v>0</v>
      </c>
      <c r="N70" s="100">
        <f>'дод 3'!O103</f>
        <v>2859728</v>
      </c>
      <c r="O70" s="100">
        <f>'дод 3'!P103</f>
        <v>3147500</v>
      </c>
    </row>
    <row r="71" spans="1:15" s="54" customFormat="1" ht="78.75" x14ac:dyDescent="0.25">
      <c r="A71" s="59" t="s">
        <v>569</v>
      </c>
      <c r="B71" s="59" t="s">
        <v>58</v>
      </c>
      <c r="C71" s="60" t="s">
        <v>595</v>
      </c>
      <c r="D71" s="98">
        <f>'дод 3'!E104</f>
        <v>2092093.9</v>
      </c>
      <c r="E71" s="98">
        <f>'дод 3'!F104</f>
        <v>2092093.9</v>
      </c>
      <c r="F71" s="98">
        <f>'дод 3'!G104</f>
        <v>0</v>
      </c>
      <c r="G71" s="98">
        <f>'дод 3'!H104</f>
        <v>0</v>
      </c>
      <c r="H71" s="98">
        <f>'дод 3'!I104</f>
        <v>0</v>
      </c>
      <c r="I71" s="98">
        <f>'дод 3'!J104</f>
        <v>364158.1</v>
      </c>
      <c r="J71" s="98">
        <f>'дод 3'!K104</f>
        <v>364158.1</v>
      </c>
      <c r="K71" s="98">
        <f>'дод 3'!L104</f>
        <v>0</v>
      </c>
      <c r="L71" s="98">
        <f>'дод 3'!M104</f>
        <v>0</v>
      </c>
      <c r="M71" s="98">
        <f>'дод 3'!N104</f>
        <v>0</v>
      </c>
      <c r="N71" s="98">
        <f>'дод 3'!O104</f>
        <v>364158.1</v>
      </c>
      <c r="O71" s="98">
        <f>'дод 3'!P104</f>
        <v>2456252</v>
      </c>
    </row>
    <row r="72" spans="1:15" s="54" customFormat="1" x14ac:dyDescent="0.25">
      <c r="A72" s="83"/>
      <c r="B72" s="83"/>
      <c r="C72" s="86" t="s">
        <v>395</v>
      </c>
      <c r="D72" s="100">
        <f>'дод 3'!E105</f>
        <v>150000</v>
      </c>
      <c r="E72" s="100">
        <f>'дод 3'!F105</f>
        <v>150000</v>
      </c>
      <c r="F72" s="100">
        <f>'дод 3'!G105</f>
        <v>0</v>
      </c>
      <c r="G72" s="100">
        <f>'дод 3'!H105</f>
        <v>0</v>
      </c>
      <c r="H72" s="100">
        <f>'дод 3'!I105</f>
        <v>0</v>
      </c>
      <c r="I72" s="100">
        <f>'дод 3'!J105</f>
        <v>0</v>
      </c>
      <c r="J72" s="100">
        <f>'дод 3'!K105</f>
        <v>0</v>
      </c>
      <c r="K72" s="100">
        <f>'дод 3'!L105</f>
        <v>0</v>
      </c>
      <c r="L72" s="100">
        <f>'дод 3'!M105</f>
        <v>0</v>
      </c>
      <c r="M72" s="100">
        <f>'дод 3'!N105</f>
        <v>0</v>
      </c>
      <c r="N72" s="100">
        <f>'дод 3'!O105</f>
        <v>0</v>
      </c>
      <c r="O72" s="100">
        <f>'дод 3'!P105</f>
        <v>150000</v>
      </c>
    </row>
    <row r="73" spans="1:15" s="54" customFormat="1" ht="63" x14ac:dyDescent="0.25">
      <c r="A73" s="59" t="s">
        <v>558</v>
      </c>
      <c r="B73" s="59" t="s">
        <v>58</v>
      </c>
      <c r="C73" s="60" t="s">
        <v>603</v>
      </c>
      <c r="D73" s="49">
        <f>'дод 3'!E106</f>
        <v>4801508.3</v>
      </c>
      <c r="E73" s="49">
        <f>'дод 3'!F106</f>
        <v>4801508.3</v>
      </c>
      <c r="F73" s="49">
        <f>'дод 3'!G106</f>
        <v>0</v>
      </c>
      <c r="G73" s="49">
        <f>'дод 3'!H106</f>
        <v>0</v>
      </c>
      <c r="H73" s="49">
        <f>'дод 3'!I106</f>
        <v>0</v>
      </c>
      <c r="I73" s="49">
        <f>'дод 3'!J106</f>
        <v>644352.70000000007</v>
      </c>
      <c r="J73" s="49">
        <f>'дод 3'!K106</f>
        <v>644352.70000000007</v>
      </c>
      <c r="K73" s="49">
        <f>'дод 3'!L106</f>
        <v>0</v>
      </c>
      <c r="L73" s="49">
        <f>'дод 3'!M106</f>
        <v>0</v>
      </c>
      <c r="M73" s="49">
        <f>'дод 3'!N106</f>
        <v>0</v>
      </c>
      <c r="N73" s="49">
        <f>'дод 3'!O106</f>
        <v>644352.70000000007</v>
      </c>
      <c r="O73" s="49">
        <f>'дод 3'!P106</f>
        <v>5445861</v>
      </c>
    </row>
    <row r="74" spans="1:15" s="54" customFormat="1" ht="68.25" customHeight="1" x14ac:dyDescent="0.25">
      <c r="A74" s="83"/>
      <c r="B74" s="83"/>
      <c r="C74" s="86" t="s">
        <v>559</v>
      </c>
      <c r="D74" s="79">
        <f>'дод 3'!E107</f>
        <v>4801508.3</v>
      </c>
      <c r="E74" s="79">
        <f>'дод 3'!F107</f>
        <v>4801508.3</v>
      </c>
      <c r="F74" s="79">
        <f>'дод 3'!G107</f>
        <v>0</v>
      </c>
      <c r="G74" s="79">
        <f>'дод 3'!H107</f>
        <v>0</v>
      </c>
      <c r="H74" s="79">
        <f>'дод 3'!I107</f>
        <v>0</v>
      </c>
      <c r="I74" s="79">
        <f>'дод 3'!J107</f>
        <v>644352.70000000007</v>
      </c>
      <c r="J74" s="79">
        <f>'дод 3'!K107</f>
        <v>644352.70000000007</v>
      </c>
      <c r="K74" s="79">
        <f>'дод 3'!L107</f>
        <v>0</v>
      </c>
      <c r="L74" s="79">
        <f>'дод 3'!M107</f>
        <v>0</v>
      </c>
      <c r="M74" s="79">
        <f>'дод 3'!N107</f>
        <v>0</v>
      </c>
      <c r="N74" s="79">
        <f>'дод 3'!O107</f>
        <v>644352.70000000007</v>
      </c>
      <c r="O74" s="79">
        <f>'дод 3'!P107</f>
        <v>5445861</v>
      </c>
    </row>
    <row r="75" spans="1:15" s="54" customFormat="1" ht="63" x14ac:dyDescent="0.25">
      <c r="A75" s="59" t="s">
        <v>490</v>
      </c>
      <c r="B75" s="59" t="s">
        <v>58</v>
      </c>
      <c r="C75" s="93" t="s">
        <v>512</v>
      </c>
      <c r="D75" s="49">
        <f>'дод 3'!E108</f>
        <v>2417470</v>
      </c>
      <c r="E75" s="49">
        <f>'дод 3'!F108</f>
        <v>2417470</v>
      </c>
      <c r="F75" s="49">
        <f>'дод 3'!G108</f>
        <v>1299695</v>
      </c>
      <c r="G75" s="49">
        <f>'дод 3'!H108</f>
        <v>0</v>
      </c>
      <c r="H75" s="49">
        <f>'дод 3'!I108</f>
        <v>0</v>
      </c>
      <c r="I75" s="49">
        <f>'дод 3'!J108</f>
        <v>72000</v>
      </c>
      <c r="J75" s="49">
        <f>'дод 3'!K108</f>
        <v>72000</v>
      </c>
      <c r="K75" s="49">
        <f>'дод 3'!L108</f>
        <v>0</v>
      </c>
      <c r="L75" s="49">
        <f>'дод 3'!M108</f>
        <v>0</v>
      </c>
      <c r="M75" s="49">
        <f>'дод 3'!N108</f>
        <v>0</v>
      </c>
      <c r="N75" s="49">
        <f>'дод 3'!O108</f>
        <v>72000</v>
      </c>
      <c r="O75" s="49">
        <f>'дод 3'!P108</f>
        <v>2489470</v>
      </c>
    </row>
    <row r="76" spans="1:15" s="54" customFormat="1" ht="65.25" customHeight="1" x14ac:dyDescent="0.25">
      <c r="A76" s="59"/>
      <c r="B76" s="59"/>
      <c r="C76" s="86" t="s">
        <v>383</v>
      </c>
      <c r="D76" s="79">
        <f>'дод 3'!E109</f>
        <v>2417470</v>
      </c>
      <c r="E76" s="79">
        <f>'дод 3'!F109</f>
        <v>2417470</v>
      </c>
      <c r="F76" s="79">
        <f>'дод 3'!G109</f>
        <v>1299695</v>
      </c>
      <c r="G76" s="79">
        <f>'дод 3'!H109</f>
        <v>0</v>
      </c>
      <c r="H76" s="79">
        <f>'дод 3'!I109</f>
        <v>0</v>
      </c>
      <c r="I76" s="79">
        <f>'дод 3'!J109</f>
        <v>72000</v>
      </c>
      <c r="J76" s="79">
        <f>'дод 3'!K109</f>
        <v>72000</v>
      </c>
      <c r="K76" s="79">
        <f>'дод 3'!L109</f>
        <v>0</v>
      </c>
      <c r="L76" s="79">
        <f>'дод 3'!M109</f>
        <v>0</v>
      </c>
      <c r="M76" s="79">
        <f>'дод 3'!N109</f>
        <v>0</v>
      </c>
      <c r="N76" s="79">
        <f>'дод 3'!O109</f>
        <v>72000</v>
      </c>
      <c r="O76" s="79">
        <f>'дод 3'!P109</f>
        <v>2489470</v>
      </c>
    </row>
    <row r="77" spans="1:15" s="54" customFormat="1" ht="63" x14ac:dyDescent="0.25">
      <c r="A77" s="59" t="s">
        <v>524</v>
      </c>
      <c r="B77" s="59" t="s">
        <v>58</v>
      </c>
      <c r="C77" s="36" t="s">
        <v>522</v>
      </c>
      <c r="D77" s="49">
        <f>'дод 3'!E110</f>
        <v>1315285.79</v>
      </c>
      <c r="E77" s="49">
        <f>'дод 3'!F110</f>
        <v>1315285.79</v>
      </c>
      <c r="F77" s="49">
        <f>'дод 3'!G110</f>
        <v>1034620</v>
      </c>
      <c r="G77" s="49">
        <f>'дод 3'!H110</f>
        <v>0</v>
      </c>
      <c r="H77" s="49">
        <f>'дод 3'!I110</f>
        <v>0</v>
      </c>
      <c r="I77" s="49">
        <f>'дод 3'!J110</f>
        <v>0</v>
      </c>
      <c r="J77" s="49">
        <f>'дод 3'!K110</f>
        <v>0</v>
      </c>
      <c r="K77" s="49">
        <f>'дод 3'!L110</f>
        <v>0</v>
      </c>
      <c r="L77" s="49">
        <f>'дод 3'!M110</f>
        <v>0</v>
      </c>
      <c r="M77" s="49">
        <f>'дод 3'!N110</f>
        <v>0</v>
      </c>
      <c r="N77" s="49">
        <f>'дод 3'!O110</f>
        <v>0</v>
      </c>
      <c r="O77" s="49">
        <f>'дод 3'!P110</f>
        <v>1315285.79</v>
      </c>
    </row>
    <row r="78" spans="1:15" s="54" customFormat="1" ht="63" x14ac:dyDescent="0.25">
      <c r="A78" s="59"/>
      <c r="B78" s="59"/>
      <c r="C78" s="86" t="s">
        <v>523</v>
      </c>
      <c r="D78" s="79">
        <f>'дод 3'!E111</f>
        <v>1315285.79</v>
      </c>
      <c r="E78" s="79">
        <f>'дод 3'!F111</f>
        <v>1315285.79</v>
      </c>
      <c r="F78" s="79">
        <f>'дод 3'!G111</f>
        <v>1034620</v>
      </c>
      <c r="G78" s="79">
        <f>'дод 3'!H111</f>
        <v>0</v>
      </c>
      <c r="H78" s="79">
        <f>'дод 3'!I111</f>
        <v>0</v>
      </c>
      <c r="I78" s="79">
        <f>'дод 3'!J111</f>
        <v>0</v>
      </c>
      <c r="J78" s="79">
        <f>'дод 3'!K111</f>
        <v>0</v>
      </c>
      <c r="K78" s="79">
        <f>'дод 3'!L111</f>
        <v>0</v>
      </c>
      <c r="L78" s="79">
        <f>'дод 3'!M111</f>
        <v>0</v>
      </c>
      <c r="M78" s="79">
        <f>'дод 3'!N111</f>
        <v>0</v>
      </c>
      <c r="N78" s="79">
        <f>'дод 3'!O111</f>
        <v>0</v>
      </c>
      <c r="O78" s="79">
        <f>'дод 3'!P111</f>
        <v>1315285.79</v>
      </c>
    </row>
    <row r="79" spans="1:15" s="52" customFormat="1" ht="19.5" customHeight="1" x14ac:dyDescent="0.25">
      <c r="A79" s="38" t="s">
        <v>59</v>
      </c>
      <c r="B79" s="39"/>
      <c r="C79" s="9" t="s">
        <v>525</v>
      </c>
      <c r="D79" s="48">
        <f>D84+D90+D92+D94+D96+D99+D100+D89</f>
        <v>97627047.230000004</v>
      </c>
      <c r="E79" s="48">
        <f t="shared" ref="E79:O79" si="12">E84+E90+E92+E94+E96+E99+E100+E89</f>
        <v>97627047.230000004</v>
      </c>
      <c r="F79" s="48">
        <f t="shared" si="12"/>
        <v>2387600</v>
      </c>
      <c r="G79" s="48">
        <f t="shared" si="12"/>
        <v>75184</v>
      </c>
      <c r="H79" s="48">
        <f t="shared" si="12"/>
        <v>0</v>
      </c>
      <c r="I79" s="48">
        <f t="shared" si="12"/>
        <v>103537320.81999999</v>
      </c>
      <c r="J79" s="48">
        <f t="shared" si="12"/>
        <v>98537320.819999993</v>
      </c>
      <c r="K79" s="48">
        <f t="shared" si="12"/>
        <v>0</v>
      </c>
      <c r="L79" s="48">
        <f t="shared" si="12"/>
        <v>0</v>
      </c>
      <c r="M79" s="48">
        <f t="shared" si="12"/>
        <v>0</v>
      </c>
      <c r="N79" s="48">
        <f t="shared" si="12"/>
        <v>103537320.81999999</v>
      </c>
      <c r="O79" s="48">
        <f t="shared" si="12"/>
        <v>201164368.05000001</v>
      </c>
    </row>
    <row r="80" spans="1:15" s="53" customFormat="1" ht="31.5" hidden="1" x14ac:dyDescent="0.25">
      <c r="A80" s="70"/>
      <c r="B80" s="73"/>
      <c r="C80" s="74" t="s">
        <v>390</v>
      </c>
      <c r="D80" s="75">
        <f>D85+D91+D93</f>
        <v>0</v>
      </c>
      <c r="E80" s="75">
        <f t="shared" ref="E80:O80" si="13">E85+E91+E93</f>
        <v>0</v>
      </c>
      <c r="F80" s="75">
        <f t="shared" si="13"/>
        <v>0</v>
      </c>
      <c r="G80" s="75">
        <f t="shared" si="13"/>
        <v>0</v>
      </c>
      <c r="H80" s="75">
        <f t="shared" si="13"/>
        <v>0</v>
      </c>
      <c r="I80" s="75">
        <f t="shared" si="13"/>
        <v>0</v>
      </c>
      <c r="J80" s="75">
        <f t="shared" si="13"/>
        <v>0</v>
      </c>
      <c r="K80" s="75">
        <f t="shared" si="13"/>
        <v>0</v>
      </c>
      <c r="L80" s="75">
        <f t="shared" si="13"/>
        <v>0</v>
      </c>
      <c r="M80" s="75">
        <f t="shared" si="13"/>
        <v>0</v>
      </c>
      <c r="N80" s="75">
        <f t="shared" si="13"/>
        <v>0</v>
      </c>
      <c r="O80" s="75">
        <f t="shared" si="13"/>
        <v>0</v>
      </c>
    </row>
    <row r="81" spans="1:15" s="53" customFormat="1" ht="47.25" hidden="1" x14ac:dyDescent="0.25">
      <c r="A81" s="70"/>
      <c r="B81" s="73"/>
      <c r="C81" s="74" t="s">
        <v>391</v>
      </c>
      <c r="D81" s="75">
        <f>D86+D97</f>
        <v>0</v>
      </c>
      <c r="E81" s="75">
        <f t="shared" ref="E81:O81" si="14">E86+E97</f>
        <v>0</v>
      </c>
      <c r="F81" s="75">
        <f t="shared" si="14"/>
        <v>0</v>
      </c>
      <c r="G81" s="75">
        <f t="shared" si="14"/>
        <v>0</v>
      </c>
      <c r="H81" s="75">
        <f t="shared" si="14"/>
        <v>0</v>
      </c>
      <c r="I81" s="75">
        <f t="shared" si="14"/>
        <v>0</v>
      </c>
      <c r="J81" s="75">
        <f t="shared" si="14"/>
        <v>0</v>
      </c>
      <c r="K81" s="75">
        <f t="shared" si="14"/>
        <v>0</v>
      </c>
      <c r="L81" s="75">
        <f t="shared" si="14"/>
        <v>0</v>
      </c>
      <c r="M81" s="75">
        <f t="shared" si="14"/>
        <v>0</v>
      </c>
      <c r="N81" s="75">
        <f t="shared" si="14"/>
        <v>0</v>
      </c>
      <c r="O81" s="75">
        <f t="shared" si="14"/>
        <v>0</v>
      </c>
    </row>
    <row r="82" spans="1:15" s="53" customFormat="1" ht="66.75" customHeight="1" x14ac:dyDescent="0.25">
      <c r="A82" s="70"/>
      <c r="B82" s="73"/>
      <c r="C82" s="74" t="s">
        <v>392</v>
      </c>
      <c r="D82" s="75">
        <f>D87+D95+D98</f>
        <v>11403653.83</v>
      </c>
      <c r="E82" s="75">
        <f t="shared" ref="E82:O82" si="15">E87+E95+E98</f>
        <v>11403653.83</v>
      </c>
      <c r="F82" s="75">
        <f t="shared" si="15"/>
        <v>0</v>
      </c>
      <c r="G82" s="75">
        <f t="shared" si="15"/>
        <v>0</v>
      </c>
      <c r="H82" s="75">
        <f t="shared" si="15"/>
        <v>0</v>
      </c>
      <c r="I82" s="75">
        <f t="shared" si="15"/>
        <v>5000000</v>
      </c>
      <c r="J82" s="75">
        <f t="shared" si="15"/>
        <v>0</v>
      </c>
      <c r="K82" s="75">
        <f t="shared" si="15"/>
        <v>0</v>
      </c>
      <c r="L82" s="75">
        <f t="shared" si="15"/>
        <v>0</v>
      </c>
      <c r="M82" s="75">
        <f t="shared" si="15"/>
        <v>0</v>
      </c>
      <c r="N82" s="75">
        <f t="shared" si="15"/>
        <v>5000000</v>
      </c>
      <c r="O82" s="75">
        <f t="shared" si="15"/>
        <v>16403653.83</v>
      </c>
    </row>
    <row r="83" spans="1:15" s="53" customFormat="1" x14ac:dyDescent="0.25">
      <c r="A83" s="70"/>
      <c r="B83" s="73"/>
      <c r="C83" s="74" t="s">
        <v>393</v>
      </c>
      <c r="D83" s="75">
        <f>D88</f>
        <v>124646</v>
      </c>
      <c r="E83" s="75">
        <f t="shared" ref="E83:O83" si="16">E88</f>
        <v>124646</v>
      </c>
      <c r="F83" s="75">
        <f t="shared" si="16"/>
        <v>0</v>
      </c>
      <c r="G83" s="75">
        <f t="shared" si="16"/>
        <v>0</v>
      </c>
      <c r="H83" s="75">
        <f t="shared" si="16"/>
        <v>0</v>
      </c>
      <c r="I83" s="75">
        <f t="shared" si="16"/>
        <v>5750000</v>
      </c>
      <c r="J83" s="75">
        <f t="shared" si="16"/>
        <v>5750000</v>
      </c>
      <c r="K83" s="75">
        <f t="shared" si="16"/>
        <v>0</v>
      </c>
      <c r="L83" s="75">
        <f t="shared" si="16"/>
        <v>0</v>
      </c>
      <c r="M83" s="75">
        <f t="shared" si="16"/>
        <v>0</v>
      </c>
      <c r="N83" s="75">
        <f t="shared" si="16"/>
        <v>5750000</v>
      </c>
      <c r="O83" s="75">
        <f t="shared" si="16"/>
        <v>5874646</v>
      </c>
    </row>
    <row r="84" spans="1:15" ht="33" customHeight="1" x14ac:dyDescent="0.25">
      <c r="A84" s="37" t="s">
        <v>60</v>
      </c>
      <c r="B84" s="37" t="s">
        <v>61</v>
      </c>
      <c r="C84" s="6" t="s">
        <v>611</v>
      </c>
      <c r="D84" s="49">
        <f>'дод 3'!E138</f>
        <v>46642713.399999999</v>
      </c>
      <c r="E84" s="49">
        <f>'дод 3'!F138</f>
        <v>46642713.399999999</v>
      </c>
      <c r="F84" s="49">
        <f>'дод 3'!G138</f>
        <v>0</v>
      </c>
      <c r="G84" s="49">
        <f>'дод 3'!H138</f>
        <v>0</v>
      </c>
      <c r="H84" s="49">
        <f>'дод 3'!I138</f>
        <v>0</v>
      </c>
      <c r="I84" s="49">
        <f>'дод 3'!J138</f>
        <v>58545966.82</v>
      </c>
      <c r="J84" s="49">
        <f>'дод 3'!K138</f>
        <v>53545966.82</v>
      </c>
      <c r="K84" s="49">
        <f>'дод 3'!L138</f>
        <v>0</v>
      </c>
      <c r="L84" s="49">
        <f>'дод 3'!M138</f>
        <v>0</v>
      </c>
      <c r="M84" s="49">
        <f>'дод 3'!N138</f>
        <v>0</v>
      </c>
      <c r="N84" s="49">
        <f>'дод 3'!O138</f>
        <v>58545966.82</v>
      </c>
      <c r="O84" s="49">
        <f>'дод 3'!P138</f>
        <v>105188680.22</v>
      </c>
    </row>
    <row r="85" spans="1:15" s="54" customFormat="1" ht="31.5" hidden="1" customHeight="1" x14ac:dyDescent="0.25">
      <c r="A85" s="77"/>
      <c r="B85" s="77"/>
      <c r="C85" s="78" t="s">
        <v>390</v>
      </c>
      <c r="D85" s="79">
        <f>'дод 3'!E139</f>
        <v>0</v>
      </c>
      <c r="E85" s="79">
        <f>'дод 3'!F139</f>
        <v>0</v>
      </c>
      <c r="F85" s="79">
        <f>'дод 3'!G139</f>
        <v>0</v>
      </c>
      <c r="G85" s="79">
        <f>'дод 3'!H139</f>
        <v>0</v>
      </c>
      <c r="H85" s="79">
        <f>'дод 3'!I139</f>
        <v>0</v>
      </c>
      <c r="I85" s="79">
        <f>'дод 3'!J139</f>
        <v>0</v>
      </c>
      <c r="J85" s="79">
        <f>'дод 3'!K139</f>
        <v>0</v>
      </c>
      <c r="K85" s="79">
        <f>'дод 3'!L139</f>
        <v>0</v>
      </c>
      <c r="L85" s="79">
        <f>'дод 3'!M139</f>
        <v>0</v>
      </c>
      <c r="M85" s="79">
        <f>'дод 3'!N139</f>
        <v>0</v>
      </c>
      <c r="N85" s="79">
        <f>'дод 3'!O139</f>
        <v>0</v>
      </c>
      <c r="O85" s="79">
        <f>'дод 3'!P139</f>
        <v>0</v>
      </c>
    </row>
    <row r="86" spans="1:15" s="54" customFormat="1" ht="47.25" hidden="1" x14ac:dyDescent="0.25">
      <c r="A86" s="77"/>
      <c r="B86" s="77"/>
      <c r="C86" s="78" t="s">
        <v>391</v>
      </c>
      <c r="D86" s="79">
        <f>'дод 3'!E140</f>
        <v>0</v>
      </c>
      <c r="E86" s="79">
        <f>'дод 3'!F140</f>
        <v>0</v>
      </c>
      <c r="F86" s="79">
        <f>'дод 3'!G140</f>
        <v>0</v>
      </c>
      <c r="G86" s="79">
        <f>'дод 3'!H140</f>
        <v>0</v>
      </c>
      <c r="H86" s="79">
        <f>'дод 3'!I140</f>
        <v>0</v>
      </c>
      <c r="I86" s="79">
        <f>'дод 3'!J140</f>
        <v>0</v>
      </c>
      <c r="J86" s="79">
        <f>'дод 3'!K140</f>
        <v>0</v>
      </c>
      <c r="K86" s="79">
        <f>'дод 3'!L140</f>
        <v>0</v>
      </c>
      <c r="L86" s="79">
        <f>'дод 3'!M140</f>
        <v>0</v>
      </c>
      <c r="M86" s="79">
        <f>'дод 3'!N140</f>
        <v>0</v>
      </c>
      <c r="N86" s="79">
        <f>'дод 3'!O140</f>
        <v>0</v>
      </c>
      <c r="O86" s="79">
        <f>'дод 3'!P140</f>
        <v>0</v>
      </c>
    </row>
    <row r="87" spans="1:15" s="54" customFormat="1" ht="69" customHeight="1" x14ac:dyDescent="0.25">
      <c r="A87" s="77"/>
      <c r="B87" s="77"/>
      <c r="C87" s="86" t="s">
        <v>392</v>
      </c>
      <c r="D87" s="79">
        <f>'дод 3'!E141</f>
        <v>0</v>
      </c>
      <c r="E87" s="79">
        <f>'дод 3'!F141</f>
        <v>0</v>
      </c>
      <c r="F87" s="79">
        <f>'дод 3'!G141</f>
        <v>0</v>
      </c>
      <c r="G87" s="79">
        <f>'дод 3'!H141</f>
        <v>0</v>
      </c>
      <c r="H87" s="79">
        <f>'дод 3'!I141</f>
        <v>0</v>
      </c>
      <c r="I87" s="79">
        <f>'дод 3'!J141</f>
        <v>5000000</v>
      </c>
      <c r="J87" s="79">
        <f>'дод 3'!K141</f>
        <v>0</v>
      </c>
      <c r="K87" s="79">
        <f>'дод 3'!L141</f>
        <v>0</v>
      </c>
      <c r="L87" s="79">
        <f>'дод 3'!M141</f>
        <v>0</v>
      </c>
      <c r="M87" s="79">
        <f>'дод 3'!N141</f>
        <v>0</v>
      </c>
      <c r="N87" s="79">
        <f>'дод 3'!O141</f>
        <v>5000000</v>
      </c>
      <c r="O87" s="79">
        <f>'дод 3'!P141</f>
        <v>5000000</v>
      </c>
    </row>
    <row r="88" spans="1:15" s="54" customFormat="1" x14ac:dyDescent="0.25">
      <c r="A88" s="77"/>
      <c r="B88" s="77"/>
      <c r="C88" s="78" t="s">
        <v>393</v>
      </c>
      <c r="D88" s="79">
        <f>'дод 3'!E142</f>
        <v>124646</v>
      </c>
      <c r="E88" s="79">
        <f>'дод 3'!F142</f>
        <v>124646</v>
      </c>
      <c r="F88" s="79">
        <f>'дод 3'!G142</f>
        <v>0</v>
      </c>
      <c r="G88" s="79">
        <f>'дод 3'!H142</f>
        <v>0</v>
      </c>
      <c r="H88" s="79">
        <f>'дод 3'!I142</f>
        <v>0</v>
      </c>
      <c r="I88" s="79">
        <f>'дод 3'!J142</f>
        <v>5750000</v>
      </c>
      <c r="J88" s="79">
        <f>'дод 3'!K142</f>
        <v>5750000</v>
      </c>
      <c r="K88" s="79">
        <f>'дод 3'!L142</f>
        <v>0</v>
      </c>
      <c r="L88" s="79">
        <f>'дод 3'!M142</f>
        <v>0</v>
      </c>
      <c r="M88" s="79">
        <f>'дод 3'!N142</f>
        <v>0</v>
      </c>
      <c r="N88" s="79">
        <f>'дод 3'!O142</f>
        <v>5750000</v>
      </c>
      <c r="O88" s="79">
        <f>'дод 3'!P142</f>
        <v>5874646</v>
      </c>
    </row>
    <row r="89" spans="1:15" ht="31.5" x14ac:dyDescent="0.25">
      <c r="A89" s="37">
        <v>2020</v>
      </c>
      <c r="B89" s="58" t="s">
        <v>447</v>
      </c>
      <c r="C89" s="6" t="s">
        <v>450</v>
      </c>
      <c r="D89" s="49">
        <f>'дод 3'!E143</f>
        <v>90000</v>
      </c>
      <c r="E89" s="49">
        <f>'дод 3'!F143</f>
        <v>90000</v>
      </c>
      <c r="F89" s="49">
        <f>'дод 3'!G143</f>
        <v>0</v>
      </c>
      <c r="G89" s="49">
        <f>'дод 3'!H143</f>
        <v>0</v>
      </c>
      <c r="H89" s="49">
        <f>'дод 3'!I143</f>
        <v>0</v>
      </c>
      <c r="I89" s="49">
        <f>'дод 3'!J143</f>
        <v>0</v>
      </c>
      <c r="J89" s="49">
        <f>'дод 3'!K143</f>
        <v>0</v>
      </c>
      <c r="K89" s="49">
        <f>'дод 3'!L143</f>
        <v>0</v>
      </c>
      <c r="L89" s="49">
        <f>'дод 3'!M143</f>
        <v>0</v>
      </c>
      <c r="M89" s="49">
        <f>'дод 3'!N143</f>
        <v>0</v>
      </c>
      <c r="N89" s="49">
        <f>'дод 3'!O143</f>
        <v>0</v>
      </c>
      <c r="O89" s="49">
        <f>'дод 3'!P143</f>
        <v>90000</v>
      </c>
    </row>
    <row r="90" spans="1:15" ht="36.75" customHeight="1" x14ac:dyDescent="0.25">
      <c r="A90" s="37" t="s">
        <v>120</v>
      </c>
      <c r="B90" s="37" t="s">
        <v>62</v>
      </c>
      <c r="C90" s="6" t="s">
        <v>463</v>
      </c>
      <c r="D90" s="49">
        <f>'дод 3'!E144</f>
        <v>4498159</v>
      </c>
      <c r="E90" s="49">
        <f>'дод 3'!F144</f>
        <v>4498159</v>
      </c>
      <c r="F90" s="49">
        <f>'дод 3'!G144</f>
        <v>0</v>
      </c>
      <c r="G90" s="49">
        <f>'дод 3'!H144</f>
        <v>0</v>
      </c>
      <c r="H90" s="49">
        <f>'дод 3'!I144</f>
        <v>0</v>
      </c>
      <c r="I90" s="49">
        <f>'дод 3'!J144</f>
        <v>5100000</v>
      </c>
      <c r="J90" s="49">
        <f>'дод 3'!K144</f>
        <v>5100000</v>
      </c>
      <c r="K90" s="49">
        <f>'дод 3'!L144</f>
        <v>0</v>
      </c>
      <c r="L90" s="49">
        <f>'дод 3'!M144</f>
        <v>0</v>
      </c>
      <c r="M90" s="49">
        <f>'дод 3'!N144</f>
        <v>0</v>
      </c>
      <c r="N90" s="49">
        <f>'дод 3'!O144</f>
        <v>5100000</v>
      </c>
      <c r="O90" s="49">
        <f>'дод 3'!P144</f>
        <v>9598159</v>
      </c>
    </row>
    <row r="91" spans="1:15" s="54" customFormat="1" ht="31.5" hidden="1" customHeight="1" x14ac:dyDescent="0.25">
      <c r="A91" s="77"/>
      <c r="B91" s="77"/>
      <c r="C91" s="78" t="s">
        <v>390</v>
      </c>
      <c r="D91" s="79">
        <f>'дод 3'!E145</f>
        <v>0</v>
      </c>
      <c r="E91" s="79">
        <f>'дод 3'!F145</f>
        <v>0</v>
      </c>
      <c r="F91" s="79">
        <f>'дод 3'!G145</f>
        <v>0</v>
      </c>
      <c r="G91" s="79">
        <f>'дод 3'!H145</f>
        <v>0</v>
      </c>
      <c r="H91" s="79">
        <f>'дод 3'!I145</f>
        <v>0</v>
      </c>
      <c r="I91" s="79">
        <f>'дод 3'!J145</f>
        <v>0</v>
      </c>
      <c r="J91" s="79">
        <f>'дод 3'!K145</f>
        <v>0</v>
      </c>
      <c r="K91" s="79">
        <f>'дод 3'!L145</f>
        <v>0</v>
      </c>
      <c r="L91" s="79">
        <f>'дод 3'!M145</f>
        <v>0</v>
      </c>
      <c r="M91" s="79">
        <f>'дод 3'!N145</f>
        <v>0</v>
      </c>
      <c r="N91" s="79">
        <f>'дод 3'!O145</f>
        <v>0</v>
      </c>
      <c r="O91" s="79">
        <f>'дод 3'!P145</f>
        <v>0</v>
      </c>
    </row>
    <row r="92" spans="1:15" ht="19.5" customHeight="1" x14ac:dyDescent="0.25">
      <c r="A92" s="37" t="s">
        <v>121</v>
      </c>
      <c r="B92" s="37" t="s">
        <v>63</v>
      </c>
      <c r="C92" s="6" t="s">
        <v>464</v>
      </c>
      <c r="D92" s="49">
        <f>'дод 3'!E146</f>
        <v>7745106</v>
      </c>
      <c r="E92" s="49">
        <f>'дод 3'!F146</f>
        <v>7745106</v>
      </c>
      <c r="F92" s="49">
        <f>'дод 3'!G146</f>
        <v>0</v>
      </c>
      <c r="G92" s="49">
        <f>'дод 3'!H146</f>
        <v>0</v>
      </c>
      <c r="H92" s="49">
        <f>'дод 3'!I146</f>
        <v>0</v>
      </c>
      <c r="I92" s="49">
        <f>'дод 3'!J146</f>
        <v>0</v>
      </c>
      <c r="J92" s="49">
        <f>'дод 3'!K146</f>
        <v>0</v>
      </c>
      <c r="K92" s="49">
        <f>'дод 3'!L146</f>
        <v>0</v>
      </c>
      <c r="L92" s="49">
        <f>'дод 3'!M146</f>
        <v>0</v>
      </c>
      <c r="M92" s="49">
        <f>'дод 3'!N146</f>
        <v>0</v>
      </c>
      <c r="N92" s="49">
        <f>'дод 3'!O146</f>
        <v>0</v>
      </c>
      <c r="O92" s="49">
        <f>'дод 3'!P146</f>
        <v>7745106</v>
      </c>
    </row>
    <row r="93" spans="1:15" s="54" customFormat="1" ht="31.5" hidden="1" customHeight="1" x14ac:dyDescent="0.25">
      <c r="A93" s="77"/>
      <c r="B93" s="77"/>
      <c r="C93" s="78" t="s">
        <v>390</v>
      </c>
      <c r="D93" s="79">
        <f>'дод 3'!E147</f>
        <v>0</v>
      </c>
      <c r="E93" s="79">
        <f>'дод 3'!F147</f>
        <v>0</v>
      </c>
      <c r="F93" s="79">
        <f>'дод 3'!G147</f>
        <v>0</v>
      </c>
      <c r="G93" s="79">
        <f>'дод 3'!H147</f>
        <v>0</v>
      </c>
      <c r="H93" s="79">
        <f>'дод 3'!I147</f>
        <v>0</v>
      </c>
      <c r="I93" s="79">
        <f>'дод 3'!J147</f>
        <v>0</v>
      </c>
      <c r="J93" s="79">
        <f>'дод 3'!K147</f>
        <v>0</v>
      </c>
      <c r="K93" s="79">
        <f>'дод 3'!L147</f>
        <v>0</v>
      </c>
      <c r="L93" s="79">
        <f>'дод 3'!M147</f>
        <v>0</v>
      </c>
      <c r="M93" s="79">
        <f>'дод 3'!N147</f>
        <v>0</v>
      </c>
      <c r="N93" s="79">
        <f>'дод 3'!O147</f>
        <v>0</v>
      </c>
      <c r="O93" s="79">
        <f>'дод 3'!P147</f>
        <v>0</v>
      </c>
    </row>
    <row r="94" spans="1:15" ht="48.75" customHeight="1" x14ac:dyDescent="0.25">
      <c r="A94" s="37" t="s">
        <v>122</v>
      </c>
      <c r="B94" s="37" t="s">
        <v>313</v>
      </c>
      <c r="C94" s="6" t="s">
        <v>465</v>
      </c>
      <c r="D94" s="49">
        <f>'дод 3'!E148</f>
        <v>3732831</v>
      </c>
      <c r="E94" s="49">
        <f>'дод 3'!F148</f>
        <v>3732831</v>
      </c>
      <c r="F94" s="49">
        <f>'дод 3'!G148</f>
        <v>0</v>
      </c>
      <c r="G94" s="49">
        <f>'дод 3'!H148</f>
        <v>0</v>
      </c>
      <c r="H94" s="49">
        <f>'дод 3'!I148</f>
        <v>0</v>
      </c>
      <c r="I94" s="49">
        <f>'дод 3'!J148</f>
        <v>0</v>
      </c>
      <c r="J94" s="49">
        <f>'дод 3'!K148</f>
        <v>0</v>
      </c>
      <c r="K94" s="49">
        <f>'дод 3'!L148</f>
        <v>0</v>
      </c>
      <c r="L94" s="49">
        <f>'дод 3'!M148</f>
        <v>0</v>
      </c>
      <c r="M94" s="49">
        <f>'дод 3'!N148</f>
        <v>0</v>
      </c>
      <c r="N94" s="49">
        <f>'дод 3'!O148</f>
        <v>0</v>
      </c>
      <c r="O94" s="49">
        <f>'дод 3'!P148</f>
        <v>3732831</v>
      </c>
    </row>
    <row r="95" spans="1:15" s="54" customFormat="1" ht="47.25" hidden="1" customHeight="1" x14ac:dyDescent="0.25">
      <c r="A95" s="77"/>
      <c r="B95" s="77"/>
      <c r="C95" s="80" t="s">
        <v>392</v>
      </c>
      <c r="D95" s="79">
        <f>'дод 3'!E149</f>
        <v>0</v>
      </c>
      <c r="E95" s="79">
        <f>'дод 3'!F149</f>
        <v>0</v>
      </c>
      <c r="F95" s="79">
        <f>'дод 3'!G149</f>
        <v>0</v>
      </c>
      <c r="G95" s="79">
        <f>'дод 3'!H149</f>
        <v>0</v>
      </c>
      <c r="H95" s="79">
        <f>'дод 3'!I149</f>
        <v>0</v>
      </c>
      <c r="I95" s="79">
        <f>'дод 3'!J149</f>
        <v>0</v>
      </c>
      <c r="J95" s="79">
        <f>'дод 3'!K149</f>
        <v>0</v>
      </c>
      <c r="K95" s="79">
        <f>'дод 3'!L149</f>
        <v>0</v>
      </c>
      <c r="L95" s="79">
        <f>'дод 3'!M149</f>
        <v>0</v>
      </c>
      <c r="M95" s="79">
        <f>'дод 3'!N149</f>
        <v>0</v>
      </c>
      <c r="N95" s="79">
        <f>'дод 3'!O149</f>
        <v>0</v>
      </c>
      <c r="O95" s="79">
        <f>'дод 3'!P149</f>
        <v>0</v>
      </c>
    </row>
    <row r="96" spans="1:15" ht="31.5" x14ac:dyDescent="0.25">
      <c r="A96" s="40">
        <v>2144</v>
      </c>
      <c r="B96" s="37" t="s">
        <v>64</v>
      </c>
      <c r="C96" s="6" t="s">
        <v>404</v>
      </c>
      <c r="D96" s="49">
        <f>'дод 3'!E150</f>
        <v>11403653.83</v>
      </c>
      <c r="E96" s="49">
        <f>'дод 3'!F150</f>
        <v>11403653.83</v>
      </c>
      <c r="F96" s="49">
        <f>'дод 3'!G150</f>
        <v>0</v>
      </c>
      <c r="G96" s="49">
        <f>'дод 3'!H150</f>
        <v>0</v>
      </c>
      <c r="H96" s="49">
        <f>'дод 3'!I150</f>
        <v>0</v>
      </c>
      <c r="I96" s="49">
        <f>'дод 3'!J150</f>
        <v>0</v>
      </c>
      <c r="J96" s="49">
        <f>'дод 3'!K150</f>
        <v>0</v>
      </c>
      <c r="K96" s="49">
        <f>'дод 3'!L150</f>
        <v>0</v>
      </c>
      <c r="L96" s="49">
        <f>'дод 3'!M150</f>
        <v>0</v>
      </c>
      <c r="M96" s="49">
        <f>'дод 3'!N150</f>
        <v>0</v>
      </c>
      <c r="N96" s="49">
        <f>'дод 3'!O150</f>
        <v>0</v>
      </c>
      <c r="O96" s="49">
        <f>'дод 3'!P150</f>
        <v>11403653.83</v>
      </c>
    </row>
    <row r="97" spans="1:15" s="54" customFormat="1" ht="47.25" hidden="1" customHeight="1" x14ac:dyDescent="0.25">
      <c r="A97" s="81"/>
      <c r="B97" s="77"/>
      <c r="C97" s="78" t="s">
        <v>391</v>
      </c>
      <c r="D97" s="79">
        <f>'дод 3'!E151</f>
        <v>0</v>
      </c>
      <c r="E97" s="79">
        <f>'дод 3'!F151</f>
        <v>0</v>
      </c>
      <c r="F97" s="79">
        <f>'дод 3'!G151</f>
        <v>0</v>
      </c>
      <c r="G97" s="79">
        <f>'дод 3'!H151</f>
        <v>0</v>
      </c>
      <c r="H97" s="79">
        <f>'дод 3'!I151</f>
        <v>0</v>
      </c>
      <c r="I97" s="79">
        <f>'дод 3'!J151</f>
        <v>0</v>
      </c>
      <c r="J97" s="79">
        <f>'дод 3'!K151</f>
        <v>0</v>
      </c>
      <c r="K97" s="79">
        <f>'дод 3'!L151</f>
        <v>0</v>
      </c>
      <c r="L97" s="79">
        <f>'дод 3'!M151</f>
        <v>0</v>
      </c>
      <c r="M97" s="79">
        <f>'дод 3'!N151</f>
        <v>0</v>
      </c>
      <c r="N97" s="79">
        <f>'дод 3'!O151</f>
        <v>0</v>
      </c>
      <c r="O97" s="79">
        <f>'дод 3'!P151</f>
        <v>0</v>
      </c>
    </row>
    <row r="98" spans="1:15" s="54" customFormat="1" ht="47.25" x14ac:dyDescent="0.25">
      <c r="A98" s="81"/>
      <c r="B98" s="77"/>
      <c r="C98" s="78" t="s">
        <v>392</v>
      </c>
      <c r="D98" s="79">
        <f>'дод 3'!E152</f>
        <v>11403653.83</v>
      </c>
      <c r="E98" s="79">
        <f>'дод 3'!F152</f>
        <v>11403653.83</v>
      </c>
      <c r="F98" s="79">
        <f>'дод 3'!G152</f>
        <v>0</v>
      </c>
      <c r="G98" s="79">
        <f>'дод 3'!H152</f>
        <v>0</v>
      </c>
      <c r="H98" s="79">
        <f>'дод 3'!I152</f>
        <v>0</v>
      </c>
      <c r="I98" s="79">
        <f>'дод 3'!J152</f>
        <v>0</v>
      </c>
      <c r="J98" s="79">
        <f>'дод 3'!K152</f>
        <v>0</v>
      </c>
      <c r="K98" s="79">
        <f>'дод 3'!L152</f>
        <v>0</v>
      </c>
      <c r="L98" s="79">
        <f>'дод 3'!M152</f>
        <v>0</v>
      </c>
      <c r="M98" s="79">
        <f>'дод 3'!N152</f>
        <v>0</v>
      </c>
      <c r="N98" s="79">
        <f>'дод 3'!O152</f>
        <v>0</v>
      </c>
      <c r="O98" s="79">
        <f>'дод 3'!P152</f>
        <v>11403653.83</v>
      </c>
    </row>
    <row r="99" spans="1:15" ht="33.75" customHeight="1" x14ac:dyDescent="0.25">
      <c r="A99" s="37" t="s">
        <v>282</v>
      </c>
      <c r="B99" s="37" t="s">
        <v>64</v>
      </c>
      <c r="C99" s="3" t="s">
        <v>284</v>
      </c>
      <c r="D99" s="49">
        <f>'дод 3'!E153</f>
        <v>3075784</v>
      </c>
      <c r="E99" s="49">
        <f>'дод 3'!F153</f>
        <v>3075784</v>
      </c>
      <c r="F99" s="49">
        <f>'дод 3'!G153</f>
        <v>2387600</v>
      </c>
      <c r="G99" s="49">
        <f>'дод 3'!H153</f>
        <v>75184</v>
      </c>
      <c r="H99" s="49">
        <f>'дод 3'!I153</f>
        <v>0</v>
      </c>
      <c r="I99" s="49">
        <f>'дод 3'!J153</f>
        <v>0</v>
      </c>
      <c r="J99" s="49">
        <f>'дод 3'!K153</f>
        <v>0</v>
      </c>
      <c r="K99" s="49">
        <f>'дод 3'!L153</f>
        <v>0</v>
      </c>
      <c r="L99" s="49">
        <f>'дод 3'!M153</f>
        <v>0</v>
      </c>
      <c r="M99" s="49">
        <f>'дод 3'!N153</f>
        <v>0</v>
      </c>
      <c r="N99" s="49">
        <f>'дод 3'!O153</f>
        <v>0</v>
      </c>
      <c r="O99" s="49">
        <f>'дод 3'!P153</f>
        <v>3075784</v>
      </c>
    </row>
    <row r="100" spans="1:15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3'!E154</f>
        <v>20438800</v>
      </c>
      <c r="E100" s="49">
        <f>'дод 3'!F154</f>
        <v>20438800</v>
      </c>
      <c r="F100" s="49">
        <f>'дод 3'!G154</f>
        <v>0</v>
      </c>
      <c r="G100" s="49">
        <f>'дод 3'!H154</f>
        <v>0</v>
      </c>
      <c r="H100" s="49">
        <f>'дод 3'!I154</f>
        <v>0</v>
      </c>
      <c r="I100" s="49">
        <f>'дод 3'!J154</f>
        <v>39891354</v>
      </c>
      <c r="J100" s="49">
        <f>'дод 3'!K154</f>
        <v>39891354</v>
      </c>
      <c r="K100" s="49">
        <f>'дод 3'!L154</f>
        <v>0</v>
      </c>
      <c r="L100" s="49">
        <f>'дод 3'!M154</f>
        <v>0</v>
      </c>
      <c r="M100" s="49">
        <f>'дод 3'!N154</f>
        <v>0</v>
      </c>
      <c r="N100" s="49">
        <f>'дод 3'!O154</f>
        <v>39891354</v>
      </c>
      <c r="O100" s="49">
        <f>'дод 3'!P154</f>
        <v>60330154</v>
      </c>
    </row>
    <row r="101" spans="1:15" s="52" customFormat="1" ht="33" customHeight="1" x14ac:dyDescent="0.25">
      <c r="A101" s="38" t="s">
        <v>65</v>
      </c>
      <c r="B101" s="41"/>
      <c r="C101" s="2" t="s">
        <v>513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O101" si="17">E107+E108+E109+E111+E112+E113+E115+E117+E118+E119+E120+E121+E122+E123+E124+E126+E128+E129+E130+E131+E132+E133+E135+E139+E140</f>
        <v>150036390.34999999</v>
      </c>
      <c r="F101" s="48">
        <f t="shared" si="17"/>
        <v>21152068</v>
      </c>
      <c r="G101" s="48">
        <f t="shared" si="17"/>
        <v>977151</v>
      </c>
      <c r="H101" s="48">
        <f t="shared" si="17"/>
        <v>0</v>
      </c>
      <c r="I101" s="48">
        <f t="shared" si="17"/>
        <v>2465611.0499999998</v>
      </c>
      <c r="J101" s="48">
        <f t="shared" si="17"/>
        <v>2369411.0499999998</v>
      </c>
      <c r="K101" s="48">
        <f t="shared" si="17"/>
        <v>96200</v>
      </c>
      <c r="L101" s="48">
        <f t="shared" si="17"/>
        <v>75000</v>
      </c>
      <c r="M101" s="48">
        <f t="shared" si="17"/>
        <v>0</v>
      </c>
      <c r="N101" s="48">
        <f t="shared" si="17"/>
        <v>2369411.0499999998</v>
      </c>
      <c r="O101" s="48">
        <f t="shared" si="17"/>
        <v>152502001.39999998</v>
      </c>
    </row>
    <row r="102" spans="1:15" s="53" customFormat="1" ht="262.5" hidden="1" customHeight="1" x14ac:dyDescent="0.25">
      <c r="A102" s="70"/>
      <c r="B102" s="71"/>
      <c r="C102" s="74" t="s">
        <v>444</v>
      </c>
      <c r="D102" s="75">
        <f>D134</f>
        <v>0</v>
      </c>
      <c r="E102" s="75">
        <f t="shared" ref="E102:O102" si="18">E134</f>
        <v>0</v>
      </c>
      <c r="F102" s="75">
        <f t="shared" si="18"/>
        <v>0</v>
      </c>
      <c r="G102" s="75">
        <f t="shared" si="18"/>
        <v>0</v>
      </c>
      <c r="H102" s="75">
        <f t="shared" si="18"/>
        <v>0</v>
      </c>
      <c r="I102" s="75">
        <f t="shared" si="18"/>
        <v>975480.06</v>
      </c>
      <c r="J102" s="75">
        <f t="shared" si="18"/>
        <v>975480.06</v>
      </c>
      <c r="K102" s="75">
        <f t="shared" si="18"/>
        <v>0</v>
      </c>
      <c r="L102" s="75">
        <f t="shared" si="18"/>
        <v>0</v>
      </c>
      <c r="M102" s="75">
        <f t="shared" si="18"/>
        <v>0</v>
      </c>
      <c r="N102" s="75">
        <f t="shared" si="18"/>
        <v>975480.06</v>
      </c>
      <c r="O102" s="75">
        <f t="shared" si="18"/>
        <v>975480.06</v>
      </c>
    </row>
    <row r="103" spans="1:15" s="53" customFormat="1" ht="231" hidden="1" customHeight="1" x14ac:dyDescent="0.25">
      <c r="A103" s="70"/>
      <c r="B103" s="71"/>
      <c r="C103" s="74" t="s">
        <v>443</v>
      </c>
      <c r="D103" s="75">
        <f>D138</f>
        <v>0</v>
      </c>
      <c r="E103" s="75">
        <f t="shared" ref="E103:O103" si="19">E138</f>
        <v>0</v>
      </c>
      <c r="F103" s="75">
        <f t="shared" si="19"/>
        <v>0</v>
      </c>
      <c r="G103" s="75">
        <f t="shared" si="19"/>
        <v>0</v>
      </c>
      <c r="H103" s="75">
        <f t="shared" si="19"/>
        <v>0</v>
      </c>
      <c r="I103" s="75">
        <f t="shared" si="19"/>
        <v>0</v>
      </c>
      <c r="J103" s="75">
        <f t="shared" si="19"/>
        <v>0</v>
      </c>
      <c r="K103" s="75">
        <f t="shared" si="19"/>
        <v>0</v>
      </c>
      <c r="L103" s="75">
        <f t="shared" si="19"/>
        <v>0</v>
      </c>
      <c r="M103" s="75">
        <f t="shared" si="19"/>
        <v>0</v>
      </c>
      <c r="N103" s="75">
        <f t="shared" si="19"/>
        <v>0</v>
      </c>
      <c r="O103" s="75">
        <f t="shared" si="19"/>
        <v>0</v>
      </c>
    </row>
    <row r="104" spans="1:15" s="53" customFormat="1" x14ac:dyDescent="0.25">
      <c r="A104" s="70"/>
      <c r="B104" s="71"/>
      <c r="C104" s="74" t="s">
        <v>395</v>
      </c>
      <c r="D104" s="75">
        <f>D110+D114+D116+D125+D127+D141</f>
        <v>7402508.2400000002</v>
      </c>
      <c r="E104" s="75">
        <f t="shared" ref="E104:O104" si="20">E110+E114+E116+E125+E127+E141</f>
        <v>7402508.2400000002</v>
      </c>
      <c r="F104" s="75">
        <f t="shared" si="20"/>
        <v>0</v>
      </c>
      <c r="G104" s="75">
        <f t="shared" si="20"/>
        <v>0</v>
      </c>
      <c r="H104" s="75">
        <f t="shared" si="20"/>
        <v>0</v>
      </c>
      <c r="I104" s="75">
        <f t="shared" si="20"/>
        <v>0</v>
      </c>
      <c r="J104" s="75">
        <f t="shared" si="20"/>
        <v>0</v>
      </c>
      <c r="K104" s="75">
        <f t="shared" si="20"/>
        <v>0</v>
      </c>
      <c r="L104" s="75">
        <f t="shared" si="20"/>
        <v>0</v>
      </c>
      <c r="M104" s="75">
        <f t="shared" si="20"/>
        <v>0</v>
      </c>
      <c r="N104" s="75">
        <f t="shared" si="20"/>
        <v>0</v>
      </c>
      <c r="O104" s="75">
        <f t="shared" si="20"/>
        <v>7402508.2400000002</v>
      </c>
    </row>
    <row r="105" spans="1:15" s="53" customFormat="1" ht="291" customHeight="1" x14ac:dyDescent="0.25">
      <c r="A105" s="70"/>
      <c r="B105" s="71"/>
      <c r="C105" s="76" t="s">
        <v>579</v>
      </c>
      <c r="D105" s="75">
        <f>D134</f>
        <v>0</v>
      </c>
      <c r="E105" s="75">
        <f t="shared" ref="E105:O105" si="21">E134</f>
        <v>0</v>
      </c>
      <c r="F105" s="75">
        <f t="shared" si="21"/>
        <v>0</v>
      </c>
      <c r="G105" s="75">
        <f t="shared" si="21"/>
        <v>0</v>
      </c>
      <c r="H105" s="75">
        <f t="shared" si="21"/>
        <v>0</v>
      </c>
      <c r="I105" s="75">
        <f t="shared" si="21"/>
        <v>975480.06</v>
      </c>
      <c r="J105" s="75">
        <f t="shared" si="21"/>
        <v>975480.06</v>
      </c>
      <c r="K105" s="75">
        <f t="shared" si="21"/>
        <v>0</v>
      </c>
      <c r="L105" s="75">
        <f t="shared" si="21"/>
        <v>0</v>
      </c>
      <c r="M105" s="75">
        <f t="shared" si="21"/>
        <v>0</v>
      </c>
      <c r="N105" s="75">
        <f t="shared" si="21"/>
        <v>975480.06</v>
      </c>
      <c r="O105" s="75">
        <f t="shared" si="21"/>
        <v>975480.06</v>
      </c>
    </row>
    <row r="106" spans="1:15" s="53" customFormat="1" ht="350.25" customHeight="1" x14ac:dyDescent="0.25">
      <c r="A106" s="70"/>
      <c r="B106" s="71"/>
      <c r="C106" s="76" t="s">
        <v>604</v>
      </c>
      <c r="D106" s="75">
        <f>D136</f>
        <v>0</v>
      </c>
      <c r="E106" s="75">
        <f t="shared" ref="E106:O106" si="22">E136</f>
        <v>0</v>
      </c>
      <c r="F106" s="75">
        <f t="shared" si="22"/>
        <v>0</v>
      </c>
      <c r="G106" s="75">
        <f t="shared" si="22"/>
        <v>0</v>
      </c>
      <c r="H106" s="75">
        <f t="shared" si="22"/>
        <v>0</v>
      </c>
      <c r="I106" s="75">
        <f t="shared" si="22"/>
        <v>1176130.99</v>
      </c>
      <c r="J106" s="75">
        <f t="shared" si="22"/>
        <v>1176130.99</v>
      </c>
      <c r="K106" s="75">
        <f t="shared" si="22"/>
        <v>0</v>
      </c>
      <c r="L106" s="75">
        <f t="shared" si="22"/>
        <v>0</v>
      </c>
      <c r="M106" s="75">
        <f t="shared" si="22"/>
        <v>0</v>
      </c>
      <c r="N106" s="75">
        <f t="shared" si="22"/>
        <v>1176130.99</v>
      </c>
      <c r="O106" s="75">
        <f t="shared" si="22"/>
        <v>1176130.99</v>
      </c>
    </row>
    <row r="107" spans="1:15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3'!E173</f>
        <v>806663</v>
      </c>
      <c r="E107" s="49">
        <f>'дод 3'!F173</f>
        <v>806663</v>
      </c>
      <c r="F107" s="49">
        <f>'дод 3'!G173</f>
        <v>0</v>
      </c>
      <c r="G107" s="49">
        <f>'дод 3'!H173</f>
        <v>0</v>
      </c>
      <c r="H107" s="49">
        <f>'дод 3'!I173</f>
        <v>0</v>
      </c>
      <c r="I107" s="49">
        <f>'дод 3'!J173</f>
        <v>0</v>
      </c>
      <c r="J107" s="49">
        <f>'дод 3'!K173</f>
        <v>0</v>
      </c>
      <c r="K107" s="49">
        <f>'дод 3'!L173</f>
        <v>0</v>
      </c>
      <c r="L107" s="49">
        <f>'дод 3'!M173</f>
        <v>0</v>
      </c>
      <c r="M107" s="49">
        <f>'дод 3'!N173</f>
        <v>0</v>
      </c>
      <c r="N107" s="49">
        <f>'дод 3'!O173</f>
        <v>0</v>
      </c>
      <c r="O107" s="49">
        <f>'дод 3'!P173</f>
        <v>806663</v>
      </c>
    </row>
    <row r="108" spans="1:15" ht="36.75" customHeight="1" x14ac:dyDescent="0.25">
      <c r="A108" s="37" t="s">
        <v>124</v>
      </c>
      <c r="B108" s="37" t="s">
        <v>54</v>
      </c>
      <c r="C108" s="3" t="s">
        <v>360</v>
      </c>
      <c r="D108" s="49">
        <f>'дод 3'!E174</f>
        <v>900230</v>
      </c>
      <c r="E108" s="49">
        <f>'дод 3'!F174</f>
        <v>900230</v>
      </c>
      <c r="F108" s="49">
        <f>'дод 3'!G174</f>
        <v>0</v>
      </c>
      <c r="G108" s="49">
        <f>'дод 3'!H174</f>
        <v>0</v>
      </c>
      <c r="H108" s="49">
        <f>'дод 3'!I174</f>
        <v>0</v>
      </c>
      <c r="I108" s="49">
        <f>'дод 3'!J174</f>
        <v>0</v>
      </c>
      <c r="J108" s="49">
        <f>'дод 3'!K174</f>
        <v>0</v>
      </c>
      <c r="K108" s="49">
        <f>'дод 3'!L174</f>
        <v>0</v>
      </c>
      <c r="L108" s="49">
        <f>'дод 3'!M174</f>
        <v>0</v>
      </c>
      <c r="M108" s="49">
        <f>'дод 3'!N174</f>
        <v>0</v>
      </c>
      <c r="N108" s="49">
        <f>'дод 3'!O174</f>
        <v>0</v>
      </c>
      <c r="O108" s="49">
        <f>'дод 3'!P174</f>
        <v>900230</v>
      </c>
    </row>
    <row r="109" spans="1:15" ht="47.25" x14ac:dyDescent="0.25">
      <c r="A109" s="37" t="s">
        <v>99</v>
      </c>
      <c r="B109" s="37" t="s">
        <v>54</v>
      </c>
      <c r="C109" s="3" t="s">
        <v>594</v>
      </c>
      <c r="D109" s="49">
        <f>'дод 3'!E175+'дод 3'!E26</f>
        <v>22227327.240000002</v>
      </c>
      <c r="E109" s="49">
        <f>'дод 3'!F175+'дод 3'!F26</f>
        <v>22227327.240000002</v>
      </c>
      <c r="F109" s="49">
        <f>'дод 3'!G175+'дод 3'!G26</f>
        <v>0</v>
      </c>
      <c r="G109" s="49">
        <f>'дод 3'!H175+'дод 3'!H26</f>
        <v>0</v>
      </c>
      <c r="H109" s="49">
        <f>'дод 3'!I175+'дод 3'!I26</f>
        <v>0</v>
      </c>
      <c r="I109" s="49">
        <f>'дод 3'!J175+'дод 3'!J26</f>
        <v>0</v>
      </c>
      <c r="J109" s="49">
        <f>'дод 3'!K175+'дод 3'!K26</f>
        <v>0</v>
      </c>
      <c r="K109" s="49">
        <f>'дод 3'!L175+'дод 3'!L26</f>
        <v>0</v>
      </c>
      <c r="L109" s="49">
        <f>'дод 3'!M175+'дод 3'!M26</f>
        <v>0</v>
      </c>
      <c r="M109" s="49">
        <f>'дод 3'!N175+'дод 3'!N26</f>
        <v>0</v>
      </c>
      <c r="N109" s="49">
        <f>'дод 3'!O175+'дод 3'!O26</f>
        <v>0</v>
      </c>
      <c r="O109" s="49">
        <f>'дод 3'!P175+'дод 3'!P26</f>
        <v>22227327.240000002</v>
      </c>
    </row>
    <row r="110" spans="1:15" s="54" customFormat="1" ht="21.75" customHeight="1" x14ac:dyDescent="0.25">
      <c r="A110" s="77"/>
      <c r="B110" s="77"/>
      <c r="C110" s="78" t="s">
        <v>393</v>
      </c>
      <c r="D110" s="79">
        <f>'дод 3'!E176</f>
        <v>5943709.2400000002</v>
      </c>
      <c r="E110" s="79">
        <f>'дод 3'!F176</f>
        <v>5943709.2400000002</v>
      </c>
      <c r="F110" s="79">
        <f>'дод 3'!G176</f>
        <v>0</v>
      </c>
      <c r="G110" s="79">
        <f>'дод 3'!H176</f>
        <v>0</v>
      </c>
      <c r="H110" s="79">
        <f>'дод 3'!I176</f>
        <v>0</v>
      </c>
      <c r="I110" s="79">
        <f>'дод 3'!J176</f>
        <v>0</v>
      </c>
      <c r="J110" s="79">
        <f>'дод 3'!K176</f>
        <v>0</v>
      </c>
      <c r="K110" s="79">
        <f>'дод 3'!L176</f>
        <v>0</v>
      </c>
      <c r="L110" s="79">
        <f>'дод 3'!M176</f>
        <v>0</v>
      </c>
      <c r="M110" s="79">
        <f>'дод 3'!N176</f>
        <v>0</v>
      </c>
      <c r="N110" s="79">
        <f>'дод 3'!O176</f>
        <v>0</v>
      </c>
      <c r="O110" s="79">
        <f>'дод 3'!P176</f>
        <v>5943709.2400000002</v>
      </c>
    </row>
    <row r="111" spans="1:15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3'!E177</f>
        <v>2000000</v>
      </c>
      <c r="E111" s="49">
        <f>'дод 3'!F177</f>
        <v>2000000</v>
      </c>
      <c r="F111" s="49">
        <f>'дод 3'!G177</f>
        <v>0</v>
      </c>
      <c r="G111" s="49">
        <f>'дод 3'!H177</f>
        <v>0</v>
      </c>
      <c r="H111" s="49">
        <f>'дод 3'!I177</f>
        <v>0</v>
      </c>
      <c r="I111" s="49">
        <f>'дод 3'!J177</f>
        <v>0</v>
      </c>
      <c r="J111" s="49">
        <f>'дод 3'!K177</f>
        <v>0</v>
      </c>
      <c r="K111" s="49">
        <f>'дод 3'!L177</f>
        <v>0</v>
      </c>
      <c r="L111" s="49">
        <f>'дод 3'!M177</f>
        <v>0</v>
      </c>
      <c r="M111" s="49">
        <f>'дод 3'!N177</f>
        <v>0</v>
      </c>
      <c r="N111" s="49">
        <f>'дод 3'!O177</f>
        <v>0</v>
      </c>
      <c r="O111" s="49">
        <f>'дод 3'!P177</f>
        <v>2000000</v>
      </c>
    </row>
    <row r="112" spans="1:15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3'!E178+'дод 3'!E27</f>
        <v>36042686</v>
      </c>
      <c r="E112" s="49">
        <f>'дод 3'!F178+'дод 3'!F27</f>
        <v>36042686</v>
      </c>
      <c r="F112" s="49">
        <f>'дод 3'!G178+'дод 3'!G27</f>
        <v>0</v>
      </c>
      <c r="G112" s="49">
        <f>'дод 3'!H178+'дод 3'!H27</f>
        <v>0</v>
      </c>
      <c r="H112" s="49">
        <f>'дод 3'!I178+'дод 3'!I27</f>
        <v>0</v>
      </c>
      <c r="I112" s="49">
        <f>'дод 3'!J178+'дод 3'!J27</f>
        <v>0</v>
      </c>
      <c r="J112" s="49">
        <f>'дод 3'!K178+'дод 3'!K27</f>
        <v>0</v>
      </c>
      <c r="K112" s="49">
        <f>'дод 3'!L178+'дод 3'!L27</f>
        <v>0</v>
      </c>
      <c r="L112" s="49">
        <f>'дод 3'!M178+'дод 3'!M27</f>
        <v>0</v>
      </c>
      <c r="M112" s="49">
        <f>'дод 3'!N178+'дод 3'!N27</f>
        <v>0</v>
      </c>
      <c r="N112" s="49">
        <f>'дод 3'!O178+'дод 3'!O27</f>
        <v>0</v>
      </c>
      <c r="O112" s="49">
        <f>'дод 3'!P178+'дод 3'!P27</f>
        <v>36042686</v>
      </c>
    </row>
    <row r="113" spans="1:15" ht="45" customHeight="1" x14ac:dyDescent="0.25">
      <c r="A113" s="37" t="s">
        <v>101</v>
      </c>
      <c r="B113" s="37" t="s">
        <v>54</v>
      </c>
      <c r="C113" s="3" t="s">
        <v>409</v>
      </c>
      <c r="D113" s="49">
        <f>'дод 3'!E179</f>
        <v>667500</v>
      </c>
      <c r="E113" s="49">
        <f>'дод 3'!F179</f>
        <v>667500</v>
      </c>
      <c r="F113" s="49">
        <f>'дод 3'!G179</f>
        <v>0</v>
      </c>
      <c r="G113" s="49">
        <f>'дод 3'!H179</f>
        <v>0</v>
      </c>
      <c r="H113" s="49">
        <f>'дод 3'!I179</f>
        <v>0</v>
      </c>
      <c r="I113" s="49">
        <f>'дод 3'!J179</f>
        <v>0</v>
      </c>
      <c r="J113" s="49">
        <f>'дод 3'!K179</f>
        <v>0</v>
      </c>
      <c r="K113" s="49">
        <f>'дод 3'!L179</f>
        <v>0</v>
      </c>
      <c r="L113" s="49">
        <f>'дод 3'!M179</f>
        <v>0</v>
      </c>
      <c r="M113" s="49">
        <f>'дод 3'!N179</f>
        <v>0</v>
      </c>
      <c r="N113" s="49">
        <f>'дод 3'!O179</f>
        <v>0</v>
      </c>
      <c r="O113" s="49">
        <f>'дод 3'!P179</f>
        <v>667500</v>
      </c>
    </row>
    <row r="114" spans="1:15" s="54" customFormat="1" x14ac:dyDescent="0.25">
      <c r="A114" s="77"/>
      <c r="B114" s="77"/>
      <c r="C114" s="78" t="s">
        <v>393</v>
      </c>
      <c r="D114" s="79">
        <f>'дод 3'!E180</f>
        <v>667500</v>
      </c>
      <c r="E114" s="79">
        <f>'дод 3'!F180</f>
        <v>667500</v>
      </c>
      <c r="F114" s="79">
        <f>'дод 3'!G180</f>
        <v>0</v>
      </c>
      <c r="G114" s="79">
        <f>'дод 3'!H180</f>
        <v>0</v>
      </c>
      <c r="H114" s="79">
        <f>'дод 3'!I180</f>
        <v>0</v>
      </c>
      <c r="I114" s="79">
        <f>'дод 3'!J180</f>
        <v>0</v>
      </c>
      <c r="J114" s="79">
        <f>'дод 3'!K180</f>
        <v>0</v>
      </c>
      <c r="K114" s="79">
        <f>'дод 3'!L180</f>
        <v>0</v>
      </c>
      <c r="L114" s="79">
        <f>'дод 3'!M180</f>
        <v>0</v>
      </c>
      <c r="M114" s="79">
        <f>'дод 3'!N180</f>
        <v>0</v>
      </c>
      <c r="N114" s="79">
        <f>'дод 3'!O180</f>
        <v>0</v>
      </c>
      <c r="O114" s="79">
        <f>'дод 3'!P180</f>
        <v>667500</v>
      </c>
    </row>
    <row r="115" spans="1:15" ht="40.5" customHeight="1" x14ac:dyDescent="0.25">
      <c r="A115" s="37" t="s">
        <v>315</v>
      </c>
      <c r="B115" s="37" t="s">
        <v>52</v>
      </c>
      <c r="C115" s="3" t="s">
        <v>410</v>
      </c>
      <c r="D115" s="49">
        <f>'дод 3'!E181</f>
        <v>245000</v>
      </c>
      <c r="E115" s="49">
        <f>'дод 3'!F181</f>
        <v>245000</v>
      </c>
      <c r="F115" s="49">
        <f>'дод 3'!G181</f>
        <v>0</v>
      </c>
      <c r="G115" s="49">
        <f>'дод 3'!H181</f>
        <v>0</v>
      </c>
      <c r="H115" s="49">
        <f>'дод 3'!I181</f>
        <v>0</v>
      </c>
      <c r="I115" s="49">
        <f>'дод 3'!J181</f>
        <v>0</v>
      </c>
      <c r="J115" s="49">
        <f>'дод 3'!K181</f>
        <v>0</v>
      </c>
      <c r="K115" s="49">
        <f>'дод 3'!L181</f>
        <v>0</v>
      </c>
      <c r="L115" s="49">
        <f>'дод 3'!M181</f>
        <v>0</v>
      </c>
      <c r="M115" s="49">
        <f>'дод 3'!N181</f>
        <v>0</v>
      </c>
      <c r="N115" s="49">
        <f>'дод 3'!O181</f>
        <v>0</v>
      </c>
      <c r="O115" s="49">
        <f>'дод 3'!P181</f>
        <v>245000</v>
      </c>
    </row>
    <row r="116" spans="1:15" s="54" customFormat="1" x14ac:dyDescent="0.25">
      <c r="A116" s="77"/>
      <c r="B116" s="77"/>
      <c r="C116" s="78" t="s">
        <v>393</v>
      </c>
      <c r="D116" s="79">
        <f>'дод 3'!E182</f>
        <v>245000</v>
      </c>
      <c r="E116" s="79">
        <f>'дод 3'!F182</f>
        <v>245000</v>
      </c>
      <c r="F116" s="79">
        <f>'дод 3'!G182</f>
        <v>0</v>
      </c>
      <c r="G116" s="79">
        <f>'дод 3'!H182</f>
        <v>0</v>
      </c>
      <c r="H116" s="79">
        <f>'дод 3'!I182</f>
        <v>0</v>
      </c>
      <c r="I116" s="79">
        <f>'дод 3'!J182</f>
        <v>0</v>
      </c>
      <c r="J116" s="79">
        <f>'дод 3'!K182</f>
        <v>0</v>
      </c>
      <c r="K116" s="79">
        <f>'дод 3'!L182</f>
        <v>0</v>
      </c>
      <c r="L116" s="79">
        <f>'дод 3'!M182</f>
        <v>0</v>
      </c>
      <c r="M116" s="79">
        <f>'дод 3'!N182</f>
        <v>0</v>
      </c>
      <c r="N116" s="79">
        <f>'дод 3'!O182</f>
        <v>0</v>
      </c>
      <c r="O116" s="79">
        <f>'дод 3'!P182</f>
        <v>245000</v>
      </c>
    </row>
    <row r="117" spans="1:15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3'!E183</f>
        <v>18402127.48</v>
      </c>
      <c r="E117" s="49">
        <f>'дод 3'!F183</f>
        <v>18402127.48</v>
      </c>
      <c r="F117" s="49">
        <f>'дод 3'!G183</f>
        <v>14027514.66</v>
      </c>
      <c r="G117" s="49">
        <f>'дод 3'!H183</f>
        <v>409914.4</v>
      </c>
      <c r="H117" s="49">
        <f>'дод 3'!I183</f>
        <v>0</v>
      </c>
      <c r="I117" s="49">
        <f>'дод 3'!J183</f>
        <v>96200</v>
      </c>
      <c r="J117" s="49">
        <f>'дод 3'!K183</f>
        <v>0</v>
      </c>
      <c r="K117" s="49">
        <f>'дод 3'!L183</f>
        <v>96200</v>
      </c>
      <c r="L117" s="49">
        <f>'дод 3'!M183</f>
        <v>75000</v>
      </c>
      <c r="M117" s="49">
        <f>'дод 3'!N183</f>
        <v>0</v>
      </c>
      <c r="N117" s="49">
        <f>'дод 3'!O183</f>
        <v>0</v>
      </c>
      <c r="O117" s="49">
        <f>'дод 3'!P183</f>
        <v>18498327.48</v>
      </c>
    </row>
    <row r="118" spans="1:15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3'!E209)</f>
        <v>91140</v>
      </c>
      <c r="E118" s="49">
        <f>SUM('дод 3'!F209)</f>
        <v>91140</v>
      </c>
      <c r="F118" s="49">
        <f>SUM('дод 3'!G209)</f>
        <v>0</v>
      </c>
      <c r="G118" s="49">
        <f>SUM('дод 3'!H209)</f>
        <v>0</v>
      </c>
      <c r="H118" s="49">
        <f>SUM('дод 3'!I209)</f>
        <v>0</v>
      </c>
      <c r="I118" s="49">
        <f>SUM('дод 3'!J209)</f>
        <v>0</v>
      </c>
      <c r="J118" s="49">
        <f>SUM('дод 3'!K209)</f>
        <v>0</v>
      </c>
      <c r="K118" s="49">
        <f>SUM('дод 3'!L209)</f>
        <v>0</v>
      </c>
      <c r="L118" s="49">
        <f>SUM('дод 3'!M209)</f>
        <v>0</v>
      </c>
      <c r="M118" s="49">
        <f>SUM('дод 3'!N209)</f>
        <v>0</v>
      </c>
      <c r="N118" s="49">
        <f>SUM('дод 3'!O209)</f>
        <v>0</v>
      </c>
      <c r="O118" s="49">
        <f>SUM('дод 3'!P209)</f>
        <v>91140</v>
      </c>
    </row>
    <row r="119" spans="1:15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3'!E210</f>
        <v>93040</v>
      </c>
      <c r="E119" s="49">
        <f>'дод 3'!F210</f>
        <v>93040</v>
      </c>
      <c r="F119" s="49">
        <f>'дод 3'!G210</f>
        <v>0</v>
      </c>
      <c r="G119" s="49">
        <f>'дод 3'!H210</f>
        <v>0</v>
      </c>
      <c r="H119" s="49">
        <f>'дод 3'!I210</f>
        <v>0</v>
      </c>
      <c r="I119" s="49">
        <f>'дод 3'!J210</f>
        <v>0</v>
      </c>
      <c r="J119" s="49">
        <f>'дод 3'!K210</f>
        <v>0</v>
      </c>
      <c r="K119" s="49">
        <f>'дод 3'!L210</f>
        <v>0</v>
      </c>
      <c r="L119" s="49">
        <f>'дод 3'!M210</f>
        <v>0</v>
      </c>
      <c r="M119" s="49">
        <f>'дод 3'!N210</f>
        <v>0</v>
      </c>
      <c r="N119" s="49">
        <f>'дод 3'!O210</f>
        <v>0</v>
      </c>
      <c r="O119" s="49">
        <f>'дод 3'!P210</f>
        <v>93040</v>
      </c>
    </row>
    <row r="120" spans="1:15" s="54" customFormat="1" ht="38.25" customHeight="1" x14ac:dyDescent="0.25">
      <c r="A120" s="37" t="s">
        <v>126</v>
      </c>
      <c r="B120" s="37" t="s">
        <v>100</v>
      </c>
      <c r="C120" s="3" t="s">
        <v>500</v>
      </c>
      <c r="D120" s="49">
        <f>'дод 3'!E28</f>
        <v>3222540</v>
      </c>
      <c r="E120" s="49">
        <f>'дод 3'!F28</f>
        <v>3222540</v>
      </c>
      <c r="F120" s="49">
        <f>'дод 3'!G28</f>
        <v>2407050</v>
      </c>
      <c r="G120" s="49">
        <f>'дод 3'!H28</f>
        <v>55730</v>
      </c>
      <c r="H120" s="49">
        <f>'дод 3'!I28</f>
        <v>0</v>
      </c>
      <c r="I120" s="49">
        <f>'дод 3'!J28</f>
        <v>0</v>
      </c>
      <c r="J120" s="49">
        <f>'дод 3'!K28</f>
        <v>0</v>
      </c>
      <c r="K120" s="49">
        <f>'дод 3'!L28</f>
        <v>0</v>
      </c>
      <c r="L120" s="49">
        <f>'дод 3'!M28</f>
        <v>0</v>
      </c>
      <c r="M120" s="49">
        <f>'дод 3'!N28</f>
        <v>0</v>
      </c>
      <c r="N120" s="49">
        <f>'дод 3'!O28</f>
        <v>0</v>
      </c>
      <c r="O120" s="49">
        <f>'дод 3'!P28</f>
        <v>3222540</v>
      </c>
    </row>
    <row r="121" spans="1:15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3'!E29</f>
        <v>556216</v>
      </c>
      <c r="E121" s="49">
        <f>'дод 3'!F29</f>
        <v>556216</v>
      </c>
      <c r="F121" s="49">
        <f>'дод 3'!G29</f>
        <v>0</v>
      </c>
      <c r="G121" s="49">
        <f>'дод 3'!H29</f>
        <v>0</v>
      </c>
      <c r="H121" s="49">
        <f>'дод 3'!I29</f>
        <v>0</v>
      </c>
      <c r="I121" s="49">
        <f>'дод 3'!J29</f>
        <v>0</v>
      </c>
      <c r="J121" s="49">
        <f>'дод 3'!K29</f>
        <v>0</v>
      </c>
      <c r="K121" s="49">
        <f>'дод 3'!L29</f>
        <v>0</v>
      </c>
      <c r="L121" s="49">
        <f>'дод 3'!M29</f>
        <v>0</v>
      </c>
      <c r="M121" s="49">
        <f>'дод 3'!N29</f>
        <v>0</v>
      </c>
      <c r="N121" s="49">
        <f>'дод 3'!O29</f>
        <v>0</v>
      </c>
      <c r="O121" s="49">
        <f>'дод 3'!P29</f>
        <v>556216</v>
      </c>
    </row>
    <row r="122" spans="1:15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3'!E30+'дод 3'!E112</f>
        <v>5780000</v>
      </c>
      <c r="E122" s="49">
        <f>'дод 3'!F30+'дод 3'!F112</f>
        <v>5780000</v>
      </c>
      <c r="F122" s="49">
        <f>'дод 3'!G30+'дод 3'!G112</f>
        <v>0</v>
      </c>
      <c r="G122" s="49">
        <f>'дод 3'!H30+'дод 3'!H112</f>
        <v>0</v>
      </c>
      <c r="H122" s="49">
        <f>'дод 3'!I30+'дод 3'!I112</f>
        <v>0</v>
      </c>
      <c r="I122" s="49">
        <f>'дод 3'!J30+'дод 3'!J112</f>
        <v>0</v>
      </c>
      <c r="J122" s="49">
        <f>'дод 3'!K30+'дод 3'!K112</f>
        <v>0</v>
      </c>
      <c r="K122" s="49">
        <f>'дод 3'!L30+'дод 3'!L112</f>
        <v>0</v>
      </c>
      <c r="L122" s="49">
        <f>'дод 3'!M30+'дод 3'!M112</f>
        <v>0</v>
      </c>
      <c r="M122" s="49">
        <f>'дод 3'!N30+'дод 3'!N112</f>
        <v>0</v>
      </c>
      <c r="N122" s="49">
        <f>'дод 3'!O30+'дод 3'!O112</f>
        <v>0</v>
      </c>
      <c r="O122" s="49">
        <f>'дод 3'!P30+'дод 3'!P112</f>
        <v>5780000</v>
      </c>
    </row>
    <row r="123" spans="1:15" ht="78.75" x14ac:dyDescent="0.25">
      <c r="A123" s="37" t="s">
        <v>109</v>
      </c>
      <c r="B123" s="37">
        <v>1010</v>
      </c>
      <c r="C123" s="3" t="s">
        <v>286</v>
      </c>
      <c r="D123" s="49">
        <f>'дод 3'!E184</f>
        <v>4071000</v>
      </c>
      <c r="E123" s="49">
        <f>'дод 3'!F184</f>
        <v>4071000</v>
      </c>
      <c r="F123" s="49">
        <f>'дод 3'!G184</f>
        <v>0</v>
      </c>
      <c r="G123" s="49">
        <f>'дод 3'!H184</f>
        <v>0</v>
      </c>
      <c r="H123" s="49">
        <f>'дод 3'!I184</f>
        <v>0</v>
      </c>
      <c r="I123" s="49">
        <f>'дод 3'!J184</f>
        <v>0</v>
      </c>
      <c r="J123" s="49">
        <f>'дод 3'!K184</f>
        <v>0</v>
      </c>
      <c r="K123" s="49">
        <f>'дод 3'!L184</f>
        <v>0</v>
      </c>
      <c r="L123" s="49">
        <f>'дод 3'!M184</f>
        <v>0</v>
      </c>
      <c r="M123" s="49">
        <f>'дод 3'!N184</f>
        <v>0</v>
      </c>
      <c r="N123" s="49">
        <f>'дод 3'!O184</f>
        <v>0</v>
      </c>
      <c r="O123" s="49">
        <f>'дод 3'!P184</f>
        <v>4071000</v>
      </c>
    </row>
    <row r="124" spans="1:15" s="54" customFormat="1" ht="63" x14ac:dyDescent="0.25">
      <c r="A124" s="37" t="s">
        <v>316</v>
      </c>
      <c r="B124" s="37">
        <v>1010</v>
      </c>
      <c r="C124" s="3" t="s">
        <v>405</v>
      </c>
      <c r="D124" s="49">
        <f>'дод 3'!E185</f>
        <v>198209</v>
      </c>
      <c r="E124" s="49">
        <f>'дод 3'!F185</f>
        <v>198209</v>
      </c>
      <c r="F124" s="49">
        <f>'дод 3'!G185</f>
        <v>0</v>
      </c>
      <c r="G124" s="49">
        <f>'дод 3'!H185</f>
        <v>0</v>
      </c>
      <c r="H124" s="49">
        <f>'дод 3'!I185</f>
        <v>0</v>
      </c>
      <c r="I124" s="49">
        <f>'дод 3'!J185</f>
        <v>0</v>
      </c>
      <c r="J124" s="49">
        <f>'дод 3'!K185</f>
        <v>0</v>
      </c>
      <c r="K124" s="49">
        <f>'дод 3'!L185</f>
        <v>0</v>
      </c>
      <c r="L124" s="49">
        <f>'дод 3'!M185</f>
        <v>0</v>
      </c>
      <c r="M124" s="49">
        <f>'дод 3'!N185</f>
        <v>0</v>
      </c>
      <c r="N124" s="49">
        <f>'дод 3'!O185</f>
        <v>0</v>
      </c>
      <c r="O124" s="49">
        <f>'дод 3'!P185</f>
        <v>198209</v>
      </c>
    </row>
    <row r="125" spans="1:15" s="54" customFormat="1" x14ac:dyDescent="0.25">
      <c r="A125" s="77"/>
      <c r="B125" s="77"/>
      <c r="C125" s="78" t="s">
        <v>393</v>
      </c>
      <c r="D125" s="79">
        <f>'дод 3'!E186</f>
        <v>198209</v>
      </c>
      <c r="E125" s="79">
        <f>'дод 3'!F186</f>
        <v>198209</v>
      </c>
      <c r="F125" s="79">
        <f>'дод 3'!G186</f>
        <v>0</v>
      </c>
      <c r="G125" s="79">
        <f>'дод 3'!H186</f>
        <v>0</v>
      </c>
      <c r="H125" s="79">
        <f>'дод 3'!I186</f>
        <v>0</v>
      </c>
      <c r="I125" s="79">
        <f>'дод 3'!J186</f>
        <v>0</v>
      </c>
      <c r="J125" s="79">
        <f>'дод 3'!K186</f>
        <v>0</v>
      </c>
      <c r="K125" s="79">
        <f>'дод 3'!L186</f>
        <v>0</v>
      </c>
      <c r="L125" s="79">
        <f>'дод 3'!M186</f>
        <v>0</v>
      </c>
      <c r="M125" s="79">
        <f>'дод 3'!N186</f>
        <v>0</v>
      </c>
      <c r="N125" s="79">
        <f>'дод 3'!O186</f>
        <v>0</v>
      </c>
      <c r="O125" s="79">
        <f>'дод 3'!P186</f>
        <v>198209</v>
      </c>
    </row>
    <row r="126" spans="1:15" s="54" customFormat="1" ht="36" customHeight="1" x14ac:dyDescent="0.25">
      <c r="A126" s="37" t="s">
        <v>317</v>
      </c>
      <c r="B126" s="37">
        <v>1010</v>
      </c>
      <c r="C126" s="3" t="s">
        <v>406</v>
      </c>
      <c r="D126" s="49">
        <f>'дод 3'!E187</f>
        <v>90</v>
      </c>
      <c r="E126" s="49">
        <f>'дод 3'!F187</f>
        <v>90</v>
      </c>
      <c r="F126" s="49">
        <f>'дод 3'!G187</f>
        <v>0</v>
      </c>
      <c r="G126" s="49">
        <f>'дод 3'!H187</f>
        <v>0</v>
      </c>
      <c r="H126" s="49">
        <f>'дод 3'!I187</f>
        <v>0</v>
      </c>
      <c r="I126" s="49">
        <f>'дод 3'!J187</f>
        <v>0</v>
      </c>
      <c r="J126" s="49">
        <f>'дод 3'!K187</f>
        <v>0</v>
      </c>
      <c r="K126" s="49">
        <f>'дод 3'!L187</f>
        <v>0</v>
      </c>
      <c r="L126" s="49">
        <f>'дод 3'!M187</f>
        <v>0</v>
      </c>
      <c r="M126" s="49">
        <f>'дод 3'!N187</f>
        <v>0</v>
      </c>
      <c r="N126" s="49">
        <f>'дод 3'!O187</f>
        <v>0</v>
      </c>
      <c r="O126" s="49">
        <f>'дод 3'!P187</f>
        <v>90</v>
      </c>
    </row>
    <row r="127" spans="1:15" s="54" customFormat="1" x14ac:dyDescent="0.25">
      <c r="A127" s="77"/>
      <c r="B127" s="77"/>
      <c r="C127" s="78" t="s">
        <v>393</v>
      </c>
      <c r="D127" s="79">
        <f>'дод 3'!E188</f>
        <v>90</v>
      </c>
      <c r="E127" s="79">
        <f>'дод 3'!F188</f>
        <v>90</v>
      </c>
      <c r="F127" s="79">
        <f>'дод 3'!G188</f>
        <v>0</v>
      </c>
      <c r="G127" s="79">
        <f>'дод 3'!H188</f>
        <v>0</v>
      </c>
      <c r="H127" s="79">
        <f>'дод 3'!I188</f>
        <v>0</v>
      </c>
      <c r="I127" s="79">
        <f>'дод 3'!J188</f>
        <v>0</v>
      </c>
      <c r="J127" s="79">
        <f>'дод 3'!K188</f>
        <v>0</v>
      </c>
      <c r="K127" s="79">
        <f>'дод 3'!L188</f>
        <v>0</v>
      </c>
      <c r="L127" s="79">
        <f>'дод 3'!M188</f>
        <v>0</v>
      </c>
      <c r="M127" s="79">
        <f>'дод 3'!N188</f>
        <v>0</v>
      </c>
      <c r="N127" s="79">
        <f>'дод 3'!O188</f>
        <v>0</v>
      </c>
      <c r="O127" s="79">
        <f>'дод 3'!P188</f>
        <v>90</v>
      </c>
    </row>
    <row r="128" spans="1:15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3'!E189</f>
        <v>2505011</v>
      </c>
      <c r="E128" s="49">
        <f>'дод 3'!F189</f>
        <v>2505011</v>
      </c>
      <c r="F128" s="49">
        <f>'дод 3'!G189</f>
        <v>0</v>
      </c>
      <c r="G128" s="49">
        <f>'дод 3'!H189</f>
        <v>0</v>
      </c>
      <c r="H128" s="49">
        <f>'дод 3'!I189</f>
        <v>0</v>
      </c>
      <c r="I128" s="49">
        <f>'дод 3'!J189</f>
        <v>0</v>
      </c>
      <c r="J128" s="49">
        <f>'дод 3'!K189</f>
        <v>0</v>
      </c>
      <c r="K128" s="49">
        <f>'дод 3'!L189</f>
        <v>0</v>
      </c>
      <c r="L128" s="49">
        <f>'дод 3'!M189</f>
        <v>0</v>
      </c>
      <c r="M128" s="49">
        <f>'дод 3'!N189</f>
        <v>0</v>
      </c>
      <c r="N128" s="49">
        <f>'дод 3'!O189</f>
        <v>0</v>
      </c>
      <c r="O128" s="49">
        <f>'дод 3'!P189</f>
        <v>2505011</v>
      </c>
    </row>
    <row r="129" spans="1:15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3'!E190</f>
        <v>1890666</v>
      </c>
      <c r="E129" s="49">
        <f>'дод 3'!F190</f>
        <v>1890666</v>
      </c>
      <c r="F129" s="49">
        <f>'дод 3'!G190</f>
        <v>0</v>
      </c>
      <c r="G129" s="49">
        <f>'дод 3'!H190</f>
        <v>0</v>
      </c>
      <c r="H129" s="49">
        <f>'дод 3'!I190</f>
        <v>0</v>
      </c>
      <c r="I129" s="49">
        <f>'дод 3'!J190</f>
        <v>0</v>
      </c>
      <c r="J129" s="49">
        <f>'дод 3'!K190</f>
        <v>0</v>
      </c>
      <c r="K129" s="49">
        <f>'дод 3'!L190</f>
        <v>0</v>
      </c>
      <c r="L129" s="49">
        <f>'дод 3'!M190</f>
        <v>0</v>
      </c>
      <c r="M129" s="49">
        <f>'дод 3'!N190</f>
        <v>0</v>
      </c>
      <c r="N129" s="49">
        <f>'дод 3'!O190</f>
        <v>0</v>
      </c>
      <c r="O129" s="49">
        <f>'дод 3'!P190</f>
        <v>1890666</v>
      </c>
    </row>
    <row r="130" spans="1:15" s="54" customFormat="1" ht="51" customHeight="1" x14ac:dyDescent="0.25">
      <c r="A130" s="37" t="s">
        <v>288</v>
      </c>
      <c r="B130" s="37" t="s">
        <v>52</v>
      </c>
      <c r="C130" s="60" t="s">
        <v>501</v>
      </c>
      <c r="D130" s="49">
        <f>'дод 3'!E191</f>
        <v>2250688</v>
      </c>
      <c r="E130" s="49">
        <f>'дод 3'!F191</f>
        <v>2250688</v>
      </c>
      <c r="F130" s="49">
        <f>'дод 3'!G191</f>
        <v>0</v>
      </c>
      <c r="G130" s="49">
        <f>'дод 3'!H191</f>
        <v>0</v>
      </c>
      <c r="H130" s="49">
        <f>'дод 3'!I191</f>
        <v>0</v>
      </c>
      <c r="I130" s="49">
        <f>'дод 3'!J191</f>
        <v>0</v>
      </c>
      <c r="J130" s="49">
        <f>'дод 3'!K191</f>
        <v>0</v>
      </c>
      <c r="K130" s="49">
        <f>'дод 3'!L191</f>
        <v>0</v>
      </c>
      <c r="L130" s="49">
        <f>'дод 3'!M191</f>
        <v>0</v>
      </c>
      <c r="M130" s="49">
        <f>'дод 3'!N191</f>
        <v>0</v>
      </c>
      <c r="N130" s="49">
        <f>'дод 3'!O191</f>
        <v>0</v>
      </c>
      <c r="O130" s="49">
        <f>'дод 3'!P191</f>
        <v>2250688</v>
      </c>
    </row>
    <row r="131" spans="1:15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3'!E192</f>
        <v>92000</v>
      </c>
      <c r="E131" s="49">
        <f>'дод 3'!F192</f>
        <v>92000</v>
      </c>
      <c r="F131" s="49">
        <f>'дод 3'!G192</f>
        <v>0</v>
      </c>
      <c r="G131" s="49">
        <f>'дод 3'!H192</f>
        <v>0</v>
      </c>
      <c r="H131" s="49">
        <f>'дод 3'!I192</f>
        <v>0</v>
      </c>
      <c r="I131" s="49">
        <f>'дод 3'!J192</f>
        <v>0</v>
      </c>
      <c r="J131" s="49">
        <f>'дод 3'!K192</f>
        <v>0</v>
      </c>
      <c r="K131" s="49">
        <f>'дод 3'!L192</f>
        <v>0</v>
      </c>
      <c r="L131" s="49">
        <f>'дод 3'!M192</f>
        <v>0</v>
      </c>
      <c r="M131" s="49">
        <f>'дод 3'!N192</f>
        <v>0</v>
      </c>
      <c r="N131" s="49">
        <f>'дод 3'!O192</f>
        <v>0</v>
      </c>
      <c r="O131" s="49">
        <f>'дод 3'!P192</f>
        <v>92000</v>
      </c>
    </row>
    <row r="132" spans="1:15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3'!E193+'дод 3'!E235</f>
        <v>50000</v>
      </c>
      <c r="E132" s="49">
        <f>'дод 3'!F193+'дод 3'!F235</f>
        <v>50000</v>
      </c>
      <c r="F132" s="49">
        <f>'дод 3'!G193+'дод 3'!G235</f>
        <v>40900</v>
      </c>
      <c r="G132" s="49">
        <f>'дод 3'!H193+'дод 3'!H235</f>
        <v>0</v>
      </c>
      <c r="H132" s="49">
        <f>'дод 3'!I193+'дод 3'!I235</f>
        <v>0</v>
      </c>
      <c r="I132" s="49">
        <f>'дод 3'!J193+'дод 3'!J235</f>
        <v>0</v>
      </c>
      <c r="J132" s="49">
        <f>'дод 3'!K193+'дод 3'!K235</f>
        <v>0</v>
      </c>
      <c r="K132" s="49">
        <f>'дод 3'!L193+'дод 3'!L235</f>
        <v>0</v>
      </c>
      <c r="L132" s="49">
        <f>'дод 3'!M193+'дод 3'!M235</f>
        <v>0</v>
      </c>
      <c r="M132" s="49">
        <f>'дод 3'!N193+'дод 3'!N235</f>
        <v>0</v>
      </c>
      <c r="N132" s="49">
        <f>'дод 3'!O193+'дод 3'!O235</f>
        <v>0</v>
      </c>
      <c r="O132" s="49">
        <f>'дод 3'!P193+'дод 3'!P235</f>
        <v>50000</v>
      </c>
    </row>
    <row r="133" spans="1:15" ht="240.75" customHeight="1" x14ac:dyDescent="0.25">
      <c r="A133" s="37">
        <v>3221</v>
      </c>
      <c r="B133" s="58" t="s">
        <v>53</v>
      </c>
      <c r="C133" s="36" t="s">
        <v>581</v>
      </c>
      <c r="D133" s="49">
        <f>'дод 3'!E194</f>
        <v>0</v>
      </c>
      <c r="E133" s="49">
        <f>'дод 3'!F194</f>
        <v>0</v>
      </c>
      <c r="F133" s="49">
        <f>'дод 3'!G194</f>
        <v>0</v>
      </c>
      <c r="G133" s="49">
        <f>'дод 3'!H194</f>
        <v>0</v>
      </c>
      <c r="H133" s="49">
        <f>'дод 3'!I194</f>
        <v>0</v>
      </c>
      <c r="I133" s="49">
        <f>'дод 3'!J194</f>
        <v>975480.06</v>
      </c>
      <c r="J133" s="49">
        <f>'дод 3'!K194</f>
        <v>975480.06</v>
      </c>
      <c r="K133" s="49">
        <f>'дод 3'!L194</f>
        <v>0</v>
      </c>
      <c r="L133" s="49">
        <f>'дод 3'!M194</f>
        <v>0</v>
      </c>
      <c r="M133" s="49">
        <f>'дод 3'!N194</f>
        <v>0</v>
      </c>
      <c r="N133" s="49">
        <f>'дод 3'!O194</f>
        <v>975480.06</v>
      </c>
      <c r="O133" s="49">
        <f>'дод 3'!P194</f>
        <v>975480.06</v>
      </c>
    </row>
    <row r="134" spans="1:15" s="54" customFormat="1" ht="267.75" customHeight="1" x14ac:dyDescent="0.25">
      <c r="A134" s="77"/>
      <c r="B134" s="88"/>
      <c r="C134" s="86" t="s">
        <v>579</v>
      </c>
      <c r="D134" s="79">
        <f>'дод 3'!E195</f>
        <v>0</v>
      </c>
      <c r="E134" s="79">
        <f>'дод 3'!F195</f>
        <v>0</v>
      </c>
      <c r="F134" s="79">
        <f>'дод 3'!G195</f>
        <v>0</v>
      </c>
      <c r="G134" s="79">
        <f>'дод 3'!H195</f>
        <v>0</v>
      </c>
      <c r="H134" s="79">
        <f>'дод 3'!I195</f>
        <v>0</v>
      </c>
      <c r="I134" s="79">
        <f>'дод 3'!J195</f>
        <v>975480.06</v>
      </c>
      <c r="J134" s="79">
        <f>'дод 3'!K195</f>
        <v>975480.06</v>
      </c>
      <c r="K134" s="79">
        <f>'дод 3'!L195</f>
        <v>0</v>
      </c>
      <c r="L134" s="79">
        <f>'дод 3'!M195</f>
        <v>0</v>
      </c>
      <c r="M134" s="79">
        <f>'дод 3'!N195</f>
        <v>0</v>
      </c>
      <c r="N134" s="79">
        <f>'дод 3'!O195</f>
        <v>975480.06</v>
      </c>
      <c r="O134" s="79">
        <f>'дод 3'!P195</f>
        <v>975480.06</v>
      </c>
    </row>
    <row r="135" spans="1:15" s="54" customFormat="1" ht="293.25" customHeight="1" x14ac:dyDescent="0.25">
      <c r="A135" s="42">
        <v>3222</v>
      </c>
      <c r="B135" s="102" t="s">
        <v>53</v>
      </c>
      <c r="C135" s="36" t="s">
        <v>617</v>
      </c>
      <c r="D135" s="49">
        <f>'дод 3'!E196</f>
        <v>0</v>
      </c>
      <c r="E135" s="49">
        <f>'дод 3'!F196</f>
        <v>0</v>
      </c>
      <c r="F135" s="49">
        <f>'дод 3'!G196</f>
        <v>0</v>
      </c>
      <c r="G135" s="49">
        <f>'дод 3'!H196</f>
        <v>0</v>
      </c>
      <c r="H135" s="49">
        <f>'дод 3'!I196</f>
        <v>0</v>
      </c>
      <c r="I135" s="49">
        <f>'дод 3'!J196</f>
        <v>1176130.99</v>
      </c>
      <c r="J135" s="49">
        <f>'дод 3'!K196</f>
        <v>1176130.99</v>
      </c>
      <c r="K135" s="49">
        <f>'дод 3'!L196</f>
        <v>0</v>
      </c>
      <c r="L135" s="49">
        <f>'дод 3'!M196</f>
        <v>0</v>
      </c>
      <c r="M135" s="49">
        <f>'дод 3'!N196</f>
        <v>0</v>
      </c>
      <c r="N135" s="49">
        <f>'дод 3'!O196</f>
        <v>1176130.99</v>
      </c>
      <c r="O135" s="49">
        <f>'дод 3'!P196</f>
        <v>1176130.99</v>
      </c>
    </row>
    <row r="136" spans="1:15" s="54" customFormat="1" ht="333.75" customHeight="1" x14ac:dyDescent="0.25">
      <c r="A136" s="77"/>
      <c r="B136" s="88"/>
      <c r="C136" s="86" t="s">
        <v>604</v>
      </c>
      <c r="D136" s="79">
        <f>'дод 3'!E197</f>
        <v>0</v>
      </c>
      <c r="E136" s="79">
        <f>'дод 3'!F197</f>
        <v>0</v>
      </c>
      <c r="F136" s="79">
        <f>'дод 3'!G197</f>
        <v>0</v>
      </c>
      <c r="G136" s="79">
        <f>'дод 3'!H197</f>
        <v>0</v>
      </c>
      <c r="H136" s="79">
        <f>'дод 3'!I197</f>
        <v>0</v>
      </c>
      <c r="I136" s="79">
        <f>'дод 3'!J197</f>
        <v>1176130.99</v>
      </c>
      <c r="J136" s="79">
        <f>'дод 3'!K197</f>
        <v>1176130.99</v>
      </c>
      <c r="K136" s="79">
        <f>'дод 3'!L197</f>
        <v>0</v>
      </c>
      <c r="L136" s="79">
        <f>'дод 3'!M197</f>
        <v>0</v>
      </c>
      <c r="M136" s="79">
        <f>'дод 3'!N197</f>
        <v>0</v>
      </c>
      <c r="N136" s="79">
        <f>'дод 3'!O197</f>
        <v>1176130.99</v>
      </c>
      <c r="O136" s="79">
        <f>'дод 3'!P197</f>
        <v>1176130.99</v>
      </c>
    </row>
    <row r="137" spans="1:15" ht="189" hidden="1" x14ac:dyDescent="0.25">
      <c r="A137" s="37">
        <v>3223</v>
      </c>
      <c r="B137" s="58" t="s">
        <v>53</v>
      </c>
      <c r="C137" s="36" t="s">
        <v>442</v>
      </c>
      <c r="D137" s="49">
        <f>'дод 3'!E198</f>
        <v>0</v>
      </c>
      <c r="E137" s="49">
        <f>'дод 3'!F198</f>
        <v>0</v>
      </c>
      <c r="F137" s="49">
        <f>'дод 3'!G198</f>
        <v>0</v>
      </c>
      <c r="G137" s="49">
        <f>'дод 3'!H198</f>
        <v>0</v>
      </c>
      <c r="H137" s="49">
        <f>'дод 3'!I198</f>
        <v>0</v>
      </c>
      <c r="I137" s="49">
        <f>'дод 3'!J198</f>
        <v>0</v>
      </c>
      <c r="J137" s="49">
        <f>'дод 3'!K198</f>
        <v>0</v>
      </c>
      <c r="K137" s="49">
        <f>'дод 3'!L198</f>
        <v>0</v>
      </c>
      <c r="L137" s="49">
        <f>'дод 3'!M198</f>
        <v>0</v>
      </c>
      <c r="M137" s="49">
        <f>'дод 3'!N198</f>
        <v>0</v>
      </c>
      <c r="N137" s="49">
        <f>'дод 3'!O198</f>
        <v>0</v>
      </c>
      <c r="O137" s="49">
        <f>'дод 3'!P198</f>
        <v>0</v>
      </c>
    </row>
    <row r="138" spans="1:15" s="54" customFormat="1" ht="236.25" hidden="1" x14ac:dyDescent="0.25">
      <c r="A138" s="77"/>
      <c r="B138" s="88"/>
      <c r="C138" s="86" t="s">
        <v>443</v>
      </c>
      <c r="D138" s="79">
        <f>'дод 3'!E199</f>
        <v>0</v>
      </c>
      <c r="E138" s="79">
        <f>'дод 3'!F199</f>
        <v>0</v>
      </c>
      <c r="F138" s="79">
        <f>'дод 3'!G199</f>
        <v>0</v>
      </c>
      <c r="G138" s="79">
        <f>'дод 3'!H199</f>
        <v>0</v>
      </c>
      <c r="H138" s="79">
        <f>'дод 3'!I199</f>
        <v>0</v>
      </c>
      <c r="I138" s="79">
        <f>'дод 3'!J199</f>
        <v>0</v>
      </c>
      <c r="J138" s="79">
        <f>'дод 3'!K199</f>
        <v>0</v>
      </c>
      <c r="K138" s="79">
        <f>'дод 3'!L199</f>
        <v>0</v>
      </c>
      <c r="L138" s="79">
        <f>'дод 3'!M199</f>
        <v>0</v>
      </c>
      <c r="M138" s="79">
        <f>'дод 3'!N199</f>
        <v>0</v>
      </c>
      <c r="N138" s="79">
        <f>'дод 3'!O199</f>
        <v>0</v>
      </c>
      <c r="O138" s="79">
        <f>'дод 3'!P199</f>
        <v>0</v>
      </c>
    </row>
    <row r="139" spans="1:15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3'!E200+'дод 3'!E31</f>
        <v>7731482.0800000001</v>
      </c>
      <c r="E139" s="49">
        <f>'дод 3'!F200+'дод 3'!F31</f>
        <v>7731482.0800000001</v>
      </c>
      <c r="F139" s="49">
        <f>'дод 3'!G200+'дод 3'!G31</f>
        <v>4676603.34</v>
      </c>
      <c r="G139" s="49">
        <f>'дод 3'!H200+'дод 3'!H31</f>
        <v>511506.6</v>
      </c>
      <c r="H139" s="49">
        <f>'дод 3'!I200+'дод 3'!I31</f>
        <v>0</v>
      </c>
      <c r="I139" s="49">
        <f>'дод 3'!J200+'дод 3'!J31</f>
        <v>160800</v>
      </c>
      <c r="J139" s="49">
        <f>'дод 3'!K200+'дод 3'!K31</f>
        <v>160800</v>
      </c>
      <c r="K139" s="49">
        <f>'дод 3'!L200+'дод 3'!L31</f>
        <v>0</v>
      </c>
      <c r="L139" s="49">
        <f>'дод 3'!M200+'дод 3'!M31</f>
        <v>0</v>
      </c>
      <c r="M139" s="49">
        <f>'дод 3'!N200+'дод 3'!N31</f>
        <v>0</v>
      </c>
      <c r="N139" s="49">
        <f>'дод 3'!O200+'дод 3'!O31</f>
        <v>160800</v>
      </c>
      <c r="O139" s="49">
        <f>'дод 3'!P200+'дод 3'!P31</f>
        <v>7892282.0800000001</v>
      </c>
    </row>
    <row r="140" spans="1:15" s="54" customFormat="1" ht="31.5" customHeight="1" x14ac:dyDescent="0.25">
      <c r="A140" s="37" t="s">
        <v>291</v>
      </c>
      <c r="B140" s="37" t="s">
        <v>56</v>
      </c>
      <c r="C140" s="3" t="s">
        <v>514</v>
      </c>
      <c r="D140" s="49">
        <f>'дод 3'!E32+'дод 3'!E113+'дод 3'!E201</f>
        <v>40212774.549999997</v>
      </c>
      <c r="E140" s="49">
        <f>'дод 3'!F32+'дод 3'!F113+'дод 3'!F201</f>
        <v>40212774.549999997</v>
      </c>
      <c r="F140" s="49">
        <f>'дод 3'!G32+'дод 3'!G113+'дод 3'!G201</f>
        <v>0</v>
      </c>
      <c r="G140" s="49">
        <f>'дод 3'!H32+'дод 3'!H113+'дод 3'!H201</f>
        <v>0</v>
      </c>
      <c r="H140" s="49">
        <f>'дод 3'!I32+'дод 3'!I113+'дод 3'!I201</f>
        <v>0</v>
      </c>
      <c r="I140" s="49">
        <f>'дод 3'!J32+'дод 3'!J113+'дод 3'!J201</f>
        <v>57000</v>
      </c>
      <c r="J140" s="49">
        <f>'дод 3'!K32+'дод 3'!K113+'дод 3'!K201</f>
        <v>57000</v>
      </c>
      <c r="K140" s="49">
        <f>'дод 3'!L32+'дод 3'!L113+'дод 3'!L201</f>
        <v>0</v>
      </c>
      <c r="L140" s="49">
        <f>'дод 3'!M32+'дод 3'!M113+'дод 3'!M201</f>
        <v>0</v>
      </c>
      <c r="M140" s="49">
        <f>'дод 3'!N32+'дод 3'!N113+'дод 3'!N201</f>
        <v>0</v>
      </c>
      <c r="N140" s="49">
        <f>'дод 3'!O32+'дод 3'!O113+'дод 3'!O201</f>
        <v>57000</v>
      </c>
      <c r="O140" s="49">
        <f>'дод 3'!P32+'дод 3'!P113+'дод 3'!P201</f>
        <v>40269774.549999997</v>
      </c>
    </row>
    <row r="141" spans="1:15" s="54" customFormat="1" x14ac:dyDescent="0.25">
      <c r="A141" s="77"/>
      <c r="B141" s="77"/>
      <c r="C141" s="78" t="s">
        <v>393</v>
      </c>
      <c r="D141" s="79">
        <f>'дод 3'!E202</f>
        <v>348000</v>
      </c>
      <c r="E141" s="79">
        <f>'дод 3'!F202</f>
        <v>348000</v>
      </c>
      <c r="F141" s="79">
        <f>'дод 3'!G202</f>
        <v>0</v>
      </c>
      <c r="G141" s="79">
        <f>'дод 3'!H202</f>
        <v>0</v>
      </c>
      <c r="H141" s="79">
        <f>'дод 3'!I202</f>
        <v>0</v>
      </c>
      <c r="I141" s="79">
        <f>'дод 3'!J202</f>
        <v>0</v>
      </c>
      <c r="J141" s="79">
        <f>'дод 3'!K202</f>
        <v>0</v>
      </c>
      <c r="K141" s="79">
        <f>'дод 3'!L202</f>
        <v>0</v>
      </c>
      <c r="L141" s="79">
        <f>'дод 3'!M202</f>
        <v>0</v>
      </c>
      <c r="M141" s="79">
        <f>'дод 3'!N202</f>
        <v>0</v>
      </c>
      <c r="N141" s="79">
        <f>'дод 3'!O202</f>
        <v>0</v>
      </c>
      <c r="O141" s="79">
        <f>'дод 3'!P202</f>
        <v>348000</v>
      </c>
    </row>
    <row r="142" spans="1:15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O142" si="23">D143+D144+D145+D146</f>
        <v>38162259</v>
      </c>
      <c r="E142" s="48">
        <f t="shared" si="23"/>
        <v>38162259</v>
      </c>
      <c r="F142" s="48">
        <f t="shared" si="23"/>
        <v>24382285</v>
      </c>
      <c r="G142" s="48">
        <f t="shared" si="23"/>
        <v>2733907</v>
      </c>
      <c r="H142" s="48">
        <f t="shared" si="23"/>
        <v>0</v>
      </c>
      <c r="I142" s="48">
        <f t="shared" si="23"/>
        <v>346500</v>
      </c>
      <c r="J142" s="48">
        <f t="shared" si="23"/>
        <v>315500</v>
      </c>
      <c r="K142" s="48">
        <f t="shared" si="23"/>
        <v>31000</v>
      </c>
      <c r="L142" s="48">
        <f t="shared" si="23"/>
        <v>12100</v>
      </c>
      <c r="M142" s="48">
        <f t="shared" si="23"/>
        <v>3300</v>
      </c>
      <c r="N142" s="48">
        <f t="shared" si="23"/>
        <v>315500</v>
      </c>
      <c r="O142" s="48">
        <f t="shared" si="23"/>
        <v>38508759</v>
      </c>
    </row>
    <row r="143" spans="1:15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3'!E217</f>
        <v>23641974</v>
      </c>
      <c r="E143" s="49">
        <f>'дод 3'!F217</f>
        <v>23641974</v>
      </c>
      <c r="F143" s="49">
        <f>'дод 3'!G217</f>
        <v>16756730</v>
      </c>
      <c r="G143" s="49">
        <f>'дод 3'!H217</f>
        <v>1742744</v>
      </c>
      <c r="H143" s="49">
        <f>'дод 3'!I217</f>
        <v>0</v>
      </c>
      <c r="I143" s="49">
        <f>'дод 3'!J217</f>
        <v>252500</v>
      </c>
      <c r="J143" s="49">
        <f>'дод 3'!K217</f>
        <v>227500</v>
      </c>
      <c r="K143" s="49">
        <f>'дод 3'!L217</f>
        <v>25000</v>
      </c>
      <c r="L143" s="49">
        <f>'дод 3'!M217</f>
        <v>12100</v>
      </c>
      <c r="M143" s="49">
        <f>'дод 3'!N217</f>
        <v>0</v>
      </c>
      <c r="N143" s="49">
        <f>'дод 3'!O217</f>
        <v>227500</v>
      </c>
      <c r="O143" s="49">
        <f>'дод 3'!P217</f>
        <v>23894474</v>
      </c>
    </row>
    <row r="144" spans="1:15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3'!E33+'дод 3'!E218</f>
        <v>7420436</v>
      </c>
      <c r="E144" s="49">
        <f>'дод 3'!F33+'дод 3'!F218</f>
        <v>7420436</v>
      </c>
      <c r="F144" s="49">
        <f>'дод 3'!G33+'дод 3'!G218</f>
        <v>4265055</v>
      </c>
      <c r="G144" s="49">
        <f>'дод 3'!H33+'дод 3'!H218</f>
        <v>829525</v>
      </c>
      <c r="H144" s="49">
        <f>'дод 3'!I33+'дод 3'!I218</f>
        <v>0</v>
      </c>
      <c r="I144" s="49">
        <f>'дод 3'!J33+'дод 3'!J218</f>
        <v>6000</v>
      </c>
      <c r="J144" s="49">
        <f>'дод 3'!K33+'дод 3'!K218</f>
        <v>0</v>
      </c>
      <c r="K144" s="49">
        <f>'дод 3'!L33+'дод 3'!L218</f>
        <v>6000</v>
      </c>
      <c r="L144" s="49">
        <f>'дод 3'!M33+'дод 3'!M218</f>
        <v>0</v>
      </c>
      <c r="M144" s="49">
        <f>'дод 3'!N33+'дод 3'!N218</f>
        <v>3300</v>
      </c>
      <c r="N144" s="49">
        <f>'дод 3'!O33+'дод 3'!O218</f>
        <v>0</v>
      </c>
      <c r="O144" s="49">
        <f>'дод 3'!P33+'дод 3'!P218</f>
        <v>7426436</v>
      </c>
    </row>
    <row r="145" spans="1:15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3'!E34+'дод 3'!E219</f>
        <v>5302338</v>
      </c>
      <c r="E145" s="49">
        <f>'дод 3'!F34+'дод 3'!F219</f>
        <v>5302338</v>
      </c>
      <c r="F145" s="49">
        <f>'дод 3'!G34+'дод 3'!G219</f>
        <v>3360500</v>
      </c>
      <c r="G145" s="49">
        <f>'дод 3'!H34+'дод 3'!H219</f>
        <v>161638</v>
      </c>
      <c r="H145" s="49">
        <f>'дод 3'!I34+'дод 3'!I219</f>
        <v>0</v>
      </c>
      <c r="I145" s="49">
        <f>'дод 3'!J34+'дод 3'!J219</f>
        <v>88000</v>
      </c>
      <c r="J145" s="49">
        <f>'дод 3'!K34+'дод 3'!K219</f>
        <v>88000</v>
      </c>
      <c r="K145" s="49">
        <f>'дод 3'!L34+'дод 3'!L219</f>
        <v>0</v>
      </c>
      <c r="L145" s="49">
        <f>'дод 3'!M34+'дод 3'!M219</f>
        <v>0</v>
      </c>
      <c r="M145" s="49">
        <f>'дод 3'!N34+'дод 3'!N219</f>
        <v>0</v>
      </c>
      <c r="N145" s="49">
        <f>'дод 3'!O34+'дод 3'!O219</f>
        <v>88000</v>
      </c>
      <c r="O145" s="49">
        <f>'дод 3'!P34+'дод 3'!P219</f>
        <v>5390338</v>
      </c>
    </row>
    <row r="146" spans="1:15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3'!E35+'дод 3'!E220</f>
        <v>1797511</v>
      </c>
      <c r="E146" s="49">
        <f>'дод 3'!F35+'дод 3'!F220</f>
        <v>1797511</v>
      </c>
      <c r="F146" s="49">
        <f>'дод 3'!G35+'дод 3'!G220</f>
        <v>0</v>
      </c>
      <c r="G146" s="49">
        <f>'дод 3'!H35+'дод 3'!H220</f>
        <v>0</v>
      </c>
      <c r="H146" s="49">
        <f>'дод 3'!I35+'дод 3'!I220</f>
        <v>0</v>
      </c>
      <c r="I146" s="49">
        <f>'дод 3'!J35+'дод 3'!J220</f>
        <v>0</v>
      </c>
      <c r="J146" s="49">
        <f>'дод 3'!K35+'дод 3'!K220</f>
        <v>0</v>
      </c>
      <c r="K146" s="49">
        <f>'дод 3'!L35+'дод 3'!L220</f>
        <v>0</v>
      </c>
      <c r="L146" s="49">
        <f>'дод 3'!M35+'дод 3'!M220</f>
        <v>0</v>
      </c>
      <c r="M146" s="49">
        <f>'дод 3'!N35+'дод 3'!N220</f>
        <v>0</v>
      </c>
      <c r="N146" s="49">
        <f>'дод 3'!O35+'дод 3'!O220</f>
        <v>0</v>
      </c>
      <c r="O146" s="49">
        <f>'дод 3'!P35+'дод 3'!P220</f>
        <v>1797511</v>
      </c>
    </row>
    <row r="147" spans="1:15" s="52" customFormat="1" ht="21.75" customHeight="1" x14ac:dyDescent="0.25">
      <c r="A147" s="38" t="s">
        <v>78</v>
      </c>
      <c r="B147" s="41"/>
      <c r="C147" s="2" t="s">
        <v>589</v>
      </c>
      <c r="D147" s="48">
        <f t="shared" ref="D147:O147" si="24">D149+D150+D151+D153+D154+D155</f>
        <v>65523439</v>
      </c>
      <c r="E147" s="48">
        <f t="shared" si="24"/>
        <v>65523439</v>
      </c>
      <c r="F147" s="48">
        <f t="shared" si="24"/>
        <v>22547322</v>
      </c>
      <c r="G147" s="48">
        <f t="shared" si="24"/>
        <v>1659079</v>
      </c>
      <c r="H147" s="48">
        <f t="shared" si="24"/>
        <v>0</v>
      </c>
      <c r="I147" s="48">
        <f t="shared" si="24"/>
        <v>2281804</v>
      </c>
      <c r="J147" s="48">
        <f t="shared" si="24"/>
        <v>2068810</v>
      </c>
      <c r="K147" s="48">
        <f t="shared" si="24"/>
        <v>212994</v>
      </c>
      <c r="L147" s="48">
        <f t="shared" si="24"/>
        <v>119291</v>
      </c>
      <c r="M147" s="48">
        <f t="shared" si="24"/>
        <v>50432</v>
      </c>
      <c r="N147" s="48">
        <f t="shared" si="24"/>
        <v>2068810</v>
      </c>
      <c r="O147" s="48">
        <f t="shared" si="24"/>
        <v>67805243</v>
      </c>
    </row>
    <row r="148" spans="1:15" s="52" customFormat="1" ht="21.75" customHeight="1" x14ac:dyDescent="0.25">
      <c r="A148" s="38"/>
      <c r="B148" s="41"/>
      <c r="C148" s="76" t="s">
        <v>395</v>
      </c>
      <c r="D148" s="75">
        <f>D152</f>
        <v>134064</v>
      </c>
      <c r="E148" s="75">
        <f t="shared" ref="E148:O148" si="25">E152</f>
        <v>134064</v>
      </c>
      <c r="F148" s="75">
        <f t="shared" si="25"/>
        <v>0</v>
      </c>
      <c r="G148" s="75">
        <f t="shared" si="25"/>
        <v>0</v>
      </c>
      <c r="H148" s="75">
        <f t="shared" si="25"/>
        <v>0</v>
      </c>
      <c r="I148" s="75">
        <f t="shared" si="25"/>
        <v>0</v>
      </c>
      <c r="J148" s="75">
        <f t="shared" si="25"/>
        <v>0</v>
      </c>
      <c r="K148" s="75">
        <f t="shared" si="25"/>
        <v>0</v>
      </c>
      <c r="L148" s="75">
        <f t="shared" si="25"/>
        <v>0</v>
      </c>
      <c r="M148" s="75">
        <f t="shared" si="25"/>
        <v>0</v>
      </c>
      <c r="N148" s="75">
        <f t="shared" si="25"/>
        <v>0</v>
      </c>
      <c r="O148" s="75">
        <f t="shared" si="25"/>
        <v>134064</v>
      </c>
    </row>
    <row r="149" spans="1:15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3'!E36</f>
        <v>710000</v>
      </c>
      <c r="E149" s="49">
        <f>'дод 3'!F36</f>
        <v>710000</v>
      </c>
      <c r="F149" s="49">
        <f>'дод 3'!G36</f>
        <v>0</v>
      </c>
      <c r="G149" s="49">
        <f>'дод 3'!H36</f>
        <v>0</v>
      </c>
      <c r="H149" s="49">
        <f>'дод 3'!I36</f>
        <v>0</v>
      </c>
      <c r="I149" s="49">
        <f>'дод 3'!J36</f>
        <v>0</v>
      </c>
      <c r="J149" s="49">
        <f>'дод 3'!K36</f>
        <v>0</v>
      </c>
      <c r="K149" s="49">
        <f>'дод 3'!L36</f>
        <v>0</v>
      </c>
      <c r="L149" s="49">
        <f>'дод 3'!M36</f>
        <v>0</v>
      </c>
      <c r="M149" s="49">
        <f>'дод 3'!N36</f>
        <v>0</v>
      </c>
      <c r="N149" s="49">
        <f>'дод 3'!O36</f>
        <v>0</v>
      </c>
      <c r="O149" s="49">
        <f>'дод 3'!P36</f>
        <v>710000</v>
      </c>
    </row>
    <row r="150" spans="1:15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3'!E37</f>
        <v>1031480</v>
      </c>
      <c r="E150" s="49">
        <f>'дод 3'!F37</f>
        <v>1031480</v>
      </c>
      <c r="F150" s="49">
        <f>'дод 3'!G37</f>
        <v>0</v>
      </c>
      <c r="G150" s="49">
        <f>'дод 3'!H37</f>
        <v>0</v>
      </c>
      <c r="H150" s="49">
        <f>'дод 3'!I37</f>
        <v>0</v>
      </c>
      <c r="I150" s="49">
        <f>'дод 3'!J37</f>
        <v>0</v>
      </c>
      <c r="J150" s="49">
        <f>'дод 3'!K37</f>
        <v>0</v>
      </c>
      <c r="K150" s="49">
        <f>'дод 3'!L37</f>
        <v>0</v>
      </c>
      <c r="L150" s="49">
        <f>'дод 3'!M37</f>
        <v>0</v>
      </c>
      <c r="M150" s="49">
        <f>'дод 3'!N37</f>
        <v>0</v>
      </c>
      <c r="N150" s="49">
        <f>'дод 3'!O37</f>
        <v>0</v>
      </c>
      <c r="O150" s="49">
        <f>'дод 3'!P37</f>
        <v>1031480</v>
      </c>
    </row>
    <row r="151" spans="1:15" s="54" customFormat="1" ht="47.25" x14ac:dyDescent="0.25">
      <c r="A151" s="37" t="s">
        <v>116</v>
      </c>
      <c r="B151" s="37" t="s">
        <v>80</v>
      </c>
      <c r="C151" s="3" t="s">
        <v>590</v>
      </c>
      <c r="D151" s="49">
        <f>'дод 3'!E38+'дод 3'!E114</f>
        <v>27306838</v>
      </c>
      <c r="E151" s="49">
        <f>'дод 3'!F38+'дод 3'!F114</f>
        <v>27306838</v>
      </c>
      <c r="F151" s="49">
        <f>'дод 3'!G38+'дод 3'!G114</f>
        <v>19566292</v>
      </c>
      <c r="G151" s="49">
        <f>'дод 3'!H38+'дод 3'!H114</f>
        <v>1234440</v>
      </c>
      <c r="H151" s="49">
        <f>'дод 3'!I38+'дод 3'!I114</f>
        <v>0</v>
      </c>
      <c r="I151" s="49">
        <f>'дод 3'!J38+'дод 3'!J114</f>
        <v>181710</v>
      </c>
      <c r="J151" s="49">
        <f>'дод 3'!K38+'дод 3'!K114</f>
        <v>181710</v>
      </c>
      <c r="K151" s="49">
        <f>'дод 3'!L38+'дод 3'!L114</f>
        <v>0</v>
      </c>
      <c r="L151" s="49">
        <f>'дод 3'!M38+'дод 3'!M114</f>
        <v>0</v>
      </c>
      <c r="M151" s="49">
        <f>'дод 3'!N38+'дод 3'!N114</f>
        <v>0</v>
      </c>
      <c r="N151" s="49">
        <f>'дод 3'!O38+'дод 3'!O114</f>
        <v>181710</v>
      </c>
      <c r="O151" s="49">
        <f>'дод 3'!P38+'дод 3'!P114</f>
        <v>27488548</v>
      </c>
    </row>
    <row r="152" spans="1:15" s="54" customFormat="1" ht="25.5" customHeight="1" x14ac:dyDescent="0.25">
      <c r="A152" s="37"/>
      <c r="B152" s="37"/>
      <c r="C152" s="86" t="s">
        <v>395</v>
      </c>
      <c r="D152" s="79">
        <f>'дод 3'!E115</f>
        <v>134064</v>
      </c>
      <c r="E152" s="79">
        <f>'дод 3'!F115</f>
        <v>134064</v>
      </c>
      <c r="F152" s="79">
        <f>'дод 3'!G115</f>
        <v>0</v>
      </c>
      <c r="G152" s="79">
        <f>'дод 3'!H115</f>
        <v>0</v>
      </c>
      <c r="H152" s="79">
        <f>'дод 3'!I115</f>
        <v>0</v>
      </c>
      <c r="I152" s="79">
        <f>'дод 3'!J115</f>
        <v>0</v>
      </c>
      <c r="J152" s="79">
        <f>'дод 3'!K115</f>
        <v>0</v>
      </c>
      <c r="K152" s="79">
        <f>'дод 3'!L115</f>
        <v>0</v>
      </c>
      <c r="L152" s="79">
        <f>'дод 3'!M115</f>
        <v>0</v>
      </c>
      <c r="M152" s="79">
        <f>'дод 3'!N115</f>
        <v>0</v>
      </c>
      <c r="N152" s="79">
        <f>'дод 3'!O115</f>
        <v>0</v>
      </c>
      <c r="O152" s="79">
        <f>'дод 3'!P115</f>
        <v>134064</v>
      </c>
    </row>
    <row r="153" spans="1:15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3'!E39</f>
        <v>14994942</v>
      </c>
      <c r="E153" s="49">
        <f>'дод 3'!F39</f>
        <v>14994942</v>
      </c>
      <c r="F153" s="49">
        <f>'дод 3'!G39</f>
        <v>0</v>
      </c>
      <c r="G153" s="49">
        <f>'дод 3'!H39</f>
        <v>0</v>
      </c>
      <c r="H153" s="49">
        <f>'дод 3'!I39</f>
        <v>0</v>
      </c>
      <c r="I153" s="49">
        <f>'дод 3'!J39</f>
        <v>357100</v>
      </c>
      <c r="J153" s="49">
        <f>'дод 3'!K39</f>
        <v>357100</v>
      </c>
      <c r="K153" s="49">
        <f>'дод 3'!L39</f>
        <v>0</v>
      </c>
      <c r="L153" s="49">
        <f>'дод 3'!M39</f>
        <v>0</v>
      </c>
      <c r="M153" s="49">
        <f>'дод 3'!N39</f>
        <v>0</v>
      </c>
      <c r="N153" s="49">
        <f>'дод 3'!O39</f>
        <v>357100</v>
      </c>
      <c r="O153" s="49">
        <f>'дод 3'!P39</f>
        <v>15352042</v>
      </c>
    </row>
    <row r="154" spans="1:15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3'!E40</f>
        <v>5088784</v>
      </c>
      <c r="E154" s="49">
        <f>'дод 3'!F40</f>
        <v>5088784</v>
      </c>
      <c r="F154" s="49">
        <f>'дод 3'!G40</f>
        <v>2981030</v>
      </c>
      <c r="G154" s="49">
        <f>'дод 3'!H40</f>
        <v>424639</v>
      </c>
      <c r="H154" s="49">
        <f>'дод 3'!I40</f>
        <v>0</v>
      </c>
      <c r="I154" s="49">
        <f>'дод 3'!J40</f>
        <v>1742994</v>
      </c>
      <c r="J154" s="49">
        <f>'дод 3'!K40</f>
        <v>1530000</v>
      </c>
      <c r="K154" s="49">
        <f>'дод 3'!L40</f>
        <v>212994</v>
      </c>
      <c r="L154" s="49">
        <f>'дод 3'!M40</f>
        <v>119291</v>
      </c>
      <c r="M154" s="49">
        <f>'дод 3'!N40</f>
        <v>50432</v>
      </c>
      <c r="N154" s="49">
        <f>'дод 3'!O40</f>
        <v>1530000</v>
      </c>
      <c r="O154" s="49">
        <f>'дод 3'!P40</f>
        <v>6831778</v>
      </c>
    </row>
    <row r="155" spans="1:15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3'!E41</f>
        <v>16391395</v>
      </c>
      <c r="E155" s="49">
        <f>'дод 3'!F41</f>
        <v>16391395</v>
      </c>
      <c r="F155" s="49">
        <f>'дод 3'!G41</f>
        <v>0</v>
      </c>
      <c r="G155" s="49">
        <f>'дод 3'!H41</f>
        <v>0</v>
      </c>
      <c r="H155" s="49">
        <f>'дод 3'!I41</f>
        <v>0</v>
      </c>
      <c r="I155" s="49">
        <f>'дод 3'!J41</f>
        <v>0</v>
      </c>
      <c r="J155" s="49">
        <f>'дод 3'!K41</f>
        <v>0</v>
      </c>
      <c r="K155" s="49">
        <f>'дод 3'!L41</f>
        <v>0</v>
      </c>
      <c r="L155" s="49">
        <f>'дод 3'!M41</f>
        <v>0</v>
      </c>
      <c r="M155" s="49">
        <f>'дод 3'!N41</f>
        <v>0</v>
      </c>
      <c r="N155" s="49">
        <f>'дод 3'!O41</f>
        <v>0</v>
      </c>
      <c r="O155" s="49">
        <f>'дод 3'!P41</f>
        <v>16391395</v>
      </c>
    </row>
    <row r="156" spans="1:15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279399865.75</v>
      </c>
      <c r="E156" s="48">
        <f t="shared" ref="E156:O156" si="26">E159+E160+E161+E162+E163+E164+E165+E167+E169+E170</f>
        <v>247841652.44</v>
      </c>
      <c r="F156" s="48">
        <f t="shared" si="26"/>
        <v>0</v>
      </c>
      <c r="G156" s="48">
        <f t="shared" si="26"/>
        <v>37678526</v>
      </c>
      <c r="H156" s="48">
        <f t="shared" si="26"/>
        <v>31558213.309999999</v>
      </c>
      <c r="I156" s="48">
        <f t="shared" si="26"/>
        <v>344337789.64999998</v>
      </c>
      <c r="J156" s="48">
        <f t="shared" si="26"/>
        <v>147603000.59999996</v>
      </c>
      <c r="K156" s="48">
        <f t="shared" si="26"/>
        <v>196576960.40000001</v>
      </c>
      <c r="L156" s="48">
        <f t="shared" si="26"/>
        <v>0</v>
      </c>
      <c r="M156" s="48">
        <f t="shared" si="26"/>
        <v>0</v>
      </c>
      <c r="N156" s="48">
        <f t="shared" si="26"/>
        <v>147760829.24999997</v>
      </c>
      <c r="O156" s="48">
        <f t="shared" si="26"/>
        <v>623737655.39999998</v>
      </c>
    </row>
    <row r="157" spans="1:15" s="53" customFormat="1" ht="113.25" customHeight="1" x14ac:dyDescent="0.25">
      <c r="A157" s="70"/>
      <c r="B157" s="71"/>
      <c r="C157" s="144" t="s">
        <v>618</v>
      </c>
      <c r="D157" s="75">
        <f>D168</f>
        <v>0</v>
      </c>
      <c r="E157" s="75">
        <f t="shared" ref="E157:O157" si="27">E168</f>
        <v>0</v>
      </c>
      <c r="F157" s="75">
        <f t="shared" si="27"/>
        <v>0</v>
      </c>
      <c r="G157" s="75">
        <f t="shared" si="27"/>
        <v>0</v>
      </c>
      <c r="H157" s="75">
        <f t="shared" si="27"/>
        <v>0</v>
      </c>
      <c r="I157" s="75">
        <f t="shared" si="27"/>
        <v>4438108.5</v>
      </c>
      <c r="J157" s="75">
        <f t="shared" si="27"/>
        <v>4438108.5</v>
      </c>
      <c r="K157" s="75">
        <f t="shared" si="27"/>
        <v>0</v>
      </c>
      <c r="L157" s="75">
        <f t="shared" si="27"/>
        <v>0</v>
      </c>
      <c r="M157" s="75">
        <f t="shared" si="27"/>
        <v>0</v>
      </c>
      <c r="N157" s="75">
        <f t="shared" si="27"/>
        <v>4438108.5</v>
      </c>
      <c r="O157" s="75">
        <f t="shared" si="27"/>
        <v>4438108.5</v>
      </c>
    </row>
    <row r="158" spans="1:15" s="53" customFormat="1" ht="126" x14ac:dyDescent="0.25">
      <c r="A158" s="70"/>
      <c r="B158" s="71"/>
      <c r="C158" s="82" t="s">
        <v>626</v>
      </c>
      <c r="D158" s="75">
        <f>D166</f>
        <v>0</v>
      </c>
      <c r="E158" s="75">
        <f t="shared" ref="E158:O158" si="28">E166</f>
        <v>0</v>
      </c>
      <c r="F158" s="75">
        <f t="shared" si="28"/>
        <v>0</v>
      </c>
      <c r="G158" s="75">
        <f t="shared" si="28"/>
        <v>0</v>
      </c>
      <c r="H158" s="75">
        <f t="shared" si="28"/>
        <v>0</v>
      </c>
      <c r="I158" s="75">
        <f t="shared" si="28"/>
        <v>194791960.40000001</v>
      </c>
      <c r="J158" s="75">
        <f t="shared" si="28"/>
        <v>0</v>
      </c>
      <c r="K158" s="75">
        <f t="shared" si="28"/>
        <v>194791960.40000001</v>
      </c>
      <c r="L158" s="75">
        <f t="shared" si="28"/>
        <v>0</v>
      </c>
      <c r="M158" s="75">
        <f t="shared" si="28"/>
        <v>0</v>
      </c>
      <c r="N158" s="75">
        <f t="shared" si="28"/>
        <v>0</v>
      </c>
      <c r="O158" s="75">
        <f t="shared" si="28"/>
        <v>194791960.40000001</v>
      </c>
    </row>
    <row r="159" spans="1:15" s="54" customFormat="1" ht="31.5" x14ac:dyDescent="0.25">
      <c r="A159" s="37" t="s">
        <v>127</v>
      </c>
      <c r="B159" s="37" t="s">
        <v>68</v>
      </c>
      <c r="C159" s="3" t="s">
        <v>128</v>
      </c>
      <c r="D159" s="49">
        <f>'дод 3'!E236</f>
        <v>0</v>
      </c>
      <c r="E159" s="49">
        <f>'дод 3'!F236</f>
        <v>0</v>
      </c>
      <c r="F159" s="49">
        <f>'дод 3'!G236</f>
        <v>0</v>
      </c>
      <c r="G159" s="49">
        <f>'дод 3'!H236</f>
        <v>0</v>
      </c>
      <c r="H159" s="49">
        <f>'дод 3'!I236</f>
        <v>0</v>
      </c>
      <c r="I159" s="49">
        <f>'дод 3'!J236</f>
        <v>9020843.5199999996</v>
      </c>
      <c r="J159" s="49">
        <f>'дод 3'!K236</f>
        <v>8984363.5199999996</v>
      </c>
      <c r="K159" s="49">
        <f>'дод 3'!L236</f>
        <v>0</v>
      </c>
      <c r="L159" s="49">
        <f>'дод 3'!M236</f>
        <v>0</v>
      </c>
      <c r="M159" s="49">
        <f>'дод 3'!N236</f>
        <v>0</v>
      </c>
      <c r="N159" s="49">
        <f>'дод 3'!O236</f>
        <v>9020843.5199999996</v>
      </c>
      <c r="O159" s="49">
        <f>'дод 3'!P236</f>
        <v>9020843.5199999996</v>
      </c>
    </row>
    <row r="160" spans="1:15" s="54" customFormat="1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3'!E237</f>
        <v>29081568</v>
      </c>
      <c r="E160" s="49">
        <f>'дод 3'!F237</f>
        <v>581568</v>
      </c>
      <c r="F160" s="49">
        <f>'дод 3'!G237</f>
        <v>0</v>
      </c>
      <c r="G160" s="49">
        <f>'дод 3'!H237</f>
        <v>0</v>
      </c>
      <c r="H160" s="49">
        <f>'дод 3'!I237</f>
        <v>28500000</v>
      </c>
      <c r="I160" s="49">
        <f>'дод 3'!J237</f>
        <v>200000</v>
      </c>
      <c r="J160" s="49">
        <f>'дод 3'!K237</f>
        <v>200000</v>
      </c>
      <c r="K160" s="49">
        <f>'дод 3'!L237</f>
        <v>0</v>
      </c>
      <c r="L160" s="49">
        <f>'дод 3'!M237</f>
        <v>0</v>
      </c>
      <c r="M160" s="49">
        <f>'дод 3'!N237</f>
        <v>0</v>
      </c>
      <c r="N160" s="49">
        <f>'дод 3'!O237</f>
        <v>200000</v>
      </c>
      <c r="O160" s="49">
        <f>'дод 3'!P237</f>
        <v>29281568</v>
      </c>
    </row>
    <row r="161" spans="1:15" s="54" customFormat="1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3'!E238</f>
        <v>71280</v>
      </c>
      <c r="E161" s="49">
        <f>'дод 3'!F238</f>
        <v>71280</v>
      </c>
      <c r="F161" s="49">
        <f>'дод 3'!G238</f>
        <v>0</v>
      </c>
      <c r="G161" s="49">
        <f>'дод 3'!H238</f>
        <v>0</v>
      </c>
      <c r="H161" s="49">
        <f>'дод 3'!I238</f>
        <v>0</v>
      </c>
      <c r="I161" s="49">
        <f>'дод 3'!J238</f>
        <v>32295150</v>
      </c>
      <c r="J161" s="49">
        <f>'дод 3'!K238</f>
        <v>32245150</v>
      </c>
      <c r="K161" s="49">
        <f>'дод 3'!L238</f>
        <v>0</v>
      </c>
      <c r="L161" s="49">
        <f>'дод 3'!M238</f>
        <v>0</v>
      </c>
      <c r="M161" s="49">
        <f>'дод 3'!N238</f>
        <v>0</v>
      </c>
      <c r="N161" s="49">
        <f>'дод 3'!O238</f>
        <v>32295150</v>
      </c>
      <c r="O161" s="49">
        <f>'дод 3'!P238</f>
        <v>32366430</v>
      </c>
    </row>
    <row r="162" spans="1:15" s="54" customFormat="1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3'!E239</f>
        <v>100000</v>
      </c>
      <c r="E162" s="49">
        <f>'дод 3'!F239</f>
        <v>100000</v>
      </c>
      <c r="F162" s="49">
        <f>'дод 3'!G239</f>
        <v>0</v>
      </c>
      <c r="G162" s="49">
        <f>'дод 3'!H239</f>
        <v>0</v>
      </c>
      <c r="H162" s="49">
        <f>'дод 3'!I239</f>
        <v>0</v>
      </c>
      <c r="I162" s="49">
        <f>'дод 3'!J239</f>
        <v>0</v>
      </c>
      <c r="J162" s="49">
        <f>'дод 3'!K239</f>
        <v>0</v>
      </c>
      <c r="K162" s="49">
        <f>'дод 3'!L239</f>
        <v>0</v>
      </c>
      <c r="L162" s="49">
        <f>'дод 3'!M239</f>
        <v>0</v>
      </c>
      <c r="M162" s="49">
        <f>'дод 3'!N239</f>
        <v>0</v>
      </c>
      <c r="N162" s="49">
        <f>'дод 3'!O239</f>
        <v>0</v>
      </c>
      <c r="O162" s="49">
        <f>'дод 3'!P239</f>
        <v>100000</v>
      </c>
    </row>
    <row r="163" spans="1:15" s="54" customFormat="1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3'!E240</f>
        <v>2815132.48</v>
      </c>
      <c r="E163" s="49">
        <f>'дод 3'!F240</f>
        <v>0</v>
      </c>
      <c r="F163" s="49">
        <f>'дод 3'!G240</f>
        <v>0</v>
      </c>
      <c r="G163" s="49">
        <f>'дод 3'!H240</f>
        <v>0</v>
      </c>
      <c r="H163" s="49">
        <f>'дод 3'!I240</f>
        <v>2815132.48</v>
      </c>
      <c r="I163" s="49">
        <f>'дод 3'!J240</f>
        <v>85000</v>
      </c>
      <c r="J163" s="49">
        <f>'дод 3'!K240</f>
        <v>85000</v>
      </c>
      <c r="K163" s="49">
        <f>'дод 3'!L240</f>
        <v>0</v>
      </c>
      <c r="L163" s="49">
        <f>'дод 3'!M240</f>
        <v>0</v>
      </c>
      <c r="M163" s="49">
        <f>'дод 3'!N240</f>
        <v>0</v>
      </c>
      <c r="N163" s="49">
        <f>'дод 3'!O240</f>
        <v>85000</v>
      </c>
      <c r="O163" s="49">
        <f>'дод 3'!P240</f>
        <v>2900132.48</v>
      </c>
    </row>
    <row r="164" spans="1:15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3'!E241+'дод 3'!E279</f>
        <v>240913355.25999999</v>
      </c>
      <c r="E164" s="49">
        <f>'дод 3'!F241+'дод 3'!F279</f>
        <v>240863355.25999999</v>
      </c>
      <c r="F164" s="49">
        <f>'дод 3'!G241+'дод 3'!G279</f>
        <v>0</v>
      </c>
      <c r="G164" s="49">
        <f>'дод 3'!H241+'дод 3'!H279</f>
        <v>37628936</v>
      </c>
      <c r="H164" s="49">
        <f>'дод 3'!I241+'дод 3'!I279</f>
        <v>50000</v>
      </c>
      <c r="I164" s="49">
        <f>'дод 3'!J241+'дод 3'!J279</f>
        <v>99918668.079999983</v>
      </c>
      <c r="J164" s="49">
        <f>'дод 3'!K241+'дод 3'!K279</f>
        <v>99918668.079999983</v>
      </c>
      <c r="K164" s="49">
        <f>'дод 3'!L241+'дод 3'!L279</f>
        <v>0</v>
      </c>
      <c r="L164" s="49">
        <f>'дод 3'!M241+'дод 3'!M279</f>
        <v>0</v>
      </c>
      <c r="M164" s="49">
        <f>'дод 3'!N241+'дод 3'!N279</f>
        <v>0</v>
      </c>
      <c r="N164" s="49">
        <f>'дод 3'!O241+'дод 3'!O279</f>
        <v>99918668.079999983</v>
      </c>
      <c r="O164" s="49">
        <f>'дод 3'!P241+'дод 3'!P279</f>
        <v>340832023.33999997</v>
      </c>
    </row>
    <row r="165" spans="1:15" ht="115.5" customHeight="1" x14ac:dyDescent="0.25">
      <c r="A165" s="37">
        <v>6072</v>
      </c>
      <c r="B165" s="58" t="s">
        <v>312</v>
      </c>
      <c r="C165" s="60" t="s">
        <v>625</v>
      </c>
      <c r="D165" s="49">
        <f>'дод 3'!E321</f>
        <v>0</v>
      </c>
      <c r="E165" s="49">
        <f>'дод 3'!F321</f>
        <v>0</v>
      </c>
      <c r="F165" s="49">
        <f>'дод 3'!G321</f>
        <v>0</v>
      </c>
      <c r="G165" s="49">
        <f>'дод 3'!H321</f>
        <v>0</v>
      </c>
      <c r="H165" s="49">
        <f>'дод 3'!I321</f>
        <v>0</v>
      </c>
      <c r="I165" s="49">
        <f>'дод 3'!J321</f>
        <v>194791960.40000001</v>
      </c>
      <c r="J165" s="49">
        <f>'дод 3'!K321</f>
        <v>0</v>
      </c>
      <c r="K165" s="49">
        <f>'дод 3'!L321</f>
        <v>194791960.40000001</v>
      </c>
      <c r="L165" s="49">
        <f>'дод 3'!M321</f>
        <v>0</v>
      </c>
      <c r="M165" s="49">
        <f>'дод 3'!N321</f>
        <v>0</v>
      </c>
      <c r="N165" s="49">
        <f>'дод 3'!O321</f>
        <v>0</v>
      </c>
      <c r="O165" s="49">
        <f>'дод 3'!P321</f>
        <v>194791960.40000001</v>
      </c>
    </row>
    <row r="166" spans="1:15" ht="126" x14ac:dyDescent="0.25">
      <c r="A166" s="37"/>
      <c r="B166" s="37"/>
      <c r="C166" s="84" t="s">
        <v>626</v>
      </c>
      <c r="D166" s="79">
        <f>'дод 3'!E322</f>
        <v>0</v>
      </c>
      <c r="E166" s="79">
        <f>'дод 3'!F322</f>
        <v>0</v>
      </c>
      <c r="F166" s="79">
        <f>'дод 3'!G322</f>
        <v>0</v>
      </c>
      <c r="G166" s="79">
        <f>'дод 3'!H322</f>
        <v>0</v>
      </c>
      <c r="H166" s="79">
        <f>'дод 3'!I322</f>
        <v>0</v>
      </c>
      <c r="I166" s="79">
        <f>'дод 3'!J322</f>
        <v>194791960.40000001</v>
      </c>
      <c r="J166" s="79">
        <f>'дод 3'!K322</f>
        <v>0</v>
      </c>
      <c r="K166" s="79">
        <f>'дод 3'!L322</f>
        <v>194791960.40000001</v>
      </c>
      <c r="L166" s="79">
        <f>'дод 3'!M322</f>
        <v>0</v>
      </c>
      <c r="M166" s="79">
        <f>'дод 3'!N322</f>
        <v>0</v>
      </c>
      <c r="N166" s="79">
        <f>'дод 3'!O322</f>
        <v>0</v>
      </c>
      <c r="O166" s="79">
        <f>'дод 3'!P322</f>
        <v>194791960.40000001</v>
      </c>
    </row>
    <row r="167" spans="1:15" ht="83.25" customHeight="1" x14ac:dyDescent="0.25">
      <c r="A167" s="37">
        <v>6083</v>
      </c>
      <c r="B167" s="58" t="s">
        <v>68</v>
      </c>
      <c r="C167" s="11" t="s">
        <v>438</v>
      </c>
      <c r="D167" s="49">
        <f>'дод 3'!E211+'дод 3'!E244</f>
        <v>0</v>
      </c>
      <c r="E167" s="49">
        <f>'дод 3'!F211+'дод 3'!F244</f>
        <v>0</v>
      </c>
      <c r="F167" s="49">
        <f>'дод 3'!G211+'дод 3'!G244</f>
        <v>0</v>
      </c>
      <c r="G167" s="49">
        <f>'дод 3'!H211+'дод 3'!H244</f>
        <v>0</v>
      </c>
      <c r="H167" s="49">
        <f>'дод 3'!I211+'дод 3'!I244</f>
        <v>0</v>
      </c>
      <c r="I167" s="49">
        <f>'дод 3'!J211+'дод 3'!J244</f>
        <v>6169819</v>
      </c>
      <c r="J167" s="49">
        <f>'дод 3'!K211+'дод 3'!K244</f>
        <v>6169819</v>
      </c>
      <c r="K167" s="49">
        <f>'дод 3'!L211+'дод 3'!L244</f>
        <v>0</v>
      </c>
      <c r="L167" s="49">
        <f>'дод 3'!M211+'дод 3'!M244</f>
        <v>0</v>
      </c>
      <c r="M167" s="49">
        <f>'дод 3'!N211+'дод 3'!N244</f>
        <v>0</v>
      </c>
      <c r="N167" s="49">
        <f>'дод 3'!O211+'дод 3'!O244</f>
        <v>6169819</v>
      </c>
      <c r="O167" s="49">
        <f>'дод 3'!P211+'дод 3'!P244</f>
        <v>6169819</v>
      </c>
    </row>
    <row r="168" spans="1:15" s="54" customFormat="1" ht="110.25" x14ac:dyDescent="0.25">
      <c r="A168" s="77"/>
      <c r="B168" s="88"/>
      <c r="C168" s="89" t="s">
        <v>618</v>
      </c>
      <c r="D168" s="79">
        <f>'дод 3'!E212+'дод 3'!E245</f>
        <v>0</v>
      </c>
      <c r="E168" s="79">
        <f>'дод 3'!F212+'дод 3'!F245</f>
        <v>0</v>
      </c>
      <c r="F168" s="79">
        <f>'дод 3'!G212+'дод 3'!G245</f>
        <v>0</v>
      </c>
      <c r="G168" s="79">
        <f>'дод 3'!H212+'дод 3'!H245</f>
        <v>0</v>
      </c>
      <c r="H168" s="79">
        <f>'дод 3'!I212+'дод 3'!I245</f>
        <v>0</v>
      </c>
      <c r="I168" s="79">
        <f>'дод 3'!J212+'дод 3'!J245</f>
        <v>4438108.5</v>
      </c>
      <c r="J168" s="79">
        <f>'дод 3'!K212+'дод 3'!K245</f>
        <v>4438108.5</v>
      </c>
      <c r="K168" s="79">
        <f>'дод 3'!L212+'дод 3'!L245</f>
        <v>0</v>
      </c>
      <c r="L168" s="79">
        <f>'дод 3'!M212+'дод 3'!M245</f>
        <v>0</v>
      </c>
      <c r="M168" s="79">
        <f>'дод 3'!N212+'дод 3'!N245</f>
        <v>0</v>
      </c>
      <c r="N168" s="79">
        <f>'дод 3'!O212+'дод 3'!O245</f>
        <v>4438108.5</v>
      </c>
      <c r="O168" s="79">
        <f>'дод 3'!P212+'дод 3'!P245</f>
        <v>4438108.5</v>
      </c>
    </row>
    <row r="169" spans="1:15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3'!E280</f>
        <v>0</v>
      </c>
      <c r="E169" s="49">
        <f>'дод 3'!F280</f>
        <v>0</v>
      </c>
      <c r="F169" s="49">
        <f>'дод 3'!G280</f>
        <v>0</v>
      </c>
      <c r="G169" s="49">
        <f>'дод 3'!H280</f>
        <v>0</v>
      </c>
      <c r="H169" s="49">
        <f>'дод 3'!I280</f>
        <v>0</v>
      </c>
      <c r="I169" s="49">
        <f>'дод 3'!J280</f>
        <v>71348.649999999994</v>
      </c>
      <c r="J169" s="49">
        <f>'дод 3'!K280</f>
        <v>0</v>
      </c>
      <c r="K169" s="49">
        <f>'дод 3'!L280</f>
        <v>0</v>
      </c>
      <c r="L169" s="49">
        <f>'дод 3'!M280</f>
        <v>0</v>
      </c>
      <c r="M169" s="49">
        <f>'дод 3'!N280</f>
        <v>0</v>
      </c>
      <c r="N169" s="49">
        <f>'дод 3'!O280</f>
        <v>71348.649999999994</v>
      </c>
      <c r="O169" s="49">
        <f>'дод 3'!P280</f>
        <v>71348.649999999994</v>
      </c>
    </row>
    <row r="170" spans="1:15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3'!E246+'дод 3'!E299</f>
        <v>6418530.0099999998</v>
      </c>
      <c r="E170" s="49">
        <f>'дод 3'!F246+'дод 3'!F299</f>
        <v>6225449.1799999997</v>
      </c>
      <c r="F170" s="49">
        <f>'дод 3'!G246+'дод 3'!G299</f>
        <v>0</v>
      </c>
      <c r="G170" s="49">
        <f>'дод 3'!H246+'дод 3'!H299</f>
        <v>49590</v>
      </c>
      <c r="H170" s="49">
        <f>'дод 3'!I246+'дод 3'!I299</f>
        <v>193080.83000000002</v>
      </c>
      <c r="I170" s="49">
        <f>'дод 3'!J246+'дод 3'!J299</f>
        <v>1785000</v>
      </c>
      <c r="J170" s="49">
        <f>'дод 3'!K246+'дод 3'!K299</f>
        <v>0</v>
      </c>
      <c r="K170" s="49">
        <f>'дод 3'!L246+'дод 3'!L299</f>
        <v>1785000</v>
      </c>
      <c r="L170" s="49">
        <f>'дод 3'!M246+'дод 3'!M299</f>
        <v>0</v>
      </c>
      <c r="M170" s="49">
        <f>'дод 3'!N246+'дод 3'!N299</f>
        <v>0</v>
      </c>
      <c r="N170" s="49">
        <f>'дод 3'!O246+'дод 3'!O299</f>
        <v>0</v>
      </c>
      <c r="O170" s="49">
        <f>'дод 3'!P246+'дод 3'!P299</f>
        <v>8203530.0099999998</v>
      </c>
    </row>
    <row r="171" spans="1:15" s="52" customFormat="1" ht="21.75" customHeight="1" x14ac:dyDescent="0.25">
      <c r="A171" s="38" t="s">
        <v>136</v>
      </c>
      <c r="B171" s="41"/>
      <c r="C171" s="2" t="s">
        <v>407</v>
      </c>
      <c r="D171" s="48">
        <f>D177+D179+D201+D217+D219+D231</f>
        <v>78924342.149999991</v>
      </c>
      <c r="E171" s="48">
        <f>E177+E179+E201+E217+E219+E231</f>
        <v>15023036.149999999</v>
      </c>
      <c r="F171" s="48">
        <f t="shared" ref="F171:O171" si="29">F177+F179+F201+F217+F219+F231</f>
        <v>0</v>
      </c>
      <c r="G171" s="48">
        <f t="shared" si="29"/>
        <v>0</v>
      </c>
      <c r="H171" s="48">
        <f t="shared" si="29"/>
        <v>63901306</v>
      </c>
      <c r="I171" s="48">
        <f t="shared" si="29"/>
        <v>475638120.99000001</v>
      </c>
      <c r="J171" s="48">
        <f t="shared" si="29"/>
        <v>443085199.12</v>
      </c>
      <c r="K171" s="48">
        <f t="shared" si="29"/>
        <v>15048437.869999999</v>
      </c>
      <c r="L171" s="48">
        <f t="shared" si="29"/>
        <v>0</v>
      </c>
      <c r="M171" s="48">
        <f t="shared" si="29"/>
        <v>0</v>
      </c>
      <c r="N171" s="48">
        <f t="shared" si="29"/>
        <v>460589683.12</v>
      </c>
      <c r="O171" s="48">
        <f t="shared" si="29"/>
        <v>554562463.13999999</v>
      </c>
    </row>
    <row r="172" spans="1:15" s="53" customFormat="1" ht="47.25" x14ac:dyDescent="0.25">
      <c r="A172" s="70"/>
      <c r="B172" s="71"/>
      <c r="C172" s="74" t="s">
        <v>388</v>
      </c>
      <c r="D172" s="75">
        <f>D180</f>
        <v>0</v>
      </c>
      <c r="E172" s="75">
        <f t="shared" ref="E172:O172" si="30">E180</f>
        <v>0</v>
      </c>
      <c r="F172" s="75">
        <f t="shared" si="30"/>
        <v>0</v>
      </c>
      <c r="G172" s="75">
        <f t="shared" si="30"/>
        <v>0</v>
      </c>
      <c r="H172" s="75">
        <f t="shared" si="30"/>
        <v>0</v>
      </c>
      <c r="I172" s="75">
        <f t="shared" si="30"/>
        <v>29921007</v>
      </c>
      <c r="J172" s="75">
        <f t="shared" si="30"/>
        <v>26428057</v>
      </c>
      <c r="K172" s="75">
        <f t="shared" si="30"/>
        <v>0</v>
      </c>
      <c r="L172" s="75">
        <f t="shared" si="30"/>
        <v>0</v>
      </c>
      <c r="M172" s="75">
        <f t="shared" si="30"/>
        <v>0</v>
      </c>
      <c r="N172" s="75">
        <f t="shared" si="30"/>
        <v>29921007</v>
      </c>
      <c r="O172" s="75">
        <f t="shared" si="30"/>
        <v>29921007</v>
      </c>
    </row>
    <row r="173" spans="1:15" s="53" customFormat="1" ht="94.5" x14ac:dyDescent="0.25">
      <c r="A173" s="70"/>
      <c r="B173" s="71"/>
      <c r="C173" s="74" t="s">
        <v>397</v>
      </c>
      <c r="D173" s="75">
        <f>D202</f>
        <v>0</v>
      </c>
      <c r="E173" s="75">
        <f t="shared" ref="E173:N173" si="31">E202</f>
        <v>0</v>
      </c>
      <c r="F173" s="75">
        <f t="shared" si="31"/>
        <v>0</v>
      </c>
      <c r="G173" s="75">
        <f t="shared" si="31"/>
        <v>0</v>
      </c>
      <c r="H173" s="75">
        <f t="shared" si="31"/>
        <v>0</v>
      </c>
      <c r="I173" s="75">
        <f t="shared" si="31"/>
        <v>12100000</v>
      </c>
      <c r="J173" s="75">
        <f t="shared" si="31"/>
        <v>0</v>
      </c>
      <c r="K173" s="75">
        <f t="shared" si="31"/>
        <v>12100000</v>
      </c>
      <c r="L173" s="75">
        <f t="shared" si="31"/>
        <v>0</v>
      </c>
      <c r="M173" s="75">
        <f t="shared" si="31"/>
        <v>0</v>
      </c>
      <c r="N173" s="75">
        <f t="shared" si="31"/>
        <v>0</v>
      </c>
      <c r="O173" s="75">
        <f t="shared" ref="O173" si="32">O202</f>
        <v>12100000</v>
      </c>
    </row>
    <row r="174" spans="1:15" s="53" customFormat="1" ht="66" customHeight="1" x14ac:dyDescent="0.25">
      <c r="A174" s="70"/>
      <c r="B174" s="71"/>
      <c r="C174" s="134" t="s">
        <v>621</v>
      </c>
      <c r="D174" s="75">
        <f>D181</f>
        <v>0</v>
      </c>
      <c r="E174" s="75">
        <f>E181</f>
        <v>0</v>
      </c>
      <c r="F174" s="75">
        <f t="shared" ref="F174:H174" si="33">F181</f>
        <v>0</v>
      </c>
      <c r="G174" s="75">
        <f t="shared" si="33"/>
        <v>0</v>
      </c>
      <c r="H174" s="75">
        <f t="shared" si="33"/>
        <v>0</v>
      </c>
      <c r="I174" s="75">
        <f>I181</f>
        <v>1530600</v>
      </c>
      <c r="J174" s="75">
        <f t="shared" ref="J174:N174" si="34">J181</f>
        <v>1530600</v>
      </c>
      <c r="K174" s="75">
        <f t="shared" si="34"/>
        <v>0</v>
      </c>
      <c r="L174" s="75">
        <f t="shared" si="34"/>
        <v>0</v>
      </c>
      <c r="M174" s="75">
        <f t="shared" si="34"/>
        <v>0</v>
      </c>
      <c r="N174" s="75">
        <f t="shared" si="34"/>
        <v>1530600</v>
      </c>
      <c r="O174" s="75">
        <f>O181</f>
        <v>1530600</v>
      </c>
    </row>
    <row r="175" spans="1:15" s="53" customFormat="1" ht="18.75" customHeight="1" x14ac:dyDescent="0.25">
      <c r="A175" s="70"/>
      <c r="B175" s="71"/>
      <c r="C175" s="76" t="s">
        <v>395</v>
      </c>
      <c r="D175" s="75">
        <f>D182+D204</f>
        <v>200000</v>
      </c>
      <c r="E175" s="75">
        <f t="shared" ref="E175:O175" si="35">E182+E204</f>
        <v>200000</v>
      </c>
      <c r="F175" s="75">
        <f t="shared" si="35"/>
        <v>0</v>
      </c>
      <c r="G175" s="75">
        <f t="shared" si="35"/>
        <v>0</v>
      </c>
      <c r="H175" s="75">
        <f t="shared" si="35"/>
        <v>0</v>
      </c>
      <c r="I175" s="75">
        <f t="shared" si="35"/>
        <v>450000</v>
      </c>
      <c r="J175" s="75">
        <f t="shared" si="35"/>
        <v>450000</v>
      </c>
      <c r="K175" s="75">
        <f t="shared" si="35"/>
        <v>0</v>
      </c>
      <c r="L175" s="75">
        <f t="shared" si="35"/>
        <v>0</v>
      </c>
      <c r="M175" s="75">
        <f t="shared" si="35"/>
        <v>0</v>
      </c>
      <c r="N175" s="75">
        <f t="shared" si="35"/>
        <v>450000</v>
      </c>
      <c r="O175" s="75">
        <f t="shared" si="35"/>
        <v>650000</v>
      </c>
    </row>
    <row r="176" spans="1:15" s="53" customFormat="1" ht="18" customHeight="1" x14ac:dyDescent="0.25">
      <c r="A176" s="70"/>
      <c r="B176" s="70"/>
      <c r="C176" s="82" t="s">
        <v>419</v>
      </c>
      <c r="D176" s="75">
        <f>D220</f>
        <v>0</v>
      </c>
      <c r="E176" s="75">
        <f t="shared" ref="E176:O176" si="36">E220</f>
        <v>0</v>
      </c>
      <c r="F176" s="75">
        <f t="shared" si="36"/>
        <v>0</v>
      </c>
      <c r="G176" s="75">
        <f t="shared" si="36"/>
        <v>0</v>
      </c>
      <c r="H176" s="75">
        <f t="shared" si="36"/>
        <v>0</v>
      </c>
      <c r="I176" s="75">
        <f t="shared" si="36"/>
        <v>127771665.12</v>
      </c>
      <c r="J176" s="75">
        <f t="shared" si="36"/>
        <v>127771665.12</v>
      </c>
      <c r="K176" s="75">
        <f t="shared" si="36"/>
        <v>0</v>
      </c>
      <c r="L176" s="75">
        <f t="shared" si="36"/>
        <v>0</v>
      </c>
      <c r="M176" s="75">
        <f t="shared" si="36"/>
        <v>0</v>
      </c>
      <c r="N176" s="75">
        <f t="shared" si="36"/>
        <v>127771665.12</v>
      </c>
      <c r="O176" s="75">
        <f t="shared" si="36"/>
        <v>127771665.12</v>
      </c>
    </row>
    <row r="177" spans="1:15" s="52" customFormat="1" x14ac:dyDescent="0.25">
      <c r="A177" s="38" t="s">
        <v>143</v>
      </c>
      <c r="B177" s="41"/>
      <c r="C177" s="2" t="s">
        <v>144</v>
      </c>
      <c r="D177" s="48">
        <f t="shared" ref="D177:O177" si="37">D178</f>
        <v>450000</v>
      </c>
      <c r="E177" s="48">
        <f t="shared" si="37"/>
        <v>450000</v>
      </c>
      <c r="F177" s="48">
        <f t="shared" si="37"/>
        <v>0</v>
      </c>
      <c r="G177" s="48">
        <f t="shared" si="37"/>
        <v>0</v>
      </c>
      <c r="H177" s="48">
        <f t="shared" si="37"/>
        <v>0</v>
      </c>
      <c r="I177" s="48">
        <f t="shared" si="37"/>
        <v>0</v>
      </c>
      <c r="J177" s="48">
        <f t="shared" si="37"/>
        <v>0</v>
      </c>
      <c r="K177" s="48">
        <f t="shared" si="37"/>
        <v>0</v>
      </c>
      <c r="L177" s="48">
        <f t="shared" si="37"/>
        <v>0</v>
      </c>
      <c r="M177" s="48">
        <f t="shared" si="37"/>
        <v>0</v>
      </c>
      <c r="N177" s="48">
        <f t="shared" si="37"/>
        <v>0</v>
      </c>
      <c r="O177" s="48">
        <f t="shared" si="37"/>
        <v>450000</v>
      </c>
    </row>
    <row r="178" spans="1:15" ht="24" customHeight="1" x14ac:dyDescent="0.25">
      <c r="A178" s="37" t="s">
        <v>137</v>
      </c>
      <c r="B178" s="37" t="s">
        <v>83</v>
      </c>
      <c r="C178" s="3" t="s">
        <v>345</v>
      </c>
      <c r="D178" s="49">
        <f>'дод 3'!E309</f>
        <v>450000</v>
      </c>
      <c r="E178" s="49">
        <f>'дод 3'!F309</f>
        <v>450000</v>
      </c>
      <c r="F178" s="49">
        <f>'дод 3'!G309</f>
        <v>0</v>
      </c>
      <c r="G178" s="49">
        <f>'дод 3'!H309</f>
        <v>0</v>
      </c>
      <c r="H178" s="49">
        <f>'дод 3'!I309</f>
        <v>0</v>
      </c>
      <c r="I178" s="49">
        <f>'дод 3'!J309</f>
        <v>0</v>
      </c>
      <c r="J178" s="49">
        <f>'дод 3'!K309</f>
        <v>0</v>
      </c>
      <c r="K178" s="49">
        <f>'дод 3'!L309</f>
        <v>0</v>
      </c>
      <c r="L178" s="49">
        <f>'дод 3'!M309</f>
        <v>0</v>
      </c>
      <c r="M178" s="49">
        <f>'дод 3'!N309</f>
        <v>0</v>
      </c>
      <c r="N178" s="49">
        <f>'дод 3'!O309</f>
        <v>0</v>
      </c>
      <c r="O178" s="49">
        <f>'дод 3'!P309</f>
        <v>450000</v>
      </c>
    </row>
    <row r="179" spans="1:15" s="52" customFormat="1" ht="31.5" x14ac:dyDescent="0.25">
      <c r="A179" s="38" t="s">
        <v>97</v>
      </c>
      <c r="B179" s="38"/>
      <c r="C179" s="13" t="s">
        <v>591</v>
      </c>
      <c r="D179" s="48">
        <f>D183+D184+D186+D188+D189+D190+D191+D192+D193+D194+D196+D198+D200</f>
        <v>2341300.6</v>
      </c>
      <c r="E179" s="48">
        <f t="shared" ref="E179:O179" si="38">E183+E184+E186+E188+E189+E190+E191+E192+E193+E194+E196+E198+E200</f>
        <v>2341300.6</v>
      </c>
      <c r="F179" s="48">
        <f t="shared" si="38"/>
        <v>0</v>
      </c>
      <c r="G179" s="48">
        <f t="shared" si="38"/>
        <v>0</v>
      </c>
      <c r="H179" s="48">
        <f t="shared" si="38"/>
        <v>0</v>
      </c>
      <c r="I179" s="48">
        <f t="shared" si="38"/>
        <v>266568026.55000001</v>
      </c>
      <c r="J179" s="48">
        <f t="shared" si="38"/>
        <v>263075076.55000001</v>
      </c>
      <c r="K179" s="48">
        <f t="shared" si="38"/>
        <v>0</v>
      </c>
      <c r="L179" s="48">
        <f t="shared" si="38"/>
        <v>0</v>
      </c>
      <c r="M179" s="48">
        <f t="shared" si="38"/>
        <v>0</v>
      </c>
      <c r="N179" s="48">
        <f t="shared" si="38"/>
        <v>266568026.55000001</v>
      </c>
      <c r="O179" s="48">
        <f t="shared" si="38"/>
        <v>268909327.15000004</v>
      </c>
    </row>
    <row r="180" spans="1:15" s="53" customFormat="1" ht="53.25" customHeight="1" x14ac:dyDescent="0.25">
      <c r="A180" s="70"/>
      <c r="B180" s="70"/>
      <c r="C180" s="74" t="s">
        <v>388</v>
      </c>
      <c r="D180" s="75">
        <f>D197</f>
        <v>0</v>
      </c>
      <c r="E180" s="75">
        <f t="shared" ref="E180:O180" si="39">E197</f>
        <v>0</v>
      </c>
      <c r="F180" s="75">
        <f t="shared" si="39"/>
        <v>0</v>
      </c>
      <c r="G180" s="75">
        <f t="shared" si="39"/>
        <v>0</v>
      </c>
      <c r="H180" s="75">
        <f t="shared" si="39"/>
        <v>0</v>
      </c>
      <c r="I180" s="75">
        <f t="shared" si="39"/>
        <v>29921007</v>
      </c>
      <c r="J180" s="75">
        <f t="shared" si="39"/>
        <v>26428057</v>
      </c>
      <c r="K180" s="75">
        <f t="shared" si="39"/>
        <v>0</v>
      </c>
      <c r="L180" s="75">
        <f t="shared" si="39"/>
        <v>0</v>
      </c>
      <c r="M180" s="75">
        <f t="shared" si="39"/>
        <v>0</v>
      </c>
      <c r="N180" s="75">
        <f t="shared" si="39"/>
        <v>29921007</v>
      </c>
      <c r="O180" s="75">
        <f t="shared" si="39"/>
        <v>29921007</v>
      </c>
    </row>
    <row r="181" spans="1:15" s="53" customFormat="1" ht="63" x14ac:dyDescent="0.25">
      <c r="A181" s="70"/>
      <c r="B181" s="70"/>
      <c r="C181" s="134" t="s">
        <v>621</v>
      </c>
      <c r="D181" s="75">
        <f>D187</f>
        <v>0</v>
      </c>
      <c r="E181" s="75">
        <f>E187</f>
        <v>0</v>
      </c>
      <c r="F181" s="75">
        <f t="shared" ref="F181:H181" si="40">F187</f>
        <v>0</v>
      </c>
      <c r="G181" s="75">
        <f t="shared" si="40"/>
        <v>0</v>
      </c>
      <c r="H181" s="75">
        <f t="shared" si="40"/>
        <v>0</v>
      </c>
      <c r="I181" s="75">
        <f>I187</f>
        <v>1530600</v>
      </c>
      <c r="J181" s="75">
        <f t="shared" ref="J181:N181" si="41">J187</f>
        <v>1530600</v>
      </c>
      <c r="K181" s="75">
        <f t="shared" si="41"/>
        <v>0</v>
      </c>
      <c r="L181" s="75">
        <f t="shared" si="41"/>
        <v>0</v>
      </c>
      <c r="M181" s="75">
        <f t="shared" si="41"/>
        <v>0</v>
      </c>
      <c r="N181" s="75">
        <f t="shared" si="41"/>
        <v>1530600</v>
      </c>
      <c r="O181" s="75">
        <f>O187</f>
        <v>1530600</v>
      </c>
    </row>
    <row r="182" spans="1:15" s="53" customFormat="1" x14ac:dyDescent="0.25">
      <c r="A182" s="70"/>
      <c r="B182" s="70"/>
      <c r="C182" s="76" t="s">
        <v>395</v>
      </c>
      <c r="D182" s="75">
        <f>D185+D199</f>
        <v>0</v>
      </c>
      <c r="E182" s="75">
        <f t="shared" ref="E182:O182" si="42">E185+E199</f>
        <v>0</v>
      </c>
      <c r="F182" s="75">
        <f t="shared" si="42"/>
        <v>0</v>
      </c>
      <c r="G182" s="75">
        <f t="shared" si="42"/>
        <v>0</v>
      </c>
      <c r="H182" s="75">
        <f t="shared" si="42"/>
        <v>0</v>
      </c>
      <c r="I182" s="75">
        <f t="shared" si="42"/>
        <v>450000</v>
      </c>
      <c r="J182" s="75">
        <f>J185+J199</f>
        <v>450000</v>
      </c>
      <c r="K182" s="75">
        <f t="shared" si="42"/>
        <v>0</v>
      </c>
      <c r="L182" s="75">
        <f t="shared" si="42"/>
        <v>0</v>
      </c>
      <c r="M182" s="75">
        <f t="shared" si="42"/>
        <v>0</v>
      </c>
      <c r="N182" s="75">
        <f t="shared" si="42"/>
        <v>450000</v>
      </c>
      <c r="O182" s="75">
        <f t="shared" si="42"/>
        <v>450000</v>
      </c>
    </row>
    <row r="183" spans="1:15" ht="33" customHeight="1" x14ac:dyDescent="0.25">
      <c r="A183" s="40" t="s">
        <v>272</v>
      </c>
      <c r="B183" s="40" t="s">
        <v>111</v>
      </c>
      <c r="C183" s="6" t="s">
        <v>551</v>
      </c>
      <c r="D183" s="49">
        <f>'дод 3'!E281+'дод 3'!E247</f>
        <v>0</v>
      </c>
      <c r="E183" s="49">
        <f>'дод 3'!F281+'дод 3'!F247</f>
        <v>0</v>
      </c>
      <c r="F183" s="49">
        <f>'дод 3'!G281+'дод 3'!G247</f>
        <v>0</v>
      </c>
      <c r="G183" s="49">
        <f>'дод 3'!H281+'дод 3'!H247</f>
        <v>0</v>
      </c>
      <c r="H183" s="49">
        <f>'дод 3'!I281+'дод 3'!I247</f>
        <v>0</v>
      </c>
      <c r="I183" s="49">
        <f>'дод 3'!J281+'дод 3'!J247</f>
        <v>26157976.469999999</v>
      </c>
      <c r="J183" s="49">
        <f>'дод 3'!K281+'дод 3'!K247</f>
        <v>26157976.469999999</v>
      </c>
      <c r="K183" s="49">
        <f>'дод 3'!L281+'дод 3'!L247</f>
        <v>0</v>
      </c>
      <c r="L183" s="49">
        <f>'дод 3'!M281+'дод 3'!M247</f>
        <v>0</v>
      </c>
      <c r="M183" s="49">
        <f>'дод 3'!N281+'дод 3'!N247</f>
        <v>0</v>
      </c>
      <c r="N183" s="49">
        <f>'дод 3'!O281+'дод 3'!O247</f>
        <v>26157976.469999999</v>
      </c>
      <c r="O183" s="49">
        <f>'дод 3'!P281+'дод 3'!P247</f>
        <v>26157976.469999999</v>
      </c>
    </row>
    <row r="184" spans="1:15" s="54" customFormat="1" ht="34.5" x14ac:dyDescent="0.25">
      <c r="A184" s="40" t="s">
        <v>277</v>
      </c>
      <c r="B184" s="40" t="s">
        <v>111</v>
      </c>
      <c r="C184" s="6" t="s">
        <v>592</v>
      </c>
      <c r="D184" s="49">
        <f>'дод 3'!E116+'дод 3'!E282</f>
        <v>0</v>
      </c>
      <c r="E184" s="49">
        <f>'дод 3'!F116+'дод 3'!F282</f>
        <v>0</v>
      </c>
      <c r="F184" s="49">
        <f>'дод 3'!G116+'дод 3'!G282</f>
        <v>0</v>
      </c>
      <c r="G184" s="49">
        <f>'дод 3'!H116+'дод 3'!H282</f>
        <v>0</v>
      </c>
      <c r="H184" s="49">
        <f>'дод 3'!I116+'дод 3'!I282</f>
        <v>0</v>
      </c>
      <c r="I184" s="49">
        <f>'дод 3'!J116+'дод 3'!J282</f>
        <v>31814047.5</v>
      </c>
      <c r="J184" s="49">
        <f>'дод 3'!K116+'дод 3'!K282</f>
        <v>31814047.5</v>
      </c>
      <c r="K184" s="49">
        <f>'дод 3'!L116+'дод 3'!L282</f>
        <v>0</v>
      </c>
      <c r="L184" s="49">
        <f>'дод 3'!M116+'дод 3'!M282</f>
        <v>0</v>
      </c>
      <c r="M184" s="49">
        <f>'дод 3'!N116+'дод 3'!N282</f>
        <v>0</v>
      </c>
      <c r="N184" s="49">
        <f>'дод 3'!O116+'дод 3'!O282</f>
        <v>31814047.5</v>
      </c>
      <c r="O184" s="49">
        <f>'дод 3'!P116+'дод 3'!P282</f>
        <v>31814047.5</v>
      </c>
    </row>
    <row r="185" spans="1:15" s="54" customFormat="1" ht="21.75" customHeight="1" x14ac:dyDescent="0.25">
      <c r="A185" s="81"/>
      <c r="B185" s="81"/>
      <c r="C185" s="86" t="s">
        <v>395</v>
      </c>
      <c r="D185" s="79">
        <f>'дод 3'!E117</f>
        <v>0</v>
      </c>
      <c r="E185" s="79">
        <f>'дод 3'!F117</f>
        <v>0</v>
      </c>
      <c r="F185" s="79">
        <f>'дод 3'!G117</f>
        <v>0</v>
      </c>
      <c r="G185" s="79">
        <f>'дод 3'!H117</f>
        <v>0</v>
      </c>
      <c r="H185" s="79">
        <f>'дод 3'!I117</f>
        <v>0</v>
      </c>
      <c r="I185" s="79">
        <f>'дод 3'!J117</f>
        <v>250000</v>
      </c>
      <c r="J185" s="79">
        <f>'дод 3'!K117</f>
        <v>250000</v>
      </c>
      <c r="K185" s="79">
        <f>'дод 3'!L117</f>
        <v>0</v>
      </c>
      <c r="L185" s="79">
        <f>'дод 3'!M117</f>
        <v>0</v>
      </c>
      <c r="M185" s="79">
        <f>'дод 3'!N117</f>
        <v>0</v>
      </c>
      <c r="N185" s="79">
        <f>'дод 3'!O117</f>
        <v>250000</v>
      </c>
      <c r="O185" s="79">
        <f>'дод 3'!P117</f>
        <v>250000</v>
      </c>
    </row>
    <row r="186" spans="1:15" s="54" customFormat="1" ht="36.75" customHeight="1" x14ac:dyDescent="0.25">
      <c r="A186" s="40" t="s">
        <v>279</v>
      </c>
      <c r="B186" s="40" t="s">
        <v>111</v>
      </c>
      <c r="C186" s="6" t="s">
        <v>620</v>
      </c>
      <c r="D186" s="49">
        <f>'дод 3'!E283+'дод 3'!E155</f>
        <v>0</v>
      </c>
      <c r="E186" s="49">
        <f>'дод 3'!F283+'дод 3'!F155</f>
        <v>0</v>
      </c>
      <c r="F186" s="49">
        <f>'дод 3'!G283+'дод 3'!G155</f>
        <v>0</v>
      </c>
      <c r="G186" s="49">
        <f>'дод 3'!H283+'дод 3'!H155</f>
        <v>0</v>
      </c>
      <c r="H186" s="49">
        <f>'дод 3'!I283+'дод 3'!I155</f>
        <v>0</v>
      </c>
      <c r="I186" s="49">
        <f>'дод 3'!J283+'дод 3'!J155</f>
        <v>46178440</v>
      </c>
      <c r="J186" s="49">
        <f>'дод 3'!K283+'дод 3'!K155</f>
        <v>46178440</v>
      </c>
      <c r="K186" s="49">
        <f>'дод 3'!L283+'дод 3'!L155</f>
        <v>0</v>
      </c>
      <c r="L186" s="49">
        <f>'дод 3'!M283+'дод 3'!M155</f>
        <v>0</v>
      </c>
      <c r="M186" s="49">
        <f>'дод 3'!N283+'дод 3'!N155</f>
        <v>0</v>
      </c>
      <c r="N186" s="49">
        <f>'дод 3'!O283+'дод 3'!O155</f>
        <v>46178440</v>
      </c>
      <c r="O186" s="49">
        <f>'дод 3'!P283+'дод 3'!P155</f>
        <v>46178440</v>
      </c>
    </row>
    <row r="187" spans="1:15" s="54" customFormat="1" ht="63" x14ac:dyDescent="0.25">
      <c r="A187" s="40"/>
      <c r="B187" s="40"/>
      <c r="C187" s="80" t="s">
        <v>621</v>
      </c>
      <c r="D187" s="79">
        <f>'дод 3'!E156</f>
        <v>0</v>
      </c>
      <c r="E187" s="79">
        <f>'дод 3'!F156</f>
        <v>0</v>
      </c>
      <c r="F187" s="79">
        <f>'дод 3'!G156</f>
        <v>0</v>
      </c>
      <c r="G187" s="79">
        <f>'дод 3'!H156</f>
        <v>0</v>
      </c>
      <c r="H187" s="79">
        <f>'дод 3'!I156</f>
        <v>0</v>
      </c>
      <c r="I187" s="79">
        <f>'дод 3'!J156</f>
        <v>1530600</v>
      </c>
      <c r="J187" s="79">
        <f>'дод 3'!K156</f>
        <v>1530600</v>
      </c>
      <c r="K187" s="79">
        <f>'дод 3'!L156</f>
        <v>0</v>
      </c>
      <c r="L187" s="79">
        <f>'дод 3'!M156</f>
        <v>0</v>
      </c>
      <c r="M187" s="79">
        <f>'дод 3'!N156</f>
        <v>0</v>
      </c>
      <c r="N187" s="79">
        <f>'дод 3'!O156</f>
        <v>1530600</v>
      </c>
      <c r="O187" s="79">
        <f>'дод 3'!P156</f>
        <v>1530600</v>
      </c>
    </row>
    <row r="188" spans="1:15" s="54" customFormat="1" ht="22.5" customHeight="1" x14ac:dyDescent="0.25">
      <c r="A188" s="40">
        <v>7323</v>
      </c>
      <c r="B188" s="72" t="s">
        <v>111</v>
      </c>
      <c r="C188" s="128" t="s">
        <v>549</v>
      </c>
      <c r="D188" s="49">
        <f>'дод 3'!E203</f>
        <v>0</v>
      </c>
      <c r="E188" s="49">
        <f>'дод 3'!F203</f>
        <v>0</v>
      </c>
      <c r="F188" s="49">
        <f>'дод 3'!G203</f>
        <v>0</v>
      </c>
      <c r="G188" s="49">
        <f>'дод 3'!H203</f>
        <v>0</v>
      </c>
      <c r="H188" s="49">
        <f>'дод 3'!I203</f>
        <v>0</v>
      </c>
      <c r="I188" s="49">
        <f>'дод 3'!J203</f>
        <v>461003</v>
      </c>
      <c r="J188" s="49">
        <f>'дод 3'!K203</f>
        <v>461003</v>
      </c>
      <c r="K188" s="49">
        <f>'дод 3'!L203</f>
        <v>0</v>
      </c>
      <c r="L188" s="49">
        <f>'дод 3'!M203</f>
        <v>0</v>
      </c>
      <c r="M188" s="49">
        <f>'дод 3'!N203</f>
        <v>0</v>
      </c>
      <c r="N188" s="49">
        <f>'дод 3'!O203</f>
        <v>461003</v>
      </c>
      <c r="O188" s="49">
        <f>'дод 3'!P203</f>
        <v>461003</v>
      </c>
    </row>
    <row r="189" spans="1:15" s="54" customFormat="1" ht="19.5" customHeight="1" x14ac:dyDescent="0.25">
      <c r="A189" s="40">
        <v>7324</v>
      </c>
      <c r="B189" s="72" t="s">
        <v>111</v>
      </c>
      <c r="C189" s="6" t="s">
        <v>550</v>
      </c>
      <c r="D189" s="49">
        <f>'дод 3'!E221+'дод 3'!E284</f>
        <v>0</v>
      </c>
      <c r="E189" s="49">
        <f>'дод 3'!F221+'дод 3'!F284</f>
        <v>0</v>
      </c>
      <c r="F189" s="49">
        <f>'дод 3'!G221+'дод 3'!G284</f>
        <v>0</v>
      </c>
      <c r="G189" s="49">
        <f>'дод 3'!H221+'дод 3'!H284</f>
        <v>0</v>
      </c>
      <c r="H189" s="49">
        <f>'дод 3'!I221+'дод 3'!I284</f>
        <v>0</v>
      </c>
      <c r="I189" s="49">
        <f>'дод 3'!J221+'дод 3'!J284</f>
        <v>735000</v>
      </c>
      <c r="J189" s="49">
        <f>'дод 3'!K221+'дод 3'!K284</f>
        <v>735000</v>
      </c>
      <c r="K189" s="49">
        <f>'дод 3'!L221+'дод 3'!L284</f>
        <v>0</v>
      </c>
      <c r="L189" s="49">
        <f>'дод 3'!M221+'дод 3'!M284</f>
        <v>0</v>
      </c>
      <c r="M189" s="49">
        <f>'дод 3'!N221+'дод 3'!N284</f>
        <v>0</v>
      </c>
      <c r="N189" s="49">
        <f>'дод 3'!O221+'дод 3'!O284</f>
        <v>735000</v>
      </c>
      <c r="O189" s="49">
        <f>'дод 3'!P221+'дод 3'!P284</f>
        <v>735000</v>
      </c>
    </row>
    <row r="190" spans="1:15" s="54" customFormat="1" ht="34.5" x14ac:dyDescent="0.25">
      <c r="A190" s="40">
        <v>7325</v>
      </c>
      <c r="B190" s="72" t="s">
        <v>111</v>
      </c>
      <c r="C190" s="6" t="s">
        <v>545</v>
      </c>
      <c r="D190" s="49">
        <f>'дод 3'!E285+'дод 3'!E42</f>
        <v>0</v>
      </c>
      <c r="E190" s="49">
        <f>'дод 3'!F285+'дод 3'!F42</f>
        <v>0</v>
      </c>
      <c r="F190" s="49">
        <f>'дод 3'!G285+'дод 3'!G42</f>
        <v>0</v>
      </c>
      <c r="G190" s="49">
        <f>'дод 3'!H285+'дод 3'!H42</f>
        <v>0</v>
      </c>
      <c r="H190" s="49">
        <f>'дод 3'!I285+'дод 3'!I42</f>
        <v>0</v>
      </c>
      <c r="I190" s="49">
        <f>'дод 3'!J285+'дод 3'!J42</f>
        <v>10294114</v>
      </c>
      <c r="J190" s="49">
        <f>'дод 3'!K285+'дод 3'!K42</f>
        <v>10294114</v>
      </c>
      <c r="K190" s="49">
        <f>'дод 3'!L285+'дод 3'!L42</f>
        <v>0</v>
      </c>
      <c r="L190" s="49">
        <f>'дод 3'!M285+'дод 3'!M42</f>
        <v>0</v>
      </c>
      <c r="M190" s="49">
        <f>'дод 3'!N285+'дод 3'!N42</f>
        <v>0</v>
      </c>
      <c r="N190" s="49">
        <f>'дод 3'!O285+'дод 3'!O42</f>
        <v>10294114</v>
      </c>
      <c r="O190" s="49">
        <f>'дод 3'!P285+'дод 3'!P42</f>
        <v>10294114</v>
      </c>
    </row>
    <row r="191" spans="1:15" ht="21.75" customHeight="1" x14ac:dyDescent="0.25">
      <c r="A191" s="40" t="s">
        <v>274</v>
      </c>
      <c r="B191" s="40" t="s">
        <v>111</v>
      </c>
      <c r="C191" s="6" t="s">
        <v>546</v>
      </c>
      <c r="D191" s="49">
        <f>'дод 3'!E286+'дод 3'!E248+'дод 3'!E43</f>
        <v>0</v>
      </c>
      <c r="E191" s="49">
        <f>'дод 3'!F286+'дод 3'!F248+'дод 3'!F43</f>
        <v>0</v>
      </c>
      <c r="F191" s="49">
        <f>'дод 3'!G286+'дод 3'!G248+'дод 3'!G43</f>
        <v>0</v>
      </c>
      <c r="G191" s="49">
        <f>'дод 3'!H286+'дод 3'!H248+'дод 3'!H43</f>
        <v>0</v>
      </c>
      <c r="H191" s="49">
        <f>'дод 3'!I286+'дод 3'!I248+'дод 3'!I43</f>
        <v>0</v>
      </c>
      <c r="I191" s="49">
        <f>'дод 3'!J286+'дод 3'!J248+'дод 3'!J43</f>
        <v>31599416.579999998</v>
      </c>
      <c r="J191" s="49">
        <f>'дод 3'!K286+'дод 3'!K248+'дод 3'!K43</f>
        <v>31599416.579999998</v>
      </c>
      <c r="K191" s="49">
        <f>'дод 3'!L286+'дод 3'!L248+'дод 3'!L43</f>
        <v>0</v>
      </c>
      <c r="L191" s="49">
        <f>'дод 3'!M286+'дод 3'!M248+'дод 3'!M43</f>
        <v>0</v>
      </c>
      <c r="M191" s="49">
        <f>'дод 3'!N286+'дод 3'!N248+'дод 3'!N43</f>
        <v>0</v>
      </c>
      <c r="N191" s="49">
        <f>'дод 3'!O286+'дод 3'!O248+'дод 3'!O43</f>
        <v>31599416.579999998</v>
      </c>
      <c r="O191" s="49">
        <f>'дод 3'!P286+'дод 3'!P248+'дод 3'!P43</f>
        <v>31599416.579999998</v>
      </c>
    </row>
    <row r="192" spans="1:15" ht="31.5" customHeight="1" x14ac:dyDescent="0.25">
      <c r="A192" s="37" t="s">
        <v>138</v>
      </c>
      <c r="B192" s="37" t="s">
        <v>111</v>
      </c>
      <c r="C192" s="3" t="s">
        <v>1</v>
      </c>
      <c r="D192" s="49">
        <f>'дод 3'!E249+'дод 3'!E287</f>
        <v>0</v>
      </c>
      <c r="E192" s="49">
        <f>'дод 3'!F249+'дод 3'!F287</f>
        <v>0</v>
      </c>
      <c r="F192" s="49">
        <f>'дод 3'!G249+'дод 3'!G287</f>
        <v>0</v>
      </c>
      <c r="G192" s="49">
        <f>'дод 3'!H249+'дод 3'!H287</f>
        <v>0</v>
      </c>
      <c r="H192" s="49">
        <f>'дод 3'!I249+'дод 3'!I287</f>
        <v>0</v>
      </c>
      <c r="I192" s="49">
        <f>'дод 3'!J249+'дод 3'!J287</f>
        <v>4133608</v>
      </c>
      <c r="J192" s="49">
        <f>'дод 3'!K249+'дод 3'!K287</f>
        <v>4133608</v>
      </c>
      <c r="K192" s="49">
        <f>'дод 3'!L249+'дод 3'!L287</f>
        <v>0</v>
      </c>
      <c r="L192" s="49">
        <f>'дод 3'!M249+'дод 3'!M287</f>
        <v>0</v>
      </c>
      <c r="M192" s="49">
        <f>'дод 3'!N249+'дод 3'!N287</f>
        <v>0</v>
      </c>
      <c r="N192" s="49">
        <f>'дод 3'!O249+'дод 3'!O287</f>
        <v>4133608</v>
      </c>
      <c r="O192" s="49">
        <f>'дод 3'!P249+'дод 3'!P287</f>
        <v>4133608</v>
      </c>
    </row>
    <row r="193" spans="1:15" ht="35.25" customHeight="1" x14ac:dyDescent="0.25">
      <c r="A193" s="58" t="s">
        <v>458</v>
      </c>
      <c r="B193" s="58" t="s">
        <v>111</v>
      </c>
      <c r="C193" s="3" t="s">
        <v>459</v>
      </c>
      <c r="D193" s="49">
        <f>'дод 3'!E300</f>
        <v>0</v>
      </c>
      <c r="E193" s="49">
        <f>'дод 3'!F300</f>
        <v>0</v>
      </c>
      <c r="F193" s="49">
        <f>'дод 3'!G300</f>
        <v>0</v>
      </c>
      <c r="G193" s="49">
        <f>'дод 3'!H300</f>
        <v>0</v>
      </c>
      <c r="H193" s="49">
        <f>'дод 3'!I300</f>
        <v>0</v>
      </c>
      <c r="I193" s="49">
        <f>'дод 3'!J300</f>
        <v>0</v>
      </c>
      <c r="J193" s="49">
        <f>'дод 3'!K300</f>
        <v>0</v>
      </c>
      <c r="K193" s="49">
        <f>'дод 3'!L300</f>
        <v>0</v>
      </c>
      <c r="L193" s="49">
        <f>'дод 3'!M300</f>
        <v>0</v>
      </c>
      <c r="M193" s="49">
        <f>'дод 3'!N300</f>
        <v>0</v>
      </c>
      <c r="N193" s="49">
        <f>'дод 3'!O300</f>
        <v>0</v>
      </c>
      <c r="O193" s="49">
        <f>'дод 3'!P300</f>
        <v>0</v>
      </c>
    </row>
    <row r="194" spans="1:15" ht="51.75" customHeight="1" x14ac:dyDescent="0.25">
      <c r="A194" s="37">
        <v>7361</v>
      </c>
      <c r="B194" s="37" t="s">
        <v>82</v>
      </c>
      <c r="C194" s="3" t="s">
        <v>372</v>
      </c>
      <c r="D194" s="49">
        <f>'дод 3'!E250+'дод 3'!E288+'дод 3'!E157</f>
        <v>0</v>
      </c>
      <c r="E194" s="49">
        <f>'дод 3'!F250+'дод 3'!F288+'дод 3'!F157</f>
        <v>0</v>
      </c>
      <c r="F194" s="49">
        <f>'дод 3'!G250+'дод 3'!G288+'дод 3'!G157</f>
        <v>0</v>
      </c>
      <c r="G194" s="49">
        <f>'дод 3'!H250+'дод 3'!H288+'дод 3'!H157</f>
        <v>0</v>
      </c>
      <c r="H194" s="49">
        <f>'дод 3'!I250+'дод 3'!I288+'дод 3'!I157</f>
        <v>0</v>
      </c>
      <c r="I194" s="49">
        <f>'дод 3'!J250+'дод 3'!J288+'дод 3'!J157</f>
        <v>73896180</v>
      </c>
      <c r="J194" s="49">
        <f>'дод 3'!K250+'дод 3'!K288+'дод 3'!K157</f>
        <v>73896180</v>
      </c>
      <c r="K194" s="49">
        <f>'дод 3'!L250+'дод 3'!L288+'дод 3'!L157</f>
        <v>0</v>
      </c>
      <c r="L194" s="49">
        <f>'дод 3'!M250+'дод 3'!M288+'дод 3'!M157</f>
        <v>0</v>
      </c>
      <c r="M194" s="49">
        <f>'дод 3'!N250+'дод 3'!N288+'дод 3'!N157</f>
        <v>0</v>
      </c>
      <c r="N194" s="49">
        <f>'дод 3'!O250+'дод 3'!O288+'дод 3'!O157</f>
        <v>73896180</v>
      </c>
      <c r="O194" s="49">
        <f>'дод 3'!P250+'дод 3'!P288+'дод 3'!P157</f>
        <v>73896180</v>
      </c>
    </row>
    <row r="195" spans="1:15" s="54" customFormat="1" ht="46.5" hidden="1" customHeight="1" x14ac:dyDescent="0.25">
      <c r="A195" s="37">
        <v>7362</v>
      </c>
      <c r="B195" s="37" t="s">
        <v>82</v>
      </c>
      <c r="C195" s="3" t="s">
        <v>364</v>
      </c>
      <c r="D195" s="49">
        <f>'дод 3'!E251</f>
        <v>0</v>
      </c>
      <c r="E195" s="49">
        <f>'дод 3'!F251</f>
        <v>0</v>
      </c>
      <c r="F195" s="49">
        <f>'дод 3'!G251</f>
        <v>0</v>
      </c>
      <c r="G195" s="49">
        <f>'дод 3'!H251</f>
        <v>0</v>
      </c>
      <c r="H195" s="49">
        <f>'дод 3'!I251</f>
        <v>0</v>
      </c>
      <c r="I195" s="49">
        <f>'дод 3'!J251</f>
        <v>0</v>
      </c>
      <c r="J195" s="49">
        <f>'дод 3'!K251</f>
        <v>0</v>
      </c>
      <c r="K195" s="49">
        <f>'дод 3'!L251</f>
        <v>0</v>
      </c>
      <c r="L195" s="49">
        <f>'дод 3'!M251</f>
        <v>0</v>
      </c>
      <c r="M195" s="49">
        <f>'дод 3'!N251</f>
        <v>0</v>
      </c>
      <c r="N195" s="49">
        <f>'дод 3'!O251</f>
        <v>0</v>
      </c>
      <c r="O195" s="49">
        <f>'дод 3'!P251</f>
        <v>0</v>
      </c>
    </row>
    <row r="196" spans="1:15" s="54" customFormat="1" ht="47.25" x14ac:dyDescent="0.25">
      <c r="A196" s="37">
        <v>7363</v>
      </c>
      <c r="B196" s="59" t="s">
        <v>82</v>
      </c>
      <c r="C196" s="60" t="s">
        <v>398</v>
      </c>
      <c r="D196" s="49">
        <f>'дод 3'!E252+'дод 3'!E118+'дод 3'!E158+'дод 3'!E289</f>
        <v>0</v>
      </c>
      <c r="E196" s="49">
        <f>'дод 3'!F252+'дод 3'!F118+'дод 3'!F158+'дод 3'!F289</f>
        <v>0</v>
      </c>
      <c r="F196" s="49">
        <f>'дод 3'!G252+'дод 3'!G118+'дод 3'!G158+'дод 3'!G289</f>
        <v>0</v>
      </c>
      <c r="G196" s="49">
        <f>'дод 3'!H252+'дод 3'!H118+'дод 3'!H158+'дод 3'!H289</f>
        <v>0</v>
      </c>
      <c r="H196" s="49">
        <f>'дод 3'!I252+'дод 3'!I118+'дод 3'!I158+'дод 3'!I289</f>
        <v>0</v>
      </c>
      <c r="I196" s="49">
        <f>'дод 3'!J252+'дод 3'!J118+'дод 3'!J158+'дод 3'!J289</f>
        <v>41098241</v>
      </c>
      <c r="J196" s="49">
        <f>'дод 3'!K252+'дод 3'!K118+'дод 3'!K158+'дод 3'!K289</f>
        <v>37605291</v>
      </c>
      <c r="K196" s="49">
        <f>'дод 3'!L252+'дод 3'!L118+'дод 3'!L158+'дод 3'!L289</f>
        <v>0</v>
      </c>
      <c r="L196" s="49">
        <f>'дод 3'!M252+'дод 3'!M118+'дод 3'!M158+'дод 3'!M289</f>
        <v>0</v>
      </c>
      <c r="M196" s="49">
        <f>'дод 3'!N252+'дод 3'!N118+'дод 3'!N158+'дод 3'!N289</f>
        <v>0</v>
      </c>
      <c r="N196" s="49">
        <f>'дод 3'!O252+'дод 3'!O118+'дод 3'!O158+'дод 3'!O289</f>
        <v>41098241</v>
      </c>
      <c r="O196" s="49">
        <f>'дод 3'!P252+'дод 3'!P118+'дод 3'!P158+'дод 3'!P289</f>
        <v>41098241</v>
      </c>
    </row>
    <row r="197" spans="1:15" s="54" customFormat="1" ht="47.25" x14ac:dyDescent="0.25">
      <c r="A197" s="77"/>
      <c r="B197" s="83"/>
      <c r="C197" s="78" t="s">
        <v>388</v>
      </c>
      <c r="D197" s="79">
        <f>'дод 3'!E119+'дод 3'!E159+'дод 3'!E253+'дод 3'!E290</f>
        <v>0</v>
      </c>
      <c r="E197" s="79">
        <f>'дод 3'!F119+'дод 3'!F159+'дод 3'!F253+'дод 3'!F290</f>
        <v>0</v>
      </c>
      <c r="F197" s="79">
        <f>'дод 3'!G119+'дод 3'!G159+'дод 3'!G253+'дод 3'!G290</f>
        <v>0</v>
      </c>
      <c r="G197" s="79">
        <f>'дод 3'!H119+'дод 3'!H159+'дод 3'!H253+'дод 3'!H290</f>
        <v>0</v>
      </c>
      <c r="H197" s="79">
        <f>'дод 3'!I119+'дод 3'!I159+'дод 3'!I253+'дод 3'!I290</f>
        <v>0</v>
      </c>
      <c r="I197" s="79">
        <f>'дод 3'!J119+'дод 3'!J159+'дод 3'!J253+'дод 3'!J290</f>
        <v>29921007</v>
      </c>
      <c r="J197" s="79">
        <f>'дод 3'!K119+'дод 3'!K159+'дод 3'!K253+'дод 3'!K290</f>
        <v>26428057</v>
      </c>
      <c r="K197" s="79">
        <f>'дод 3'!L119+'дод 3'!L159+'дод 3'!L253+'дод 3'!L290</f>
        <v>0</v>
      </c>
      <c r="L197" s="79">
        <f>'дод 3'!M119+'дод 3'!M159+'дод 3'!M253+'дод 3'!M290</f>
        <v>0</v>
      </c>
      <c r="M197" s="79">
        <f>'дод 3'!N119+'дод 3'!N159+'дод 3'!N253+'дод 3'!N290</f>
        <v>0</v>
      </c>
      <c r="N197" s="79">
        <f>'дод 3'!O119+'дод 3'!O159+'дод 3'!O253+'дод 3'!O290</f>
        <v>29921007</v>
      </c>
      <c r="O197" s="79">
        <f>'дод 3'!P119+'дод 3'!P159+'дод 3'!P253+'дод 3'!P290</f>
        <v>29921007</v>
      </c>
    </row>
    <row r="198" spans="1:15" ht="31.5" x14ac:dyDescent="0.25">
      <c r="A198" s="37">
        <v>7368</v>
      </c>
      <c r="B198" s="37" t="s">
        <v>82</v>
      </c>
      <c r="C198" s="36" t="s">
        <v>588</v>
      </c>
      <c r="D198" s="49">
        <f>'дод 3'!E254</f>
        <v>0</v>
      </c>
      <c r="E198" s="49">
        <f>'дод 3'!F254</f>
        <v>0</v>
      </c>
      <c r="F198" s="49">
        <f>'дод 3'!G254</f>
        <v>0</v>
      </c>
      <c r="G198" s="49">
        <f>'дод 3'!H254</f>
        <v>0</v>
      </c>
      <c r="H198" s="49">
        <f>'дод 3'!I254</f>
        <v>0</v>
      </c>
      <c r="I198" s="49">
        <f>'дод 3'!J254</f>
        <v>200000</v>
      </c>
      <c r="J198" s="49">
        <f>'дод 3'!K254</f>
        <v>200000</v>
      </c>
      <c r="K198" s="49">
        <f>'дод 3'!L254</f>
        <v>0</v>
      </c>
      <c r="L198" s="49">
        <f>'дод 3'!M254</f>
        <v>0</v>
      </c>
      <c r="M198" s="49">
        <f>'дод 3'!N254</f>
        <v>0</v>
      </c>
      <c r="N198" s="49">
        <f>'дод 3'!O254</f>
        <v>200000</v>
      </c>
      <c r="O198" s="49">
        <f>'дод 3'!P254</f>
        <v>200000</v>
      </c>
    </row>
    <row r="199" spans="1:15" s="54" customFormat="1" x14ac:dyDescent="0.25">
      <c r="A199" s="77"/>
      <c r="B199" s="83"/>
      <c r="C199" s="84" t="s">
        <v>393</v>
      </c>
      <c r="D199" s="79">
        <f>'дод 3'!E255</f>
        <v>0</v>
      </c>
      <c r="E199" s="79">
        <f>'дод 3'!F255</f>
        <v>0</v>
      </c>
      <c r="F199" s="79">
        <f>'дод 3'!G255</f>
        <v>0</v>
      </c>
      <c r="G199" s="79">
        <f>'дод 3'!H255</f>
        <v>0</v>
      </c>
      <c r="H199" s="79">
        <f>'дод 3'!I255</f>
        <v>0</v>
      </c>
      <c r="I199" s="79">
        <f>'дод 3'!J255</f>
        <v>200000</v>
      </c>
      <c r="J199" s="79">
        <f>'дод 3'!K255</f>
        <v>200000</v>
      </c>
      <c r="K199" s="79">
        <f>'дод 3'!L255</f>
        <v>0</v>
      </c>
      <c r="L199" s="79">
        <f>'дод 3'!M255</f>
        <v>0</v>
      </c>
      <c r="M199" s="79">
        <f>'дод 3'!N255</f>
        <v>0</v>
      </c>
      <c r="N199" s="79">
        <f>'дод 3'!O255</f>
        <v>200000</v>
      </c>
      <c r="O199" s="79">
        <f>'дод 3'!P255</f>
        <v>200000</v>
      </c>
    </row>
    <row r="200" spans="1:15" s="54" customFormat="1" ht="31.5" x14ac:dyDescent="0.25">
      <c r="A200" s="37">
        <v>7370</v>
      </c>
      <c r="B200" s="59" t="s">
        <v>82</v>
      </c>
      <c r="C200" s="60" t="s">
        <v>431</v>
      </c>
      <c r="D200" s="49">
        <f>'дод 3'!E291+'дод 3'!E301</f>
        <v>2341300.6</v>
      </c>
      <c r="E200" s="49">
        <f>'дод 3'!F291+'дод 3'!F301</f>
        <v>2341300.6</v>
      </c>
      <c r="F200" s="49">
        <f>'дод 3'!G291+'дод 3'!G301</f>
        <v>0</v>
      </c>
      <c r="G200" s="49">
        <f>'дод 3'!H291+'дод 3'!H301</f>
        <v>0</v>
      </c>
      <c r="H200" s="49">
        <f>'дод 3'!I291+'дод 3'!I301</f>
        <v>0</v>
      </c>
      <c r="I200" s="49">
        <f>'дод 3'!J291+'дод 3'!J301</f>
        <v>0</v>
      </c>
      <c r="J200" s="49">
        <f>'дод 3'!K291+'дод 3'!K301</f>
        <v>0</v>
      </c>
      <c r="K200" s="49">
        <f>'дод 3'!L291+'дод 3'!L301</f>
        <v>0</v>
      </c>
      <c r="L200" s="49">
        <f>'дод 3'!M291+'дод 3'!M301</f>
        <v>0</v>
      </c>
      <c r="M200" s="49">
        <f>'дод 3'!N291+'дод 3'!N301</f>
        <v>0</v>
      </c>
      <c r="N200" s="49">
        <f>'дод 3'!O291+'дод 3'!O301</f>
        <v>0</v>
      </c>
      <c r="O200" s="49">
        <f>'дод 3'!P291+'дод 3'!P301</f>
        <v>2341300.6</v>
      </c>
    </row>
    <row r="201" spans="1:15" s="52" customFormat="1" ht="34.5" customHeight="1" x14ac:dyDescent="0.25">
      <c r="A201" s="38" t="s">
        <v>85</v>
      </c>
      <c r="B201" s="41"/>
      <c r="C201" s="2" t="s">
        <v>593</v>
      </c>
      <c r="D201" s="48">
        <f>D205+D206+D207+D208+D212+D213+D215</f>
        <v>64406042</v>
      </c>
      <c r="E201" s="48">
        <f t="shared" ref="E201:O201" si="43">E205+E206+E207+E208+E212+E213+E215</f>
        <v>1727346</v>
      </c>
      <c r="F201" s="48">
        <f t="shared" si="43"/>
        <v>0</v>
      </c>
      <c r="G201" s="48">
        <f t="shared" si="43"/>
        <v>0</v>
      </c>
      <c r="H201" s="48">
        <f t="shared" si="43"/>
        <v>62678696</v>
      </c>
      <c r="I201" s="48">
        <f t="shared" si="43"/>
        <v>12100000</v>
      </c>
      <c r="J201" s="48">
        <f t="shared" si="43"/>
        <v>0</v>
      </c>
      <c r="K201" s="48">
        <f t="shared" si="43"/>
        <v>12100000</v>
      </c>
      <c r="L201" s="48">
        <f t="shared" si="43"/>
        <v>0</v>
      </c>
      <c r="M201" s="48">
        <f t="shared" si="43"/>
        <v>0</v>
      </c>
      <c r="N201" s="48">
        <f t="shared" si="43"/>
        <v>0</v>
      </c>
      <c r="O201" s="48">
        <f t="shared" si="43"/>
        <v>76506042</v>
      </c>
    </row>
    <row r="202" spans="1:15" s="53" customFormat="1" ht="97.5" customHeight="1" x14ac:dyDescent="0.25">
      <c r="A202" s="70"/>
      <c r="B202" s="71"/>
      <c r="C202" s="74" t="s">
        <v>397</v>
      </c>
      <c r="D202" s="75">
        <f>D210</f>
        <v>0</v>
      </c>
      <c r="E202" s="75">
        <f t="shared" ref="E202:O202" si="44">E210</f>
        <v>0</v>
      </c>
      <c r="F202" s="75">
        <f t="shared" si="44"/>
        <v>0</v>
      </c>
      <c r="G202" s="75">
        <f t="shared" si="44"/>
        <v>0</v>
      </c>
      <c r="H202" s="75">
        <f t="shared" si="44"/>
        <v>0</v>
      </c>
      <c r="I202" s="75">
        <f t="shared" si="44"/>
        <v>12100000</v>
      </c>
      <c r="J202" s="75">
        <f t="shared" si="44"/>
        <v>0</v>
      </c>
      <c r="K202" s="75">
        <f t="shared" si="44"/>
        <v>12100000</v>
      </c>
      <c r="L202" s="75">
        <f t="shared" si="44"/>
        <v>0</v>
      </c>
      <c r="M202" s="75">
        <f t="shared" si="44"/>
        <v>0</v>
      </c>
      <c r="N202" s="75">
        <f t="shared" si="44"/>
        <v>0</v>
      </c>
      <c r="O202" s="75">
        <f t="shared" si="44"/>
        <v>12100000</v>
      </c>
    </row>
    <row r="203" spans="1:15" s="53" customFormat="1" ht="65.25" customHeight="1" x14ac:dyDescent="0.25">
      <c r="A203" s="70"/>
      <c r="B203" s="71"/>
      <c r="C203" s="74" t="s">
        <v>445</v>
      </c>
      <c r="D203" s="75">
        <f>D214</f>
        <v>1527346</v>
      </c>
      <c r="E203" s="75">
        <f t="shared" ref="E203:O203" si="45">E214</f>
        <v>1527346</v>
      </c>
      <c r="F203" s="75">
        <f t="shared" si="45"/>
        <v>0</v>
      </c>
      <c r="G203" s="75">
        <f t="shared" si="45"/>
        <v>0</v>
      </c>
      <c r="H203" s="75">
        <f t="shared" si="45"/>
        <v>0</v>
      </c>
      <c r="I203" s="75">
        <f t="shared" si="45"/>
        <v>0</v>
      </c>
      <c r="J203" s="75">
        <f t="shared" si="45"/>
        <v>0</v>
      </c>
      <c r="K203" s="75">
        <f t="shared" si="45"/>
        <v>0</v>
      </c>
      <c r="L203" s="75">
        <f t="shared" si="45"/>
        <v>0</v>
      </c>
      <c r="M203" s="75">
        <f t="shared" si="45"/>
        <v>0</v>
      </c>
      <c r="N203" s="75">
        <f t="shared" si="45"/>
        <v>0</v>
      </c>
      <c r="O203" s="75">
        <f t="shared" si="45"/>
        <v>1527346</v>
      </c>
    </row>
    <row r="204" spans="1:15" s="53" customFormat="1" x14ac:dyDescent="0.25">
      <c r="A204" s="70"/>
      <c r="B204" s="71"/>
      <c r="C204" s="82" t="s">
        <v>393</v>
      </c>
      <c r="D204" s="75">
        <f>D216</f>
        <v>200000</v>
      </c>
      <c r="E204" s="75">
        <f t="shared" ref="E204:O204" si="46">E216</f>
        <v>200000</v>
      </c>
      <c r="F204" s="75">
        <f t="shared" si="46"/>
        <v>0</v>
      </c>
      <c r="G204" s="75">
        <f t="shared" si="46"/>
        <v>0</v>
      </c>
      <c r="H204" s="75">
        <f t="shared" si="46"/>
        <v>0</v>
      </c>
      <c r="I204" s="75">
        <f t="shared" si="46"/>
        <v>0</v>
      </c>
      <c r="J204" s="75">
        <f t="shared" si="46"/>
        <v>0</v>
      </c>
      <c r="K204" s="75">
        <f t="shared" si="46"/>
        <v>0</v>
      </c>
      <c r="L204" s="75">
        <f t="shared" si="46"/>
        <v>0</v>
      </c>
      <c r="M204" s="75">
        <f t="shared" si="46"/>
        <v>0</v>
      </c>
      <c r="N204" s="75">
        <f t="shared" si="46"/>
        <v>0</v>
      </c>
      <c r="O204" s="75">
        <f t="shared" si="46"/>
        <v>200000</v>
      </c>
    </row>
    <row r="205" spans="1:15" s="54" customFormat="1" ht="18.75" customHeight="1" x14ac:dyDescent="0.25">
      <c r="A205" s="37" t="s">
        <v>3</v>
      </c>
      <c r="B205" s="37" t="s">
        <v>84</v>
      </c>
      <c r="C205" s="3" t="s">
        <v>36</v>
      </c>
      <c r="D205" s="49">
        <f>'дод 3'!E44</f>
        <v>6542500</v>
      </c>
      <c r="E205" s="49">
        <f>'дод 3'!F44</f>
        <v>0</v>
      </c>
      <c r="F205" s="49">
        <f>'дод 3'!G44</f>
        <v>0</v>
      </c>
      <c r="G205" s="49">
        <f>'дод 3'!H44</f>
        <v>0</v>
      </c>
      <c r="H205" s="49">
        <f>'дод 3'!I44</f>
        <v>6542500</v>
      </c>
      <c r="I205" s="49">
        <f>'дод 3'!J44</f>
        <v>0</v>
      </c>
      <c r="J205" s="49">
        <f>'дод 3'!K44</f>
        <v>0</v>
      </c>
      <c r="K205" s="49">
        <f>'дод 3'!L44</f>
        <v>0</v>
      </c>
      <c r="L205" s="49">
        <f>'дод 3'!M44</f>
        <v>0</v>
      </c>
      <c r="M205" s="49">
        <f>'дод 3'!N44</f>
        <v>0</v>
      </c>
      <c r="N205" s="49">
        <f>'дод 3'!O44</f>
        <v>0</v>
      </c>
      <c r="O205" s="49">
        <f>'дод 3'!P44</f>
        <v>6542500</v>
      </c>
    </row>
    <row r="206" spans="1:15" s="54" customFormat="1" ht="20.25" customHeight="1" x14ac:dyDescent="0.25">
      <c r="A206" s="37">
        <v>7413</v>
      </c>
      <c r="B206" s="37" t="s">
        <v>84</v>
      </c>
      <c r="C206" s="3" t="s">
        <v>375</v>
      </c>
      <c r="D206" s="49">
        <f>'дод 3'!E45</f>
        <v>12800000</v>
      </c>
      <c r="E206" s="49">
        <f>'дод 3'!F45</f>
        <v>0</v>
      </c>
      <c r="F206" s="49">
        <f>'дод 3'!G45</f>
        <v>0</v>
      </c>
      <c r="G206" s="49">
        <f>'дод 3'!H45</f>
        <v>0</v>
      </c>
      <c r="H206" s="49">
        <f>'дод 3'!I45</f>
        <v>12800000</v>
      </c>
      <c r="I206" s="49">
        <f>'дод 3'!J45</f>
        <v>0</v>
      </c>
      <c r="J206" s="49">
        <f>'дод 3'!K45</f>
        <v>0</v>
      </c>
      <c r="K206" s="49">
        <f>'дод 3'!L45</f>
        <v>0</v>
      </c>
      <c r="L206" s="49">
        <f>'дод 3'!M45</f>
        <v>0</v>
      </c>
      <c r="M206" s="49">
        <f>'дод 3'!N45</f>
        <v>0</v>
      </c>
      <c r="N206" s="49">
        <f>'дод 3'!O45</f>
        <v>0</v>
      </c>
      <c r="O206" s="49">
        <f>'дод 3'!P45</f>
        <v>12800000</v>
      </c>
    </row>
    <row r="207" spans="1:15" s="54" customFormat="1" ht="31.5" x14ac:dyDescent="0.25">
      <c r="A207" s="42">
        <v>7422</v>
      </c>
      <c r="B207" s="102" t="s">
        <v>413</v>
      </c>
      <c r="C207" s="103" t="s">
        <v>565</v>
      </c>
      <c r="D207" s="49">
        <f>'дод 3'!E46</f>
        <v>5893900</v>
      </c>
      <c r="E207" s="49">
        <f>'дод 3'!F46</f>
        <v>0</v>
      </c>
      <c r="F207" s="49">
        <f>'дод 3'!G46</f>
        <v>0</v>
      </c>
      <c r="G207" s="49">
        <f>'дод 3'!H46</f>
        <v>0</v>
      </c>
      <c r="H207" s="49">
        <f>'дод 3'!I46</f>
        <v>5893900</v>
      </c>
      <c r="I207" s="49">
        <f>'дод 3'!J46</f>
        <v>0</v>
      </c>
      <c r="J207" s="49">
        <f>'дод 3'!K46</f>
        <v>0</v>
      </c>
      <c r="K207" s="49">
        <f>'дод 3'!L46</f>
        <v>0</v>
      </c>
      <c r="L207" s="49">
        <f>'дод 3'!M46</f>
        <v>0</v>
      </c>
      <c r="M207" s="49">
        <f>'дод 3'!N46</f>
        <v>0</v>
      </c>
      <c r="N207" s="49">
        <f>'дод 3'!O46</f>
        <v>0</v>
      </c>
      <c r="O207" s="49">
        <f>'дод 3'!P46</f>
        <v>5893900</v>
      </c>
    </row>
    <row r="208" spans="1:15" s="54" customFormat="1" ht="24" customHeight="1" x14ac:dyDescent="0.25">
      <c r="A208" s="37">
        <v>7426</v>
      </c>
      <c r="B208" s="58" t="s">
        <v>413</v>
      </c>
      <c r="C208" s="3" t="s">
        <v>376</v>
      </c>
      <c r="D208" s="49">
        <f>'дод 3'!E47</f>
        <v>37442296</v>
      </c>
      <c r="E208" s="49">
        <f>'дод 3'!F47</f>
        <v>0</v>
      </c>
      <c r="F208" s="49">
        <f>'дод 3'!G47</f>
        <v>0</v>
      </c>
      <c r="G208" s="49">
        <f>'дод 3'!H47</f>
        <v>0</v>
      </c>
      <c r="H208" s="49">
        <f>'дод 3'!I47</f>
        <v>37442296</v>
      </c>
      <c r="I208" s="49">
        <f>'дод 3'!J47</f>
        <v>0</v>
      </c>
      <c r="J208" s="49">
        <f>'дод 3'!K47</f>
        <v>0</v>
      </c>
      <c r="K208" s="49">
        <f>'дод 3'!L47</f>
        <v>0</v>
      </c>
      <c r="L208" s="49">
        <f>'дод 3'!M47</f>
        <v>0</v>
      </c>
      <c r="M208" s="49">
        <f>'дод 3'!N47</f>
        <v>0</v>
      </c>
      <c r="N208" s="49">
        <f>'дод 3'!O47</f>
        <v>0</v>
      </c>
      <c r="O208" s="49">
        <f>'дод 3'!P47</f>
        <v>37442296</v>
      </c>
    </row>
    <row r="209" spans="1:15" s="54" customFormat="1" ht="53.25" hidden="1" customHeight="1" x14ac:dyDescent="0.25">
      <c r="A209" s="37">
        <v>7462</v>
      </c>
      <c r="B209" s="58" t="s">
        <v>400</v>
      </c>
      <c r="C209" s="3" t="s">
        <v>399</v>
      </c>
      <c r="D209" s="49">
        <f>'дод 3'!E256</f>
        <v>1527346</v>
      </c>
      <c r="E209" s="49">
        <f>'дод 3'!F256</f>
        <v>1527346</v>
      </c>
      <c r="F209" s="49">
        <f>'дод 3'!G256</f>
        <v>0</v>
      </c>
      <c r="G209" s="49">
        <f>'дод 3'!H256</f>
        <v>0</v>
      </c>
      <c r="H209" s="49">
        <f>'дод 3'!I256</f>
        <v>0</v>
      </c>
      <c r="I209" s="49">
        <f>'дод 3'!J256</f>
        <v>12100000</v>
      </c>
      <c r="J209" s="49">
        <f>'дод 3'!K256</f>
        <v>0</v>
      </c>
      <c r="K209" s="49">
        <f>'дод 3'!L256</f>
        <v>12100000</v>
      </c>
      <c r="L209" s="49">
        <f>'дод 3'!M256</f>
        <v>0</v>
      </c>
      <c r="M209" s="49">
        <f>'дод 3'!N256</f>
        <v>0</v>
      </c>
      <c r="N209" s="49">
        <f>'дод 3'!O256</f>
        <v>0</v>
      </c>
      <c r="O209" s="49">
        <f>'дод 3'!P256</f>
        <v>13627346</v>
      </c>
    </row>
    <row r="210" spans="1:15" s="54" customFormat="1" ht="94.5" hidden="1" customHeight="1" x14ac:dyDescent="0.25">
      <c r="A210" s="77"/>
      <c r="B210" s="77"/>
      <c r="C210" s="78" t="s">
        <v>397</v>
      </c>
      <c r="D210" s="79">
        <f>'дод 3'!E257</f>
        <v>0</v>
      </c>
      <c r="E210" s="79">
        <f>'дод 3'!F257</f>
        <v>0</v>
      </c>
      <c r="F210" s="79">
        <f>'дод 3'!G257</f>
        <v>0</v>
      </c>
      <c r="G210" s="79">
        <f>'дод 3'!H257</f>
        <v>0</v>
      </c>
      <c r="H210" s="79">
        <f>'дод 3'!I257</f>
        <v>0</v>
      </c>
      <c r="I210" s="79">
        <f>'дод 3'!J257</f>
        <v>12100000</v>
      </c>
      <c r="J210" s="79">
        <f>'дод 3'!K257</f>
        <v>0</v>
      </c>
      <c r="K210" s="79">
        <f>'дод 3'!L257</f>
        <v>12100000</v>
      </c>
      <c r="L210" s="79">
        <f>'дод 3'!M257</f>
        <v>0</v>
      </c>
      <c r="M210" s="79">
        <f>'дод 3'!N257</f>
        <v>0</v>
      </c>
      <c r="N210" s="79">
        <f>'дод 3'!O257</f>
        <v>0</v>
      </c>
      <c r="O210" s="79">
        <f>'дод 3'!P257</f>
        <v>12100000</v>
      </c>
    </row>
    <row r="211" spans="1:15" s="54" customFormat="1" ht="63" hidden="1" customHeight="1" x14ac:dyDescent="0.25">
      <c r="A211" s="77"/>
      <c r="B211" s="77"/>
      <c r="C211" s="78" t="s">
        <v>445</v>
      </c>
      <c r="D211" s="79">
        <f>'дод 3'!E258</f>
        <v>1527346</v>
      </c>
      <c r="E211" s="79">
        <f>'дод 3'!F258</f>
        <v>1527346</v>
      </c>
      <c r="F211" s="79">
        <f>'дод 3'!G258</f>
        <v>0</v>
      </c>
      <c r="G211" s="79">
        <f>'дод 3'!H258</f>
        <v>0</v>
      </c>
      <c r="H211" s="79">
        <f>'дод 3'!I258</f>
        <v>0</v>
      </c>
      <c r="I211" s="79">
        <f>'дод 3'!J258</f>
        <v>0</v>
      </c>
      <c r="J211" s="79">
        <f>'дод 3'!K258</f>
        <v>0</v>
      </c>
      <c r="K211" s="79">
        <f>'дод 3'!L258</f>
        <v>0</v>
      </c>
      <c r="L211" s="79">
        <f>'дод 3'!M258</f>
        <v>0</v>
      </c>
      <c r="M211" s="79">
        <f>'дод 3'!N258</f>
        <v>0</v>
      </c>
      <c r="N211" s="79">
        <f>'дод 3'!O258</f>
        <v>0</v>
      </c>
      <c r="O211" s="79">
        <f>'дод 3'!P258</f>
        <v>1527346</v>
      </c>
    </row>
    <row r="212" spans="1:15" s="54" customFormat="1" ht="18" customHeight="1" x14ac:dyDescent="0.25">
      <c r="A212" s="58" t="s">
        <v>454</v>
      </c>
      <c r="B212" s="58" t="s">
        <v>400</v>
      </c>
      <c r="C212" s="3" t="s">
        <v>460</v>
      </c>
      <c r="D212" s="49">
        <f>'дод 3'!E48</f>
        <v>0</v>
      </c>
      <c r="E212" s="49">
        <f>'дод 3'!F48</f>
        <v>0</v>
      </c>
      <c r="F212" s="49">
        <f>'дод 3'!G48</f>
        <v>0</v>
      </c>
      <c r="G212" s="49">
        <f>'дод 3'!H48</f>
        <v>0</v>
      </c>
      <c r="H212" s="49">
        <f>'дод 3'!I48</f>
        <v>0</v>
      </c>
      <c r="I212" s="49">
        <f>'дод 3'!J48</f>
        <v>0</v>
      </c>
      <c r="J212" s="49">
        <f>'дод 3'!K48</f>
        <v>0</v>
      </c>
      <c r="K212" s="49">
        <f>'дод 3'!L48</f>
        <v>0</v>
      </c>
      <c r="L212" s="49">
        <f>'дод 3'!M48</f>
        <v>0</v>
      </c>
      <c r="M212" s="49">
        <f>'дод 3'!N48</f>
        <v>0</v>
      </c>
      <c r="N212" s="49">
        <f>'дод 3'!O48</f>
        <v>0</v>
      </c>
      <c r="O212" s="49">
        <f>'дод 3'!P48</f>
        <v>0</v>
      </c>
    </row>
    <row r="213" spans="1:15" s="54" customFormat="1" ht="54.75" customHeight="1" x14ac:dyDescent="0.25">
      <c r="A213" s="58" t="s">
        <v>541</v>
      </c>
      <c r="B213" s="58" t="s">
        <v>400</v>
      </c>
      <c r="C213" s="116" t="s">
        <v>399</v>
      </c>
      <c r="D213" s="49">
        <f>'дод 3'!E256</f>
        <v>1527346</v>
      </c>
      <c r="E213" s="49">
        <f>'дод 3'!F256</f>
        <v>1527346</v>
      </c>
      <c r="F213" s="49">
        <f>'дод 3'!G256</f>
        <v>0</v>
      </c>
      <c r="G213" s="49">
        <f>'дод 3'!H256</f>
        <v>0</v>
      </c>
      <c r="H213" s="49">
        <f>'дод 3'!I256</f>
        <v>0</v>
      </c>
      <c r="I213" s="49">
        <f>'дод 3'!J256</f>
        <v>12100000</v>
      </c>
      <c r="J213" s="49">
        <f>'дод 3'!K256</f>
        <v>0</v>
      </c>
      <c r="K213" s="49">
        <f>'дод 3'!L256</f>
        <v>12100000</v>
      </c>
      <c r="L213" s="49">
        <f>'дод 3'!M256</f>
        <v>0</v>
      </c>
      <c r="M213" s="49">
        <f>'дод 3'!N256</f>
        <v>0</v>
      </c>
      <c r="N213" s="49">
        <f>'дод 3'!O256</f>
        <v>0</v>
      </c>
      <c r="O213" s="49">
        <f>'дод 3'!P256</f>
        <v>13627346</v>
      </c>
    </row>
    <row r="214" spans="1:15" s="54" customFormat="1" ht="63" x14ac:dyDescent="0.25">
      <c r="A214" s="88"/>
      <c r="B214" s="88"/>
      <c r="C214" s="86" t="s">
        <v>539</v>
      </c>
      <c r="D214" s="79">
        <f>'дод 3'!E258</f>
        <v>1527346</v>
      </c>
      <c r="E214" s="79">
        <f>'дод 3'!F258</f>
        <v>1527346</v>
      </c>
      <c r="F214" s="79">
        <f>'дод 3'!G258</f>
        <v>0</v>
      </c>
      <c r="G214" s="79">
        <f>'дод 3'!H258</f>
        <v>0</v>
      </c>
      <c r="H214" s="79">
        <f>'дод 3'!I258</f>
        <v>0</v>
      </c>
      <c r="I214" s="79">
        <f>'дод 3'!J258</f>
        <v>0</v>
      </c>
      <c r="J214" s="79">
        <f>'дод 3'!K258</f>
        <v>0</v>
      </c>
      <c r="K214" s="79">
        <f>'дод 3'!L258</f>
        <v>0</v>
      </c>
      <c r="L214" s="79">
        <f>'дод 3'!M258</f>
        <v>0</v>
      </c>
      <c r="M214" s="79">
        <f>'дод 3'!N258</f>
        <v>0</v>
      </c>
      <c r="N214" s="79">
        <f>'дод 3'!O258</f>
        <v>0</v>
      </c>
      <c r="O214" s="79">
        <f>'дод 3'!P258</f>
        <v>1527346</v>
      </c>
    </row>
    <row r="215" spans="1:15" ht="49.5" customHeight="1" x14ac:dyDescent="0.25">
      <c r="A215" s="58" t="s">
        <v>596</v>
      </c>
      <c r="B215" s="59" t="s">
        <v>400</v>
      </c>
      <c r="C215" s="116" t="s">
        <v>586</v>
      </c>
      <c r="D215" s="49">
        <f>'дод 3'!E259</f>
        <v>200000</v>
      </c>
      <c r="E215" s="49">
        <f>'дод 3'!F259</f>
        <v>200000</v>
      </c>
      <c r="F215" s="49">
        <f>'дод 3'!G259</f>
        <v>0</v>
      </c>
      <c r="G215" s="49">
        <f>'дод 3'!H259</f>
        <v>0</v>
      </c>
      <c r="H215" s="49">
        <f>'дод 3'!I259</f>
        <v>0</v>
      </c>
      <c r="I215" s="49">
        <f>'дод 3'!J259</f>
        <v>0</v>
      </c>
      <c r="J215" s="49">
        <f>'дод 3'!K259</f>
        <v>0</v>
      </c>
      <c r="K215" s="49">
        <f>'дод 3'!L259</f>
        <v>0</v>
      </c>
      <c r="L215" s="49">
        <f>'дод 3'!M259</f>
        <v>0</v>
      </c>
      <c r="M215" s="49">
        <f>'дод 3'!N259</f>
        <v>0</v>
      </c>
      <c r="N215" s="49">
        <f>'дод 3'!O259</f>
        <v>0</v>
      </c>
      <c r="O215" s="49">
        <f>'дод 3'!P259</f>
        <v>200000</v>
      </c>
    </row>
    <row r="216" spans="1:15" s="54" customFormat="1" x14ac:dyDescent="0.25">
      <c r="A216" s="88"/>
      <c r="B216" s="88"/>
      <c r="C216" s="84" t="s">
        <v>393</v>
      </c>
      <c r="D216" s="79">
        <f>'дод 3'!E260</f>
        <v>200000</v>
      </c>
      <c r="E216" s="79">
        <f>'дод 3'!F260</f>
        <v>200000</v>
      </c>
      <c r="F216" s="79">
        <f>'дод 3'!G260</f>
        <v>0</v>
      </c>
      <c r="G216" s="79">
        <f>'дод 3'!H260</f>
        <v>0</v>
      </c>
      <c r="H216" s="79">
        <f>'дод 3'!I260</f>
        <v>0</v>
      </c>
      <c r="I216" s="79">
        <f>'дод 3'!J260</f>
        <v>0</v>
      </c>
      <c r="J216" s="79">
        <f>'дод 3'!K260</f>
        <v>0</v>
      </c>
      <c r="K216" s="79">
        <f>'дод 3'!L260</f>
        <v>0</v>
      </c>
      <c r="L216" s="79">
        <f>'дод 3'!M260</f>
        <v>0</v>
      </c>
      <c r="M216" s="79">
        <f>'дод 3'!N260</f>
        <v>0</v>
      </c>
      <c r="N216" s="79">
        <f>'дод 3'!O260</f>
        <v>0</v>
      </c>
      <c r="O216" s="79">
        <f>'дод 3'!P260</f>
        <v>200000</v>
      </c>
    </row>
    <row r="217" spans="1:15" s="52" customFormat="1" ht="18.75" customHeight="1" x14ac:dyDescent="0.25">
      <c r="A217" s="39" t="s">
        <v>237</v>
      </c>
      <c r="B217" s="41"/>
      <c r="C217" s="2" t="s">
        <v>238</v>
      </c>
      <c r="D217" s="48">
        <f>D218</f>
        <v>5882000</v>
      </c>
      <c r="E217" s="48">
        <f t="shared" ref="E217:O217" si="47">E218</f>
        <v>5882000</v>
      </c>
      <c r="F217" s="48">
        <f t="shared" si="47"/>
        <v>0</v>
      </c>
      <c r="G217" s="48">
        <f t="shared" si="47"/>
        <v>0</v>
      </c>
      <c r="H217" s="48">
        <f t="shared" si="47"/>
        <v>0</v>
      </c>
      <c r="I217" s="48">
        <f t="shared" si="47"/>
        <v>4020000</v>
      </c>
      <c r="J217" s="48">
        <f t="shared" si="47"/>
        <v>4020000</v>
      </c>
      <c r="K217" s="48">
        <f t="shared" si="47"/>
        <v>0</v>
      </c>
      <c r="L217" s="48">
        <f t="shared" si="47"/>
        <v>0</v>
      </c>
      <c r="M217" s="48">
        <f t="shared" si="47"/>
        <v>0</v>
      </c>
      <c r="N217" s="48">
        <f t="shared" si="47"/>
        <v>4020000</v>
      </c>
      <c r="O217" s="48">
        <f t="shared" si="47"/>
        <v>9902000</v>
      </c>
    </row>
    <row r="218" spans="1:15" ht="37.5" customHeight="1" x14ac:dyDescent="0.25">
      <c r="A218" s="40" t="s">
        <v>235</v>
      </c>
      <c r="B218" s="40" t="s">
        <v>236</v>
      </c>
      <c r="C218" s="11" t="s">
        <v>234</v>
      </c>
      <c r="D218" s="49">
        <f>'дод 3'!E49+'дод 3'!E261</f>
        <v>5882000</v>
      </c>
      <c r="E218" s="49">
        <f>'дод 3'!F49+'дод 3'!F261</f>
        <v>5882000</v>
      </c>
      <c r="F218" s="49">
        <f>'дод 3'!G49+'дод 3'!G261</f>
        <v>0</v>
      </c>
      <c r="G218" s="49">
        <f>'дод 3'!H49+'дод 3'!H261</f>
        <v>0</v>
      </c>
      <c r="H218" s="49">
        <f>'дод 3'!I49+'дод 3'!I261</f>
        <v>0</v>
      </c>
      <c r="I218" s="49">
        <f>'дод 3'!J49+'дод 3'!J261</f>
        <v>4020000</v>
      </c>
      <c r="J218" s="49">
        <f>'дод 3'!K49+'дод 3'!K261</f>
        <v>4020000</v>
      </c>
      <c r="K218" s="49">
        <f>'дод 3'!L49+'дод 3'!L261</f>
        <v>0</v>
      </c>
      <c r="L218" s="49">
        <f>'дод 3'!M49+'дод 3'!M261</f>
        <v>0</v>
      </c>
      <c r="M218" s="49">
        <f>'дод 3'!N49+'дод 3'!N261</f>
        <v>0</v>
      </c>
      <c r="N218" s="49">
        <f>'дод 3'!O49+'дод 3'!O261</f>
        <v>4020000</v>
      </c>
      <c r="O218" s="49">
        <f>'дод 3'!P49+'дод 3'!P261</f>
        <v>9902000</v>
      </c>
    </row>
    <row r="219" spans="1:15" s="52" customFormat="1" ht="31.5" customHeight="1" x14ac:dyDescent="0.25">
      <c r="A219" s="38" t="s">
        <v>88</v>
      </c>
      <c r="B219" s="41"/>
      <c r="C219" s="2" t="s">
        <v>421</v>
      </c>
      <c r="D219" s="48">
        <f>D221+D222+D224+D225+D226+D228+D229+D230</f>
        <v>5844999.5499999998</v>
      </c>
      <c r="E219" s="48">
        <f t="shared" ref="E219:O219" si="48">E221+E222+E224+E225+E226+E228+E229+E230</f>
        <v>4622389.55</v>
      </c>
      <c r="F219" s="48">
        <f t="shared" si="48"/>
        <v>0</v>
      </c>
      <c r="G219" s="48">
        <f t="shared" si="48"/>
        <v>0</v>
      </c>
      <c r="H219" s="48">
        <f t="shared" si="48"/>
        <v>1222610</v>
      </c>
      <c r="I219" s="48">
        <f t="shared" si="48"/>
        <v>192320094.44</v>
      </c>
      <c r="J219" s="48">
        <f t="shared" si="48"/>
        <v>175990122.56999999</v>
      </c>
      <c r="K219" s="48">
        <f t="shared" si="48"/>
        <v>2948437.8699999996</v>
      </c>
      <c r="L219" s="48">
        <f t="shared" si="48"/>
        <v>0</v>
      </c>
      <c r="M219" s="48">
        <f t="shared" si="48"/>
        <v>0</v>
      </c>
      <c r="N219" s="48">
        <f t="shared" si="48"/>
        <v>189371656.56999999</v>
      </c>
      <c r="O219" s="48">
        <f t="shared" si="48"/>
        <v>198165093.98999998</v>
      </c>
    </row>
    <row r="220" spans="1:15" s="53" customFormat="1" ht="16.5" customHeight="1" x14ac:dyDescent="0.25">
      <c r="A220" s="70"/>
      <c r="B220" s="70"/>
      <c r="C220" s="82" t="s">
        <v>419</v>
      </c>
      <c r="D220" s="75">
        <f>D223+D227</f>
        <v>0</v>
      </c>
      <c r="E220" s="75">
        <f t="shared" ref="E220:O220" si="49">E223+E227</f>
        <v>0</v>
      </c>
      <c r="F220" s="75">
        <f t="shared" si="49"/>
        <v>0</v>
      </c>
      <c r="G220" s="75">
        <f t="shared" si="49"/>
        <v>0</v>
      </c>
      <c r="H220" s="75">
        <f t="shared" si="49"/>
        <v>0</v>
      </c>
      <c r="I220" s="75">
        <f t="shared" si="49"/>
        <v>127771665.12</v>
      </c>
      <c r="J220" s="75">
        <f t="shared" si="49"/>
        <v>127771665.12</v>
      </c>
      <c r="K220" s="75">
        <f t="shared" si="49"/>
        <v>0</v>
      </c>
      <c r="L220" s="75">
        <f t="shared" si="49"/>
        <v>0</v>
      </c>
      <c r="M220" s="75">
        <f t="shared" si="49"/>
        <v>0</v>
      </c>
      <c r="N220" s="75">
        <f t="shared" si="49"/>
        <v>127771665.12</v>
      </c>
      <c r="O220" s="75">
        <f t="shared" si="49"/>
        <v>127771665.12</v>
      </c>
    </row>
    <row r="221" spans="1:15" ht="32.25" customHeight="1" x14ac:dyDescent="0.25">
      <c r="A221" s="37" t="s">
        <v>4</v>
      </c>
      <c r="B221" s="37" t="s">
        <v>87</v>
      </c>
      <c r="C221" s="3" t="s">
        <v>23</v>
      </c>
      <c r="D221" s="49">
        <f>'дод 3'!E50+'дод 3'!E310</f>
        <v>372000</v>
      </c>
      <c r="E221" s="49">
        <f>'дод 3'!F50+'дод 3'!F310</f>
        <v>372000</v>
      </c>
      <c r="F221" s="49">
        <f>'дод 3'!G50+'дод 3'!G310</f>
        <v>0</v>
      </c>
      <c r="G221" s="49">
        <f>'дод 3'!H50+'дод 3'!H310</f>
        <v>0</v>
      </c>
      <c r="H221" s="49">
        <f>'дод 3'!I50+'дод 3'!I310</f>
        <v>0</v>
      </c>
      <c r="I221" s="49">
        <f>'дод 3'!J50+'дод 3'!J310</f>
        <v>0</v>
      </c>
      <c r="J221" s="49">
        <f>'дод 3'!K50+'дод 3'!K310</f>
        <v>0</v>
      </c>
      <c r="K221" s="49">
        <f>'дод 3'!L50+'дод 3'!L310</f>
        <v>0</v>
      </c>
      <c r="L221" s="49">
        <f>'дод 3'!M50+'дод 3'!M310</f>
        <v>0</v>
      </c>
      <c r="M221" s="49">
        <f>'дод 3'!N50+'дод 3'!N310</f>
        <v>0</v>
      </c>
      <c r="N221" s="49">
        <f>'дод 3'!O50+'дод 3'!O310</f>
        <v>0</v>
      </c>
      <c r="O221" s="49">
        <f>'дод 3'!P50+'дод 3'!P310</f>
        <v>372000</v>
      </c>
    </row>
    <row r="222" spans="1:15" ht="20.25" customHeight="1" x14ac:dyDescent="0.25">
      <c r="A222" s="37" t="s">
        <v>2</v>
      </c>
      <c r="B222" s="37" t="s">
        <v>86</v>
      </c>
      <c r="C222" s="3" t="s">
        <v>418</v>
      </c>
      <c r="D222" s="49">
        <f>'дод 3'!E120+'дод 3'!E160+'дод 3'!E222+'дод 3'!E262+'дод 3'!E292+'дод 3'!E323</f>
        <v>3417686.55</v>
      </c>
      <c r="E222" s="49">
        <f>'дод 3'!F120+'дод 3'!F160+'дод 3'!F222+'дод 3'!F262+'дод 3'!F292+'дод 3'!F323</f>
        <v>2195076.5499999998</v>
      </c>
      <c r="F222" s="49">
        <f>'дод 3'!G120+'дод 3'!G160+'дод 3'!G222+'дод 3'!G262+'дод 3'!G292+'дод 3'!G323</f>
        <v>0</v>
      </c>
      <c r="G222" s="49">
        <f>'дод 3'!H120+'дод 3'!H160+'дод 3'!H222+'дод 3'!H262+'дод 3'!H292+'дод 3'!H323</f>
        <v>0</v>
      </c>
      <c r="H222" s="49">
        <f>'дод 3'!I120+'дод 3'!I160+'дод 3'!I222+'дод 3'!I262+'дод 3'!I292+'дод 3'!I323</f>
        <v>1222610</v>
      </c>
      <c r="I222" s="49">
        <f>'дод 3'!J120+'дод 3'!J160+'дод 3'!J222+'дод 3'!J262+'дод 3'!J292+'дод 3'!J323</f>
        <v>141656156.56999999</v>
      </c>
      <c r="J222" s="49">
        <f>'дод 3'!K120+'дод 3'!K160+'дод 3'!K222+'дод 3'!K262+'дод 3'!K292+'дод 3'!K323</f>
        <v>130182222.56999999</v>
      </c>
      <c r="K222" s="49">
        <f>'дод 3'!L120+'дод 3'!L160+'дод 3'!L222+'дод 3'!L262+'дод 3'!L292+'дод 3'!L323</f>
        <v>0</v>
      </c>
      <c r="L222" s="49">
        <f>'дод 3'!M120+'дод 3'!M160+'дод 3'!M222+'дод 3'!M262+'дод 3'!M292+'дод 3'!M323</f>
        <v>0</v>
      </c>
      <c r="M222" s="49">
        <f>'дод 3'!N120+'дод 3'!N160+'дод 3'!N222+'дод 3'!N262+'дод 3'!N292+'дод 3'!N323</f>
        <v>0</v>
      </c>
      <c r="N222" s="49">
        <f>'дод 3'!O120+'дод 3'!O160+'дод 3'!O222+'дод 3'!O262+'дод 3'!O292+'дод 3'!O323</f>
        <v>141656156.56999999</v>
      </c>
      <c r="O222" s="49">
        <f>'дод 3'!P120+'дод 3'!P160+'дод 3'!P222+'дод 3'!P262+'дод 3'!P292+'дод 3'!P323</f>
        <v>145073843.11999997</v>
      </c>
    </row>
    <row r="223" spans="1:15" s="54" customFormat="1" ht="17.25" customHeight="1" x14ac:dyDescent="0.25">
      <c r="A223" s="77"/>
      <c r="B223" s="77"/>
      <c r="C223" s="84" t="s">
        <v>419</v>
      </c>
      <c r="D223" s="79">
        <f>'дод 3'!E161+'дод 3'!E293</f>
        <v>0</v>
      </c>
      <c r="E223" s="79">
        <f>'дод 3'!F161+'дод 3'!F293</f>
        <v>0</v>
      </c>
      <c r="F223" s="79">
        <f>'дод 3'!G161+'дод 3'!G293</f>
        <v>0</v>
      </c>
      <c r="G223" s="79">
        <f>'дод 3'!H161+'дод 3'!H293</f>
        <v>0</v>
      </c>
      <c r="H223" s="79">
        <f>'дод 3'!I161+'дод 3'!I293</f>
        <v>0</v>
      </c>
      <c r="I223" s="79">
        <f>'дод 3'!J161+'дод 3'!J293</f>
        <v>101521665.12</v>
      </c>
      <c r="J223" s="79">
        <f>'дод 3'!K161+'дод 3'!K293</f>
        <v>101521665.12</v>
      </c>
      <c r="K223" s="79">
        <f>'дод 3'!L161+'дод 3'!L293</f>
        <v>0</v>
      </c>
      <c r="L223" s="79">
        <f>'дод 3'!M161+'дод 3'!M293</f>
        <v>0</v>
      </c>
      <c r="M223" s="79">
        <f>'дод 3'!N161+'дод 3'!N293</f>
        <v>0</v>
      </c>
      <c r="N223" s="79">
        <f>'дод 3'!O161+'дод 3'!O293</f>
        <v>101521665.12</v>
      </c>
      <c r="O223" s="79">
        <f>'дод 3'!P161+'дод 3'!P293</f>
        <v>101521665.12</v>
      </c>
    </row>
    <row r="224" spans="1:15" ht="33.75" customHeight="1" x14ac:dyDescent="0.25">
      <c r="A224" s="37" t="s">
        <v>267</v>
      </c>
      <c r="B224" s="37" t="s">
        <v>82</v>
      </c>
      <c r="C224" s="3" t="s">
        <v>346</v>
      </c>
      <c r="D224" s="49">
        <f>'дод 3'!E311</f>
        <v>0</v>
      </c>
      <c r="E224" s="49">
        <f>'дод 3'!F311</f>
        <v>0</v>
      </c>
      <c r="F224" s="49">
        <f>'дод 3'!G311</f>
        <v>0</v>
      </c>
      <c r="G224" s="49">
        <f>'дод 3'!H311</f>
        <v>0</v>
      </c>
      <c r="H224" s="49">
        <f>'дод 3'!I311</f>
        <v>0</v>
      </c>
      <c r="I224" s="49">
        <f>'дод 3'!J311</f>
        <v>20000</v>
      </c>
      <c r="J224" s="49">
        <f>'дод 3'!K311</f>
        <v>20000</v>
      </c>
      <c r="K224" s="49">
        <f>'дод 3'!L311</f>
        <v>0</v>
      </c>
      <c r="L224" s="49">
        <f>'дод 3'!M311</f>
        <v>0</v>
      </c>
      <c r="M224" s="49">
        <f>'дод 3'!N311</f>
        <v>0</v>
      </c>
      <c r="N224" s="49">
        <f>'дод 3'!O311</f>
        <v>20000</v>
      </c>
      <c r="O224" s="49">
        <f>'дод 3'!P311</f>
        <v>20000</v>
      </c>
    </row>
    <row r="225" spans="1:15" ht="67.5" customHeight="1" x14ac:dyDescent="0.25">
      <c r="A225" s="37" t="s">
        <v>269</v>
      </c>
      <c r="B225" s="37" t="s">
        <v>82</v>
      </c>
      <c r="C225" s="3" t="s">
        <v>270</v>
      </c>
      <c r="D225" s="49">
        <f>'дод 3'!E312</f>
        <v>0</v>
      </c>
      <c r="E225" s="49">
        <f>'дод 3'!F312</f>
        <v>0</v>
      </c>
      <c r="F225" s="49">
        <f>'дод 3'!G312</f>
        <v>0</v>
      </c>
      <c r="G225" s="49">
        <f>'дод 3'!H312</f>
        <v>0</v>
      </c>
      <c r="H225" s="49">
        <f>'дод 3'!I312</f>
        <v>0</v>
      </c>
      <c r="I225" s="49">
        <f>'дод 3'!J312</f>
        <v>45000</v>
      </c>
      <c r="J225" s="49">
        <f>'дод 3'!K312</f>
        <v>45000</v>
      </c>
      <c r="K225" s="49">
        <f>'дод 3'!L312</f>
        <v>0</v>
      </c>
      <c r="L225" s="49">
        <f>'дод 3'!M312</f>
        <v>0</v>
      </c>
      <c r="M225" s="49">
        <f>'дод 3'!N312</f>
        <v>0</v>
      </c>
      <c r="N225" s="49">
        <f>'дод 3'!O312</f>
        <v>45000</v>
      </c>
      <c r="O225" s="49">
        <f>'дод 3'!P312</f>
        <v>45000</v>
      </c>
    </row>
    <row r="226" spans="1:15" ht="30.75" customHeight="1" x14ac:dyDescent="0.25">
      <c r="A226" s="37" t="s">
        <v>5</v>
      </c>
      <c r="B226" s="37" t="s">
        <v>82</v>
      </c>
      <c r="C226" s="3" t="s">
        <v>466</v>
      </c>
      <c r="D226" s="49">
        <f>'дод 3'!E51+'дод 3'!E263</f>
        <v>0</v>
      </c>
      <c r="E226" s="49">
        <f>'дод 3'!F51+'дод 3'!F263</f>
        <v>0</v>
      </c>
      <c r="F226" s="49">
        <f>'дод 3'!G51+'дод 3'!G263</f>
        <v>0</v>
      </c>
      <c r="G226" s="49">
        <f>'дод 3'!H51+'дод 3'!H263</f>
        <v>0</v>
      </c>
      <c r="H226" s="49">
        <f>'дод 3'!I51+'дод 3'!I263</f>
        <v>0</v>
      </c>
      <c r="I226" s="49">
        <f>'дод 3'!J51+'дод 3'!J263</f>
        <v>45742900</v>
      </c>
      <c r="J226" s="49">
        <f>'дод 3'!K51+'дод 3'!K263</f>
        <v>45742900</v>
      </c>
      <c r="K226" s="49">
        <f>'дод 3'!L51+'дод 3'!L263</f>
        <v>0</v>
      </c>
      <c r="L226" s="49">
        <f>'дод 3'!M51+'дод 3'!M263</f>
        <v>0</v>
      </c>
      <c r="M226" s="49">
        <f>'дод 3'!N51+'дод 3'!N263</f>
        <v>0</v>
      </c>
      <c r="N226" s="49">
        <f>'дод 3'!O51+'дод 3'!O263</f>
        <v>45742900</v>
      </c>
      <c r="O226" s="49">
        <f>'дод 3'!P51+'дод 3'!P263</f>
        <v>45742900</v>
      </c>
    </row>
    <row r="227" spans="1:15" ht="16.5" customHeight="1" x14ac:dyDescent="0.25">
      <c r="A227" s="37"/>
      <c r="B227" s="37"/>
      <c r="C227" s="84" t="s">
        <v>419</v>
      </c>
      <c r="D227" s="49">
        <f>'дод 3'!E264</f>
        <v>0</v>
      </c>
      <c r="E227" s="49">
        <f>'дод 3'!F264</f>
        <v>0</v>
      </c>
      <c r="F227" s="49">
        <f>'дод 3'!G264</f>
        <v>0</v>
      </c>
      <c r="G227" s="49">
        <f>'дод 3'!H264</f>
        <v>0</v>
      </c>
      <c r="H227" s="49">
        <f>'дод 3'!I264</f>
        <v>0</v>
      </c>
      <c r="I227" s="49">
        <f>'дод 3'!J264</f>
        <v>26250000</v>
      </c>
      <c r="J227" s="49">
        <f>'дод 3'!K264</f>
        <v>26250000</v>
      </c>
      <c r="K227" s="49">
        <f>'дод 3'!L264</f>
        <v>0</v>
      </c>
      <c r="L227" s="49">
        <f>'дод 3'!M264</f>
        <v>0</v>
      </c>
      <c r="M227" s="49">
        <f>'дод 3'!N264</f>
        <v>0</v>
      </c>
      <c r="N227" s="49">
        <f>'дод 3'!O264</f>
        <v>26250000</v>
      </c>
      <c r="O227" s="49">
        <f>'дод 3'!P264</f>
        <v>26250000</v>
      </c>
    </row>
    <row r="228" spans="1:15" ht="36.75" customHeight="1" x14ac:dyDescent="0.25">
      <c r="A228" s="37" t="s">
        <v>248</v>
      </c>
      <c r="B228" s="37" t="s">
        <v>82</v>
      </c>
      <c r="C228" s="3" t="s">
        <v>249</v>
      </c>
      <c r="D228" s="49">
        <f>'дод 3'!E52</f>
        <v>356337</v>
      </c>
      <c r="E228" s="49">
        <f>'дод 3'!F52</f>
        <v>356337</v>
      </c>
      <c r="F228" s="49">
        <f>'дод 3'!G52</f>
        <v>0</v>
      </c>
      <c r="G228" s="49">
        <f>'дод 3'!H52</f>
        <v>0</v>
      </c>
      <c r="H228" s="49">
        <f>'дод 3'!I52</f>
        <v>0</v>
      </c>
      <c r="I228" s="49">
        <f>'дод 3'!J52</f>
        <v>0</v>
      </c>
      <c r="J228" s="49">
        <f>'дод 3'!K52</f>
        <v>0</v>
      </c>
      <c r="K228" s="49">
        <f>'дод 3'!L52</f>
        <v>0</v>
      </c>
      <c r="L228" s="49">
        <f>'дод 3'!M52</f>
        <v>0</v>
      </c>
      <c r="M228" s="49">
        <f>'дод 3'!N52</f>
        <v>0</v>
      </c>
      <c r="N228" s="49">
        <f>'дод 3'!O52</f>
        <v>0</v>
      </c>
      <c r="O228" s="49">
        <f>'дод 3'!P52</f>
        <v>356337</v>
      </c>
    </row>
    <row r="229" spans="1:15" s="54" customFormat="1" ht="101.25" customHeight="1" x14ac:dyDescent="0.25">
      <c r="A229" s="37" t="s">
        <v>296</v>
      </c>
      <c r="B229" s="37" t="s">
        <v>82</v>
      </c>
      <c r="C229" s="3" t="s">
        <v>314</v>
      </c>
      <c r="D229" s="49">
        <f>'дод 3'!E53+'дод 3'!E265+'дод 3'!E294+'дод 3'!E302</f>
        <v>0</v>
      </c>
      <c r="E229" s="49">
        <f>'дод 3'!F53+'дод 3'!F265+'дод 3'!F294+'дод 3'!F302</f>
        <v>0</v>
      </c>
      <c r="F229" s="49">
        <f>'дод 3'!G53+'дод 3'!G265+'дод 3'!G294+'дод 3'!G302</f>
        <v>0</v>
      </c>
      <c r="G229" s="49">
        <f>'дод 3'!H53+'дод 3'!H265+'дод 3'!H294+'дод 3'!H302</f>
        <v>0</v>
      </c>
      <c r="H229" s="49">
        <f>'дод 3'!I53+'дод 3'!I265+'дод 3'!I294+'дод 3'!I302</f>
        <v>0</v>
      </c>
      <c r="I229" s="49">
        <f>'дод 3'!J53+'дод 3'!J265+'дод 3'!J294+'дод 3'!J302</f>
        <v>4856037.8699999992</v>
      </c>
      <c r="J229" s="49">
        <f>'дод 3'!K53+'дод 3'!K265+'дод 3'!K294+'дод 3'!K302</f>
        <v>0</v>
      </c>
      <c r="K229" s="49">
        <f>'дод 3'!L53+'дод 3'!L265+'дод 3'!L294+'дод 3'!L302</f>
        <v>2948437.8699999996</v>
      </c>
      <c r="L229" s="49">
        <f>'дод 3'!M53+'дод 3'!M265+'дод 3'!M294+'дод 3'!M302</f>
        <v>0</v>
      </c>
      <c r="M229" s="49">
        <f>'дод 3'!N53+'дод 3'!N265+'дод 3'!N294+'дод 3'!N302</f>
        <v>0</v>
      </c>
      <c r="N229" s="49">
        <f>'дод 3'!O53+'дод 3'!O265+'дод 3'!O294+'дод 3'!O302</f>
        <v>1907600</v>
      </c>
      <c r="O229" s="49">
        <f>'дод 3'!P53+'дод 3'!P265+'дод 3'!P294+'дод 3'!P302</f>
        <v>4856037.8699999992</v>
      </c>
    </row>
    <row r="230" spans="1:15" s="54" customFormat="1" ht="23.25" customHeight="1" x14ac:dyDescent="0.25">
      <c r="A230" s="37" t="s">
        <v>239</v>
      </c>
      <c r="B230" s="37" t="s">
        <v>82</v>
      </c>
      <c r="C230" s="3" t="s">
        <v>17</v>
      </c>
      <c r="D230" s="49">
        <f>'дод 3'!E54+'дод 3'!E313+'дод 3'!E324</f>
        <v>1698976</v>
      </c>
      <c r="E230" s="49">
        <f>'дод 3'!F54+'дод 3'!F313+'дод 3'!F324</f>
        <v>1698976</v>
      </c>
      <c r="F230" s="49">
        <f>'дод 3'!G54+'дод 3'!G313+'дод 3'!G324</f>
        <v>0</v>
      </c>
      <c r="G230" s="49">
        <f>'дод 3'!H54+'дод 3'!H313+'дод 3'!H324</f>
        <v>0</v>
      </c>
      <c r="H230" s="49">
        <f>'дод 3'!I54+'дод 3'!I313+'дод 3'!I324</f>
        <v>0</v>
      </c>
      <c r="I230" s="49">
        <f>'дод 3'!J54+'дод 3'!J313+'дод 3'!J324</f>
        <v>0</v>
      </c>
      <c r="J230" s="49">
        <f>'дод 3'!K54+'дод 3'!K313+'дод 3'!K324</f>
        <v>0</v>
      </c>
      <c r="K230" s="49">
        <f>'дод 3'!L54+'дод 3'!L313+'дод 3'!L324</f>
        <v>0</v>
      </c>
      <c r="L230" s="49">
        <f>'дод 3'!M54+'дод 3'!M313+'дод 3'!M324</f>
        <v>0</v>
      </c>
      <c r="M230" s="49">
        <f>'дод 3'!N54+'дод 3'!N313+'дод 3'!N324</f>
        <v>0</v>
      </c>
      <c r="N230" s="49">
        <f>'дод 3'!O54+'дод 3'!O313+'дод 3'!O324</f>
        <v>0</v>
      </c>
      <c r="O230" s="49">
        <f>'дод 3'!P54+'дод 3'!P313+'дод 3'!P324</f>
        <v>1698976</v>
      </c>
    </row>
    <row r="231" spans="1:15" s="53" customFormat="1" ht="48.75" customHeight="1" x14ac:dyDescent="0.25">
      <c r="A231" s="38">
        <v>7700</v>
      </c>
      <c r="B231" s="38"/>
      <c r="C231" s="90" t="s">
        <v>362</v>
      </c>
      <c r="D231" s="48">
        <f>D232</f>
        <v>0</v>
      </c>
      <c r="E231" s="48">
        <f t="shared" ref="E231:O231" si="50">E232</f>
        <v>0</v>
      </c>
      <c r="F231" s="48">
        <f t="shared" si="50"/>
        <v>0</v>
      </c>
      <c r="G231" s="48">
        <f t="shared" si="50"/>
        <v>0</v>
      </c>
      <c r="H231" s="48">
        <f t="shared" si="50"/>
        <v>0</v>
      </c>
      <c r="I231" s="48">
        <f t="shared" si="50"/>
        <v>630000</v>
      </c>
      <c r="J231" s="48">
        <f t="shared" si="50"/>
        <v>0</v>
      </c>
      <c r="K231" s="48">
        <f t="shared" si="50"/>
        <v>0</v>
      </c>
      <c r="L231" s="48">
        <f t="shared" si="50"/>
        <v>0</v>
      </c>
      <c r="M231" s="48">
        <f t="shared" si="50"/>
        <v>0</v>
      </c>
      <c r="N231" s="48">
        <f t="shared" si="50"/>
        <v>630000</v>
      </c>
      <c r="O231" s="48">
        <f t="shared" si="50"/>
        <v>630000</v>
      </c>
    </row>
    <row r="232" spans="1:15" s="54" customFormat="1" ht="46.5" customHeight="1" x14ac:dyDescent="0.25">
      <c r="A232" s="37">
        <v>7700</v>
      </c>
      <c r="B232" s="58" t="s">
        <v>93</v>
      </c>
      <c r="C232" s="60" t="s">
        <v>362</v>
      </c>
      <c r="D232" s="49">
        <f>'дод 3'!E121</f>
        <v>0</v>
      </c>
      <c r="E232" s="49">
        <f>'дод 3'!F121</f>
        <v>0</v>
      </c>
      <c r="F232" s="49">
        <f>'дод 3'!G121</f>
        <v>0</v>
      </c>
      <c r="G232" s="49">
        <f>'дод 3'!H121</f>
        <v>0</v>
      </c>
      <c r="H232" s="49">
        <f>'дод 3'!I121</f>
        <v>0</v>
      </c>
      <c r="I232" s="49">
        <f>'дод 3'!J121</f>
        <v>630000</v>
      </c>
      <c r="J232" s="49">
        <f>'дод 3'!K121</f>
        <v>0</v>
      </c>
      <c r="K232" s="49">
        <f>'дод 3'!L121</f>
        <v>0</v>
      </c>
      <c r="L232" s="49">
        <f>'дод 3'!M121</f>
        <v>0</v>
      </c>
      <c r="M232" s="49">
        <f>'дод 3'!N121</f>
        <v>0</v>
      </c>
      <c r="N232" s="49">
        <f>'дод 3'!O121</f>
        <v>630000</v>
      </c>
      <c r="O232" s="49">
        <f>'дод 3'!P121</f>
        <v>630000</v>
      </c>
    </row>
    <row r="233" spans="1:15" s="52" customFormat="1" ht="30.75" customHeight="1" x14ac:dyDescent="0.25">
      <c r="A233" s="38" t="s">
        <v>94</v>
      </c>
      <c r="B233" s="39"/>
      <c r="C233" s="2" t="s">
        <v>584</v>
      </c>
      <c r="D233" s="48">
        <f>D235+D240+D242+D245+D247+D248</f>
        <v>22955673.32</v>
      </c>
      <c r="E233" s="48">
        <f t="shared" ref="E233:O233" si="51">E235+E240+E242+E245+E247+E248</f>
        <v>5198851.9800000004</v>
      </c>
      <c r="F233" s="48">
        <f t="shared" si="51"/>
        <v>1941308</v>
      </c>
      <c r="G233" s="48">
        <f t="shared" si="51"/>
        <v>372797</v>
      </c>
      <c r="H233" s="48">
        <f t="shared" si="51"/>
        <v>0</v>
      </c>
      <c r="I233" s="48">
        <f t="shared" si="51"/>
        <v>5730564.6600000001</v>
      </c>
      <c r="J233" s="48">
        <f t="shared" si="51"/>
        <v>1398264.66</v>
      </c>
      <c r="K233" s="48">
        <f t="shared" si="51"/>
        <v>2982400</v>
      </c>
      <c r="L233" s="48">
        <f t="shared" si="51"/>
        <v>0</v>
      </c>
      <c r="M233" s="48">
        <f t="shared" si="51"/>
        <v>1400</v>
      </c>
      <c r="N233" s="48">
        <f t="shared" si="51"/>
        <v>2748164.66</v>
      </c>
      <c r="O233" s="48">
        <f t="shared" si="51"/>
        <v>28686237.98</v>
      </c>
    </row>
    <row r="234" spans="1:15" s="53" customFormat="1" ht="54.75" customHeight="1" x14ac:dyDescent="0.25">
      <c r="A234" s="70"/>
      <c r="B234" s="73"/>
      <c r="C234" s="74" t="s">
        <v>382</v>
      </c>
      <c r="D234" s="75">
        <f>D236</f>
        <v>588815</v>
      </c>
      <c r="E234" s="75">
        <f t="shared" ref="E234:O234" si="52">E236</f>
        <v>588815</v>
      </c>
      <c r="F234" s="75">
        <f t="shared" si="52"/>
        <v>482635</v>
      </c>
      <c r="G234" s="75">
        <f t="shared" si="52"/>
        <v>0</v>
      </c>
      <c r="H234" s="75">
        <f t="shared" si="52"/>
        <v>0</v>
      </c>
      <c r="I234" s="75">
        <f t="shared" si="52"/>
        <v>0</v>
      </c>
      <c r="J234" s="75">
        <f t="shared" si="52"/>
        <v>0</v>
      </c>
      <c r="K234" s="75">
        <f t="shared" si="52"/>
        <v>0</v>
      </c>
      <c r="L234" s="75">
        <f t="shared" si="52"/>
        <v>0</v>
      </c>
      <c r="M234" s="75">
        <f t="shared" si="52"/>
        <v>0</v>
      </c>
      <c r="N234" s="75">
        <f t="shared" si="52"/>
        <v>0</v>
      </c>
      <c r="O234" s="75">
        <f t="shared" si="52"/>
        <v>588815</v>
      </c>
    </row>
    <row r="235" spans="1:15" s="52" customFormat="1" ht="51.75" customHeight="1" x14ac:dyDescent="0.25">
      <c r="A235" s="38" t="s">
        <v>96</v>
      </c>
      <c r="B235" s="39"/>
      <c r="C235" s="2" t="s">
        <v>520</v>
      </c>
      <c r="D235" s="48">
        <f t="shared" ref="D235:O235" si="53">D237+D238</f>
        <v>3496856.98</v>
      </c>
      <c r="E235" s="48">
        <f t="shared" si="53"/>
        <v>3496856.98</v>
      </c>
      <c r="F235" s="48">
        <f t="shared" si="53"/>
        <v>1941308</v>
      </c>
      <c r="G235" s="48">
        <f t="shared" si="53"/>
        <v>80055</v>
      </c>
      <c r="H235" s="48">
        <f t="shared" si="53"/>
        <v>0</v>
      </c>
      <c r="I235" s="48">
        <f t="shared" si="53"/>
        <v>1403964.66</v>
      </c>
      <c r="J235" s="48">
        <f t="shared" si="53"/>
        <v>1398264.66</v>
      </c>
      <c r="K235" s="48">
        <f t="shared" si="53"/>
        <v>5700</v>
      </c>
      <c r="L235" s="48">
        <f t="shared" si="53"/>
        <v>0</v>
      </c>
      <c r="M235" s="48">
        <f t="shared" si="53"/>
        <v>1400</v>
      </c>
      <c r="N235" s="48">
        <f t="shared" si="53"/>
        <v>1398264.66</v>
      </c>
      <c r="O235" s="48">
        <f t="shared" si="53"/>
        <v>4900821.6400000006</v>
      </c>
    </row>
    <row r="236" spans="1:15" s="53" customFormat="1" ht="53.25" customHeight="1" x14ac:dyDescent="0.25">
      <c r="A236" s="70"/>
      <c r="B236" s="73"/>
      <c r="C236" s="76" t="str">
        <f>C239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6" s="75">
        <f>D239</f>
        <v>588815</v>
      </c>
      <c r="E236" s="75">
        <f t="shared" ref="E236:O236" si="54">E239</f>
        <v>588815</v>
      </c>
      <c r="F236" s="75">
        <f t="shared" si="54"/>
        <v>482635</v>
      </c>
      <c r="G236" s="75">
        <f t="shared" si="54"/>
        <v>0</v>
      </c>
      <c r="H236" s="75">
        <f t="shared" si="54"/>
        <v>0</v>
      </c>
      <c r="I236" s="75">
        <f t="shared" si="54"/>
        <v>0</v>
      </c>
      <c r="J236" s="75">
        <f t="shared" si="54"/>
        <v>0</v>
      </c>
      <c r="K236" s="75">
        <f t="shared" si="54"/>
        <v>0</v>
      </c>
      <c r="L236" s="75">
        <f t="shared" si="54"/>
        <v>0</v>
      </c>
      <c r="M236" s="75">
        <f t="shared" si="54"/>
        <v>0</v>
      </c>
      <c r="N236" s="75">
        <f t="shared" si="54"/>
        <v>0</v>
      </c>
      <c r="O236" s="75">
        <f t="shared" si="54"/>
        <v>588815</v>
      </c>
    </row>
    <row r="237" spans="1:15" s="52" customFormat="1" ht="36.75" customHeight="1" x14ac:dyDescent="0.25">
      <c r="A237" s="40" t="s">
        <v>7</v>
      </c>
      <c r="B237" s="40" t="s">
        <v>89</v>
      </c>
      <c r="C237" s="3" t="s">
        <v>297</v>
      </c>
      <c r="D237" s="49">
        <f>'дод 3'!E55+'дод 3'!E266</f>
        <v>1005771.98</v>
      </c>
      <c r="E237" s="49">
        <f>'дод 3'!F55+'дод 3'!F266</f>
        <v>1005771.98</v>
      </c>
      <c r="F237" s="49">
        <f>'дод 3'!G55+'дод 3'!G266</f>
        <v>0</v>
      </c>
      <c r="G237" s="49">
        <f>'дод 3'!H55+'дод 3'!H266</f>
        <v>6350</v>
      </c>
      <c r="H237" s="49">
        <f>'дод 3'!I55+'дод 3'!I266</f>
        <v>0</v>
      </c>
      <c r="I237" s="49">
        <f>'дод 3'!J55+'дод 3'!J266</f>
        <v>1398264.66</v>
      </c>
      <c r="J237" s="49">
        <f>'дод 3'!K55+'дод 3'!K266</f>
        <v>1398264.66</v>
      </c>
      <c r="K237" s="49">
        <f>'дод 3'!L55+'дод 3'!L266</f>
        <v>0</v>
      </c>
      <c r="L237" s="49">
        <f>'дод 3'!M55+'дод 3'!M266</f>
        <v>0</v>
      </c>
      <c r="M237" s="49">
        <f>'дод 3'!N55+'дод 3'!N266</f>
        <v>0</v>
      </c>
      <c r="N237" s="49">
        <f>'дод 3'!O55+'дод 3'!O266</f>
        <v>1398264.66</v>
      </c>
      <c r="O237" s="49">
        <f>'дод 3'!P55+'дод 3'!P266</f>
        <v>2404036.64</v>
      </c>
    </row>
    <row r="238" spans="1:15" ht="27" customHeight="1" x14ac:dyDescent="0.25">
      <c r="A238" s="37" t="s">
        <v>148</v>
      </c>
      <c r="B238" s="42" t="s">
        <v>89</v>
      </c>
      <c r="C238" s="3" t="s">
        <v>518</v>
      </c>
      <c r="D238" s="49">
        <f>'дод 3'!E56</f>
        <v>2491085</v>
      </c>
      <c r="E238" s="49">
        <f>'дод 3'!F56</f>
        <v>2491085</v>
      </c>
      <c r="F238" s="49">
        <f>'дод 3'!G56</f>
        <v>1941308</v>
      </c>
      <c r="G238" s="49">
        <f>'дод 3'!H56</f>
        <v>73705</v>
      </c>
      <c r="H238" s="49">
        <f>'дод 3'!I56</f>
        <v>0</v>
      </c>
      <c r="I238" s="49">
        <f>'дод 3'!J56</f>
        <v>5700</v>
      </c>
      <c r="J238" s="49">
        <f>'дод 3'!K56</f>
        <v>0</v>
      </c>
      <c r="K238" s="49">
        <f>'дод 3'!L56</f>
        <v>5700</v>
      </c>
      <c r="L238" s="49">
        <f>'дод 3'!M56</f>
        <v>0</v>
      </c>
      <c r="M238" s="49">
        <f>'дод 3'!N56</f>
        <v>1400</v>
      </c>
      <c r="N238" s="49">
        <f>'дод 3'!O56</f>
        <v>0</v>
      </c>
      <c r="O238" s="49">
        <f>'дод 3'!P56</f>
        <v>2496785</v>
      </c>
    </row>
    <row r="239" spans="1:15" s="54" customFormat="1" ht="47.25" x14ac:dyDescent="0.25">
      <c r="A239" s="77"/>
      <c r="B239" s="87"/>
      <c r="C239" s="86" t="s">
        <v>382</v>
      </c>
      <c r="D239" s="79">
        <f>'дод 3'!E57</f>
        <v>588815</v>
      </c>
      <c r="E239" s="79">
        <f>'дод 3'!F57</f>
        <v>588815</v>
      </c>
      <c r="F239" s="79">
        <f>'дод 3'!G57</f>
        <v>482635</v>
      </c>
      <c r="G239" s="79">
        <f>'дод 3'!H57</f>
        <v>0</v>
      </c>
      <c r="H239" s="79">
        <f>'дод 3'!I57</f>
        <v>0</v>
      </c>
      <c r="I239" s="79">
        <f>'дод 3'!J57</f>
        <v>0</v>
      </c>
      <c r="J239" s="79">
        <f>'дод 3'!K57</f>
        <v>0</v>
      </c>
      <c r="K239" s="79">
        <f>'дод 3'!L57</f>
        <v>0</v>
      </c>
      <c r="L239" s="79">
        <f>'дод 3'!M57</f>
        <v>0</v>
      </c>
      <c r="M239" s="79">
        <f>'дод 3'!N57</f>
        <v>0</v>
      </c>
      <c r="N239" s="79">
        <f>'дод 3'!O57</f>
        <v>0</v>
      </c>
      <c r="O239" s="79">
        <f>'дод 3'!P57</f>
        <v>588815</v>
      </c>
    </row>
    <row r="240" spans="1:15" s="52" customFormat="1" ht="23.25" customHeight="1" x14ac:dyDescent="0.25">
      <c r="A240" s="38" t="s">
        <v>250</v>
      </c>
      <c r="B240" s="38"/>
      <c r="C240" s="12" t="s">
        <v>251</v>
      </c>
      <c r="D240" s="48">
        <f t="shared" ref="D240:O240" si="55">D241</f>
        <v>462056</v>
      </c>
      <c r="E240" s="48">
        <f t="shared" si="55"/>
        <v>462056</v>
      </c>
      <c r="F240" s="48">
        <f t="shared" si="55"/>
        <v>0</v>
      </c>
      <c r="G240" s="48">
        <f t="shared" si="55"/>
        <v>292742</v>
      </c>
      <c r="H240" s="48">
        <f t="shared" si="55"/>
        <v>0</v>
      </c>
      <c r="I240" s="48">
        <f t="shared" si="55"/>
        <v>0</v>
      </c>
      <c r="J240" s="48">
        <f t="shared" si="55"/>
        <v>0</v>
      </c>
      <c r="K240" s="48">
        <f t="shared" si="55"/>
        <v>0</v>
      </c>
      <c r="L240" s="48">
        <f t="shared" si="55"/>
        <v>0</v>
      </c>
      <c r="M240" s="48">
        <f t="shared" si="55"/>
        <v>0</v>
      </c>
      <c r="N240" s="48">
        <f t="shared" si="55"/>
        <v>0</v>
      </c>
      <c r="O240" s="48">
        <f t="shared" si="55"/>
        <v>462056</v>
      </c>
    </row>
    <row r="241" spans="1:15" ht="22.5" customHeight="1" x14ac:dyDescent="0.25">
      <c r="A241" s="37" t="s">
        <v>244</v>
      </c>
      <c r="B241" s="42" t="s">
        <v>245</v>
      </c>
      <c r="C241" s="3" t="s">
        <v>246</v>
      </c>
      <c r="D241" s="49">
        <f>'дод 3'!E58+'дод 3'!E267</f>
        <v>462056</v>
      </c>
      <c r="E241" s="49">
        <f>'дод 3'!F58+'дод 3'!F267</f>
        <v>462056</v>
      </c>
      <c r="F241" s="49">
        <f>'дод 3'!G58+'дод 3'!G267</f>
        <v>0</v>
      </c>
      <c r="G241" s="49">
        <f>'дод 3'!H58+'дод 3'!H267</f>
        <v>292742</v>
      </c>
      <c r="H241" s="49">
        <f>'дод 3'!I58+'дод 3'!I267</f>
        <v>0</v>
      </c>
      <c r="I241" s="49">
        <f>'дод 3'!J58+'дод 3'!J267</f>
        <v>0</v>
      </c>
      <c r="J241" s="49">
        <f>'дод 3'!K58+'дод 3'!K267</f>
        <v>0</v>
      </c>
      <c r="K241" s="49">
        <f>'дод 3'!L58+'дод 3'!L267</f>
        <v>0</v>
      </c>
      <c r="L241" s="49">
        <f>'дод 3'!M58+'дод 3'!M267</f>
        <v>0</v>
      </c>
      <c r="M241" s="49">
        <f>'дод 3'!N58+'дод 3'!N267</f>
        <v>0</v>
      </c>
      <c r="N241" s="49">
        <f>'дод 3'!O58+'дод 3'!O267</f>
        <v>0</v>
      </c>
      <c r="O241" s="49">
        <f>'дод 3'!P58+'дод 3'!P267</f>
        <v>462056</v>
      </c>
    </row>
    <row r="242" spans="1:15" s="52" customFormat="1" ht="22.5" customHeight="1" x14ac:dyDescent="0.25">
      <c r="A242" s="38" t="s">
        <v>6</v>
      </c>
      <c r="B242" s="39"/>
      <c r="C242" s="2" t="s">
        <v>8</v>
      </c>
      <c r="D242" s="48">
        <f t="shared" ref="D242:O242" si="56">D244+D243</f>
        <v>75000</v>
      </c>
      <c r="E242" s="48">
        <f t="shared" si="56"/>
        <v>75000</v>
      </c>
      <c r="F242" s="48">
        <f t="shared" si="56"/>
        <v>0</v>
      </c>
      <c r="G242" s="48">
        <f t="shared" si="56"/>
        <v>0</v>
      </c>
      <c r="H242" s="48">
        <f t="shared" si="56"/>
        <v>0</v>
      </c>
      <c r="I242" s="48">
        <f t="shared" si="56"/>
        <v>4326600</v>
      </c>
      <c r="J242" s="48">
        <f t="shared" si="56"/>
        <v>0</v>
      </c>
      <c r="K242" s="48">
        <f t="shared" si="56"/>
        <v>2976700</v>
      </c>
      <c r="L242" s="48">
        <f t="shared" si="56"/>
        <v>0</v>
      </c>
      <c r="M242" s="48">
        <f t="shared" si="56"/>
        <v>0</v>
      </c>
      <c r="N242" s="48">
        <f t="shared" si="56"/>
        <v>1349900</v>
      </c>
      <c r="O242" s="48">
        <f t="shared" si="56"/>
        <v>4401600</v>
      </c>
    </row>
    <row r="243" spans="1:15" s="52" customFormat="1" ht="33.75" customHeight="1" x14ac:dyDescent="0.25">
      <c r="A243" s="37">
        <v>8330</v>
      </c>
      <c r="B243" s="58" t="s">
        <v>92</v>
      </c>
      <c r="C243" s="3" t="s">
        <v>348</v>
      </c>
      <c r="D243" s="49">
        <f>'дод 3'!E325</f>
        <v>75000</v>
      </c>
      <c r="E243" s="49">
        <f>'дод 3'!F325</f>
        <v>75000</v>
      </c>
      <c r="F243" s="49">
        <f>'дод 3'!G325</f>
        <v>0</v>
      </c>
      <c r="G243" s="49">
        <f>'дод 3'!H325</f>
        <v>0</v>
      </c>
      <c r="H243" s="49">
        <f>'дод 3'!I325</f>
        <v>0</v>
      </c>
      <c r="I243" s="49">
        <f>'дод 3'!J325</f>
        <v>0</v>
      </c>
      <c r="J243" s="49">
        <f>'дод 3'!K325</f>
        <v>0</v>
      </c>
      <c r="K243" s="49">
        <f>'дод 3'!L325</f>
        <v>0</v>
      </c>
      <c r="L243" s="49">
        <f>'дод 3'!M325</f>
        <v>0</v>
      </c>
      <c r="M243" s="49">
        <f>'дод 3'!N325</f>
        <v>0</v>
      </c>
      <c r="N243" s="49">
        <f>'дод 3'!O325</f>
        <v>0</v>
      </c>
      <c r="O243" s="49">
        <f>'дод 3'!P325</f>
        <v>75000</v>
      </c>
    </row>
    <row r="244" spans="1:15" s="52" customFormat="1" ht="19.5" customHeight="1" x14ac:dyDescent="0.25">
      <c r="A244" s="37" t="s">
        <v>9</v>
      </c>
      <c r="B244" s="37" t="s">
        <v>92</v>
      </c>
      <c r="C244" s="3" t="s">
        <v>10</v>
      </c>
      <c r="D244" s="49">
        <f>'дод 3'!E59+'дод 3'!E122+'дод 3'!E268+'дод 3'!E326</f>
        <v>0</v>
      </c>
      <c r="E244" s="49">
        <f>'дод 3'!F59+'дод 3'!F122+'дод 3'!F268+'дод 3'!F326</f>
        <v>0</v>
      </c>
      <c r="F244" s="49">
        <f>'дод 3'!G59+'дод 3'!G122+'дод 3'!G268+'дод 3'!G326</f>
        <v>0</v>
      </c>
      <c r="G244" s="49">
        <f>'дод 3'!H59+'дод 3'!H122+'дод 3'!H268+'дод 3'!H326</f>
        <v>0</v>
      </c>
      <c r="H244" s="49">
        <f>'дод 3'!I59+'дод 3'!I122+'дод 3'!I268+'дод 3'!I326</f>
        <v>0</v>
      </c>
      <c r="I244" s="49">
        <f>'дод 3'!J59+'дод 3'!J122+'дод 3'!J268+'дод 3'!J326</f>
        <v>4326600</v>
      </c>
      <c r="J244" s="49">
        <f>'дод 3'!K59+'дод 3'!K122+'дод 3'!K268+'дод 3'!K326</f>
        <v>0</v>
      </c>
      <c r="K244" s="49">
        <f>'дод 3'!L59+'дод 3'!L122+'дод 3'!L268+'дод 3'!L326</f>
        <v>2976700</v>
      </c>
      <c r="L244" s="49">
        <f>'дод 3'!M59+'дод 3'!M122+'дод 3'!M268+'дод 3'!M326</f>
        <v>0</v>
      </c>
      <c r="M244" s="49">
        <f>'дод 3'!N59+'дод 3'!N122+'дод 3'!N268+'дод 3'!N326</f>
        <v>0</v>
      </c>
      <c r="N244" s="49">
        <f>'дод 3'!O59+'дод 3'!O122+'дод 3'!O268+'дод 3'!O326</f>
        <v>1349900</v>
      </c>
      <c r="O244" s="49">
        <f>'дод 3'!P59+'дод 3'!P122+'дод 3'!P268+'дод 3'!P326</f>
        <v>4326600</v>
      </c>
    </row>
    <row r="245" spans="1:15" s="52" customFormat="1" ht="20.25" customHeight="1" x14ac:dyDescent="0.25">
      <c r="A245" s="38" t="s">
        <v>133</v>
      </c>
      <c r="B245" s="39"/>
      <c r="C245" s="2" t="s">
        <v>76</v>
      </c>
      <c r="D245" s="48">
        <f t="shared" ref="D245:O245" si="57">D246</f>
        <v>78700</v>
      </c>
      <c r="E245" s="48">
        <f t="shared" si="57"/>
        <v>78700</v>
      </c>
      <c r="F245" s="48">
        <f t="shared" si="57"/>
        <v>0</v>
      </c>
      <c r="G245" s="48">
        <f t="shared" si="57"/>
        <v>0</v>
      </c>
      <c r="H245" s="48">
        <f t="shared" si="57"/>
        <v>0</v>
      </c>
      <c r="I245" s="48">
        <f t="shared" si="57"/>
        <v>0</v>
      </c>
      <c r="J245" s="48">
        <f t="shared" si="57"/>
        <v>0</v>
      </c>
      <c r="K245" s="48">
        <f t="shared" si="57"/>
        <v>0</v>
      </c>
      <c r="L245" s="48">
        <f t="shared" si="57"/>
        <v>0</v>
      </c>
      <c r="M245" s="48">
        <f t="shared" si="57"/>
        <v>0</v>
      </c>
      <c r="N245" s="48">
        <f t="shared" si="57"/>
        <v>0</v>
      </c>
      <c r="O245" s="48">
        <f t="shared" si="57"/>
        <v>78700</v>
      </c>
    </row>
    <row r="246" spans="1:15" s="52" customFormat="1" ht="21" customHeight="1" x14ac:dyDescent="0.25">
      <c r="A246" s="37" t="s">
        <v>255</v>
      </c>
      <c r="B246" s="42" t="s">
        <v>77</v>
      </c>
      <c r="C246" s="3" t="s">
        <v>256</v>
      </c>
      <c r="D246" s="49">
        <f>'дод 3'!E60</f>
        <v>78700</v>
      </c>
      <c r="E246" s="49">
        <f>'дод 3'!F60</f>
        <v>78700</v>
      </c>
      <c r="F246" s="49">
        <f>'дод 3'!G60</f>
        <v>0</v>
      </c>
      <c r="G246" s="49">
        <f>'дод 3'!H60</f>
        <v>0</v>
      </c>
      <c r="H246" s="49">
        <f>'дод 3'!I60</f>
        <v>0</v>
      </c>
      <c r="I246" s="49">
        <f>'дод 3'!J60</f>
        <v>0</v>
      </c>
      <c r="J246" s="49">
        <f>'дод 3'!K60</f>
        <v>0</v>
      </c>
      <c r="K246" s="49">
        <f>'дод 3'!L60</f>
        <v>0</v>
      </c>
      <c r="L246" s="49">
        <f>'дод 3'!M60</f>
        <v>0</v>
      </c>
      <c r="M246" s="49">
        <f>'дод 3'!N60</f>
        <v>0</v>
      </c>
      <c r="N246" s="49">
        <f>'дод 3'!O60</f>
        <v>0</v>
      </c>
      <c r="O246" s="49">
        <f>'дод 3'!P60</f>
        <v>78700</v>
      </c>
    </row>
    <row r="247" spans="1:15" s="52" customFormat="1" ht="21" customHeight="1" x14ac:dyDescent="0.25">
      <c r="A247" s="38" t="s">
        <v>95</v>
      </c>
      <c r="B247" s="38" t="s">
        <v>90</v>
      </c>
      <c r="C247" s="2" t="s">
        <v>11</v>
      </c>
      <c r="D247" s="48">
        <f>'дод 3'!E327</f>
        <v>1086239</v>
      </c>
      <c r="E247" s="48">
        <f>'дод 3'!F327</f>
        <v>1086239</v>
      </c>
      <c r="F247" s="48">
        <f>'дод 3'!G327</f>
        <v>0</v>
      </c>
      <c r="G247" s="48">
        <f>'дод 3'!H327</f>
        <v>0</v>
      </c>
      <c r="H247" s="48">
        <f>'дод 3'!I327</f>
        <v>0</v>
      </c>
      <c r="I247" s="48">
        <f>'дод 3'!J327</f>
        <v>0</v>
      </c>
      <c r="J247" s="48">
        <f>'дод 3'!K327</f>
        <v>0</v>
      </c>
      <c r="K247" s="48">
        <f>'дод 3'!L327</f>
        <v>0</v>
      </c>
      <c r="L247" s="48">
        <f>'дод 3'!M327</f>
        <v>0</v>
      </c>
      <c r="M247" s="48">
        <f>'дод 3'!N327</f>
        <v>0</v>
      </c>
      <c r="N247" s="48">
        <f>'дод 3'!O327</f>
        <v>0</v>
      </c>
      <c r="O247" s="48">
        <f>'дод 3'!P327</f>
        <v>1086239</v>
      </c>
    </row>
    <row r="248" spans="1:15" s="52" customFormat="1" ht="25.5" customHeight="1" x14ac:dyDescent="0.25">
      <c r="A248" s="38">
        <v>8710</v>
      </c>
      <c r="B248" s="38" t="s">
        <v>93</v>
      </c>
      <c r="C248" s="2" t="s">
        <v>517</v>
      </c>
      <c r="D248" s="48">
        <f>'дод 3'!E328</f>
        <v>17756821.34</v>
      </c>
      <c r="E248" s="48">
        <f>'дод 3'!F328</f>
        <v>0</v>
      </c>
      <c r="F248" s="48">
        <f>'дод 3'!G328</f>
        <v>0</v>
      </c>
      <c r="G248" s="48">
        <f>'дод 3'!H328</f>
        <v>0</v>
      </c>
      <c r="H248" s="48">
        <f>'дод 3'!I328</f>
        <v>0</v>
      </c>
      <c r="I248" s="48">
        <f>'дод 3'!J328</f>
        <v>0</v>
      </c>
      <c r="J248" s="48">
        <f>'дод 3'!K328</f>
        <v>0</v>
      </c>
      <c r="K248" s="48">
        <f>'дод 3'!L328</f>
        <v>0</v>
      </c>
      <c r="L248" s="48">
        <f>'дод 3'!M328</f>
        <v>0</v>
      </c>
      <c r="M248" s="48">
        <f>'дод 3'!N328</f>
        <v>0</v>
      </c>
      <c r="N248" s="48">
        <f>'дод 3'!O328</f>
        <v>0</v>
      </c>
      <c r="O248" s="48">
        <f>'дод 3'!P328</f>
        <v>17756821.34</v>
      </c>
    </row>
    <row r="249" spans="1:15" s="52" customFormat="1" ht="24" customHeight="1" x14ac:dyDescent="0.25">
      <c r="A249" s="38" t="s">
        <v>12</v>
      </c>
      <c r="B249" s="38"/>
      <c r="C249" s="2" t="s">
        <v>544</v>
      </c>
      <c r="D249" s="48">
        <f>D251+D253+D257+D261</f>
        <v>190102213</v>
      </c>
      <c r="E249" s="48">
        <f t="shared" ref="E249:O249" si="58">E251+E253+E257+E261</f>
        <v>190102213</v>
      </c>
      <c r="F249" s="48">
        <f t="shared" si="58"/>
        <v>0</v>
      </c>
      <c r="G249" s="48">
        <f t="shared" si="58"/>
        <v>0</v>
      </c>
      <c r="H249" s="48">
        <f t="shared" si="58"/>
        <v>0</v>
      </c>
      <c r="I249" s="48">
        <f t="shared" si="58"/>
        <v>16837739.43</v>
      </c>
      <c r="J249" s="48">
        <f t="shared" si="58"/>
        <v>16837739.43</v>
      </c>
      <c r="K249" s="48">
        <f t="shared" si="58"/>
        <v>0</v>
      </c>
      <c r="L249" s="48">
        <f t="shared" si="58"/>
        <v>0</v>
      </c>
      <c r="M249" s="48">
        <f t="shared" si="58"/>
        <v>0</v>
      </c>
      <c r="N249" s="48">
        <f t="shared" si="58"/>
        <v>16837739.43</v>
      </c>
      <c r="O249" s="48">
        <f t="shared" si="58"/>
        <v>206939952.43000001</v>
      </c>
    </row>
    <row r="250" spans="1:15" s="52" customFormat="1" ht="36.75" customHeight="1" x14ac:dyDescent="0.25">
      <c r="A250" s="38"/>
      <c r="B250" s="38"/>
      <c r="C250" s="76" t="s">
        <v>540</v>
      </c>
      <c r="D250" s="75">
        <f>D254</f>
        <v>693000</v>
      </c>
      <c r="E250" s="75">
        <f t="shared" ref="E250:O250" si="59">E254</f>
        <v>693000</v>
      </c>
      <c r="F250" s="75">
        <f t="shared" si="59"/>
        <v>0</v>
      </c>
      <c r="G250" s="75">
        <f t="shared" si="59"/>
        <v>0</v>
      </c>
      <c r="H250" s="75">
        <f t="shared" si="59"/>
        <v>0</v>
      </c>
      <c r="I250" s="75">
        <f t="shared" si="59"/>
        <v>3307000</v>
      </c>
      <c r="J250" s="75">
        <f t="shared" si="59"/>
        <v>3307000</v>
      </c>
      <c r="K250" s="75">
        <f t="shared" si="59"/>
        <v>0</v>
      </c>
      <c r="L250" s="75">
        <f t="shared" si="59"/>
        <v>0</v>
      </c>
      <c r="M250" s="75">
        <f t="shared" si="59"/>
        <v>0</v>
      </c>
      <c r="N250" s="75">
        <f t="shared" si="59"/>
        <v>3307000</v>
      </c>
      <c r="O250" s="75">
        <f t="shared" si="59"/>
        <v>4000000</v>
      </c>
    </row>
    <row r="251" spans="1:15" s="52" customFormat="1" ht="21.75" customHeight="1" x14ac:dyDescent="0.25">
      <c r="A251" s="38" t="s">
        <v>253</v>
      </c>
      <c r="B251" s="38"/>
      <c r="C251" s="2" t="s">
        <v>298</v>
      </c>
      <c r="D251" s="48">
        <f t="shared" ref="D251:O251" si="60">D252</f>
        <v>100870700</v>
      </c>
      <c r="E251" s="48">
        <f t="shared" si="60"/>
        <v>100870700</v>
      </c>
      <c r="F251" s="48">
        <f t="shared" si="60"/>
        <v>0</v>
      </c>
      <c r="G251" s="48">
        <f t="shared" si="60"/>
        <v>0</v>
      </c>
      <c r="H251" s="48">
        <f t="shared" si="60"/>
        <v>0</v>
      </c>
      <c r="I251" s="48">
        <f t="shared" si="60"/>
        <v>0</v>
      </c>
      <c r="J251" s="48">
        <f t="shared" si="60"/>
        <v>0</v>
      </c>
      <c r="K251" s="48">
        <f t="shared" si="60"/>
        <v>0</v>
      </c>
      <c r="L251" s="48">
        <f t="shared" si="60"/>
        <v>0</v>
      </c>
      <c r="M251" s="48">
        <f t="shared" si="60"/>
        <v>0</v>
      </c>
      <c r="N251" s="48">
        <f t="shared" si="60"/>
        <v>0</v>
      </c>
      <c r="O251" s="48">
        <f t="shared" si="60"/>
        <v>100870700</v>
      </c>
    </row>
    <row r="252" spans="1:15" s="52" customFormat="1" ht="21" customHeight="1" x14ac:dyDescent="0.25">
      <c r="A252" s="37" t="s">
        <v>91</v>
      </c>
      <c r="B252" s="42" t="s">
        <v>45</v>
      </c>
      <c r="C252" s="3" t="s">
        <v>110</v>
      </c>
      <c r="D252" s="49">
        <f>'дод 3'!E329</f>
        <v>100870700</v>
      </c>
      <c r="E252" s="49">
        <f>'дод 3'!F329</f>
        <v>100870700</v>
      </c>
      <c r="F252" s="49">
        <f>'дод 3'!G329</f>
        <v>0</v>
      </c>
      <c r="G252" s="49">
        <f>'дод 3'!H329</f>
        <v>0</v>
      </c>
      <c r="H252" s="49">
        <f>'дод 3'!I329</f>
        <v>0</v>
      </c>
      <c r="I252" s="49">
        <f>'дод 3'!J329</f>
        <v>0</v>
      </c>
      <c r="J252" s="49">
        <f>'дод 3'!K329</f>
        <v>0</v>
      </c>
      <c r="K252" s="49">
        <f>'дод 3'!L329</f>
        <v>0</v>
      </c>
      <c r="L252" s="49">
        <f>'дод 3'!M329</f>
        <v>0</v>
      </c>
      <c r="M252" s="49">
        <f>'дод 3'!N329</f>
        <v>0</v>
      </c>
      <c r="N252" s="49">
        <f>'дод 3'!O329</f>
        <v>0</v>
      </c>
      <c r="O252" s="49">
        <f>'дод 3'!P329</f>
        <v>100870700</v>
      </c>
    </row>
    <row r="253" spans="1:15" s="52" customFormat="1" ht="69" customHeight="1" x14ac:dyDescent="0.25">
      <c r="A253" s="38">
        <v>9300</v>
      </c>
      <c r="B253" s="105"/>
      <c r="C253" s="2" t="s">
        <v>537</v>
      </c>
      <c r="D253" s="48">
        <f>D255</f>
        <v>693000</v>
      </c>
      <c r="E253" s="48">
        <f t="shared" ref="E253:O253" si="61">E255</f>
        <v>693000</v>
      </c>
      <c r="F253" s="48">
        <f t="shared" si="61"/>
        <v>0</v>
      </c>
      <c r="G253" s="48">
        <f t="shared" si="61"/>
        <v>0</v>
      </c>
      <c r="H253" s="48">
        <f t="shared" si="61"/>
        <v>0</v>
      </c>
      <c r="I253" s="48">
        <f t="shared" si="61"/>
        <v>3307000</v>
      </c>
      <c r="J253" s="48">
        <f t="shared" si="61"/>
        <v>3307000</v>
      </c>
      <c r="K253" s="48">
        <f t="shared" si="61"/>
        <v>0</v>
      </c>
      <c r="L253" s="48">
        <f t="shared" si="61"/>
        <v>0</v>
      </c>
      <c r="M253" s="48">
        <f t="shared" si="61"/>
        <v>0</v>
      </c>
      <c r="N253" s="48">
        <f t="shared" si="61"/>
        <v>3307000</v>
      </c>
      <c r="O253" s="48">
        <f t="shared" si="61"/>
        <v>4000000</v>
      </c>
    </row>
    <row r="254" spans="1:15" s="52" customFormat="1" ht="36.75" customHeight="1" x14ac:dyDescent="0.25">
      <c r="A254" s="38"/>
      <c r="B254" s="102"/>
      <c r="C254" s="76" t="s">
        <v>540</v>
      </c>
      <c r="D254" s="75">
        <f>D256</f>
        <v>693000</v>
      </c>
      <c r="E254" s="75">
        <f t="shared" ref="E254:O254" si="62">E256</f>
        <v>693000</v>
      </c>
      <c r="F254" s="75">
        <f t="shared" si="62"/>
        <v>0</v>
      </c>
      <c r="G254" s="75">
        <f t="shared" si="62"/>
        <v>0</v>
      </c>
      <c r="H254" s="75">
        <f t="shared" si="62"/>
        <v>0</v>
      </c>
      <c r="I254" s="75">
        <f t="shared" si="62"/>
        <v>3307000</v>
      </c>
      <c r="J254" s="75">
        <f t="shared" si="62"/>
        <v>3307000</v>
      </c>
      <c r="K254" s="75">
        <f t="shared" si="62"/>
        <v>0</v>
      </c>
      <c r="L254" s="75">
        <f t="shared" si="62"/>
        <v>0</v>
      </c>
      <c r="M254" s="75">
        <f t="shared" si="62"/>
        <v>0</v>
      </c>
      <c r="N254" s="75">
        <f t="shared" si="62"/>
        <v>3307000</v>
      </c>
      <c r="O254" s="75">
        <f t="shared" si="62"/>
        <v>4000000</v>
      </c>
    </row>
    <row r="255" spans="1:15" s="52" customFormat="1" ht="53.25" customHeight="1" x14ac:dyDescent="0.25">
      <c r="A255" s="37">
        <v>9320</v>
      </c>
      <c r="B255" s="102" t="s">
        <v>45</v>
      </c>
      <c r="C255" s="6" t="s">
        <v>538</v>
      </c>
      <c r="D255" s="49">
        <f>'дод 3'!E123</f>
        <v>693000</v>
      </c>
      <c r="E255" s="49">
        <f>'дод 3'!F123</f>
        <v>693000</v>
      </c>
      <c r="F255" s="49">
        <f>'дод 3'!G123</f>
        <v>0</v>
      </c>
      <c r="G255" s="49">
        <f>'дод 3'!H123</f>
        <v>0</v>
      </c>
      <c r="H255" s="49">
        <f>'дод 3'!I123</f>
        <v>0</v>
      </c>
      <c r="I255" s="49">
        <f>'дод 3'!J123</f>
        <v>3307000</v>
      </c>
      <c r="J255" s="49">
        <f>'дод 3'!K123</f>
        <v>3307000</v>
      </c>
      <c r="K255" s="49">
        <f>'дод 3'!L123</f>
        <v>0</v>
      </c>
      <c r="L255" s="49">
        <f>'дод 3'!M123</f>
        <v>0</v>
      </c>
      <c r="M255" s="49">
        <f>'дод 3'!N123</f>
        <v>0</v>
      </c>
      <c r="N255" s="49">
        <f>'дод 3'!O123</f>
        <v>3307000</v>
      </c>
      <c r="O255" s="49">
        <f>'дод 3'!P123</f>
        <v>4000000</v>
      </c>
    </row>
    <row r="256" spans="1:15" s="53" customFormat="1" ht="36.75" customHeight="1" x14ac:dyDescent="0.25">
      <c r="A256" s="77"/>
      <c r="B256" s="104"/>
      <c r="C256" s="86" t="s">
        <v>540</v>
      </c>
      <c r="D256" s="79">
        <f>'дод 3'!E124</f>
        <v>693000</v>
      </c>
      <c r="E256" s="79">
        <f>'дод 3'!F124</f>
        <v>693000</v>
      </c>
      <c r="F256" s="79">
        <f>'дод 3'!G124</f>
        <v>0</v>
      </c>
      <c r="G256" s="79">
        <f>'дод 3'!H124</f>
        <v>0</v>
      </c>
      <c r="H256" s="79">
        <f>'дод 3'!I124</f>
        <v>0</v>
      </c>
      <c r="I256" s="79">
        <f>'дод 3'!J124</f>
        <v>3307000</v>
      </c>
      <c r="J256" s="79">
        <f>'дод 3'!K124</f>
        <v>3307000</v>
      </c>
      <c r="K256" s="79">
        <f>'дод 3'!L124</f>
        <v>0</v>
      </c>
      <c r="L256" s="79">
        <f>'дод 3'!M124</f>
        <v>0</v>
      </c>
      <c r="M256" s="79">
        <f>'дод 3'!N124</f>
        <v>0</v>
      </c>
      <c r="N256" s="79">
        <f>'дод 3'!O124</f>
        <v>3307000</v>
      </c>
      <c r="O256" s="79">
        <f>'дод 3'!P124</f>
        <v>4000000</v>
      </c>
    </row>
    <row r="257" spans="1:513" s="52" customFormat="1" ht="57.75" customHeight="1" x14ac:dyDescent="0.25">
      <c r="A257" s="38" t="s">
        <v>13</v>
      </c>
      <c r="B257" s="105"/>
      <c r="C257" s="2" t="s">
        <v>347</v>
      </c>
      <c r="D257" s="48">
        <f>D258+D259+D260</f>
        <v>86430784</v>
      </c>
      <c r="E257" s="48">
        <f t="shared" ref="E257:O257" si="63">E258+E259+E260</f>
        <v>86430784</v>
      </c>
      <c r="F257" s="48">
        <f t="shared" si="63"/>
        <v>0</v>
      </c>
      <c r="G257" s="48">
        <f t="shared" si="63"/>
        <v>0</v>
      </c>
      <c r="H257" s="48">
        <f t="shared" si="63"/>
        <v>0</v>
      </c>
      <c r="I257" s="48">
        <f t="shared" si="63"/>
        <v>10647739.43</v>
      </c>
      <c r="J257" s="48">
        <f t="shared" si="63"/>
        <v>10647739.43</v>
      </c>
      <c r="K257" s="48">
        <f t="shared" si="63"/>
        <v>0</v>
      </c>
      <c r="L257" s="48">
        <f t="shared" si="63"/>
        <v>0</v>
      </c>
      <c r="M257" s="48">
        <f t="shared" si="63"/>
        <v>0</v>
      </c>
      <c r="N257" s="48">
        <f t="shared" si="63"/>
        <v>10647739.43</v>
      </c>
      <c r="O257" s="48">
        <f t="shared" si="63"/>
        <v>97078523.430000007</v>
      </c>
    </row>
    <row r="258" spans="1:513" s="52" customFormat="1" ht="79.5" hidden="1" customHeight="1" x14ac:dyDescent="0.25">
      <c r="A258" s="92">
        <v>9730</v>
      </c>
      <c r="B258" s="59" t="s">
        <v>45</v>
      </c>
      <c r="C258" s="60" t="s">
        <v>572</v>
      </c>
      <c r="D258" s="49">
        <f>'дод 3'!E269</f>
        <v>0</v>
      </c>
      <c r="E258" s="49">
        <f>'дод 3'!F269</f>
        <v>0</v>
      </c>
      <c r="F258" s="49">
        <f>'дод 3'!G269</f>
        <v>0</v>
      </c>
      <c r="G258" s="49">
        <f>'дод 3'!H269</f>
        <v>0</v>
      </c>
      <c r="H258" s="49">
        <f>'дод 3'!I269</f>
        <v>0</v>
      </c>
      <c r="I258" s="49">
        <f>'дод 3'!J269</f>
        <v>0</v>
      </c>
      <c r="J258" s="49">
        <f>'дод 3'!K269</f>
        <v>0</v>
      </c>
      <c r="K258" s="49">
        <f>'дод 3'!L269</f>
        <v>0</v>
      </c>
      <c r="L258" s="49">
        <f>'дод 3'!M269</f>
        <v>0</v>
      </c>
      <c r="M258" s="49">
        <f>'дод 3'!N269</f>
        <v>0</v>
      </c>
      <c r="N258" s="49">
        <f>'дод 3'!O269</f>
        <v>0</v>
      </c>
      <c r="O258" s="49">
        <f>'дод 3'!P269</f>
        <v>0</v>
      </c>
    </row>
    <row r="259" spans="1:513" ht="33.75" customHeight="1" x14ac:dyDescent="0.25">
      <c r="A259" s="37">
        <v>9750</v>
      </c>
      <c r="B259" s="42" t="s">
        <v>45</v>
      </c>
      <c r="C259" s="60" t="s">
        <v>528</v>
      </c>
      <c r="D259" s="49">
        <f>'дод 3'!E295</f>
        <v>0</v>
      </c>
      <c r="E259" s="49">
        <f>'дод 3'!F295</f>
        <v>0</v>
      </c>
      <c r="F259" s="49">
        <f>'дод 3'!G295</f>
        <v>0</v>
      </c>
      <c r="G259" s="49">
        <f>'дод 3'!H295</f>
        <v>0</v>
      </c>
      <c r="H259" s="49">
        <f>'дод 3'!I295</f>
        <v>0</v>
      </c>
      <c r="I259" s="49">
        <f>'дод 3'!J295</f>
        <v>86000</v>
      </c>
      <c r="J259" s="49">
        <f>'дод 3'!K295</f>
        <v>86000</v>
      </c>
      <c r="K259" s="49">
        <f>'дод 3'!L295</f>
        <v>0</v>
      </c>
      <c r="L259" s="49">
        <f>'дод 3'!M295</f>
        <v>0</v>
      </c>
      <c r="M259" s="49">
        <f>'дод 3'!N295</f>
        <v>0</v>
      </c>
      <c r="N259" s="49">
        <f>'дод 3'!O295</f>
        <v>86000</v>
      </c>
      <c r="O259" s="49">
        <f>'дод 3'!P295</f>
        <v>86000</v>
      </c>
    </row>
    <row r="260" spans="1:513" s="52" customFormat="1" ht="22.5" customHeight="1" x14ac:dyDescent="0.25">
      <c r="A260" s="37" t="s">
        <v>14</v>
      </c>
      <c r="B260" s="42" t="s">
        <v>45</v>
      </c>
      <c r="C260" s="6" t="s">
        <v>356</v>
      </c>
      <c r="D260" s="49">
        <f>'дод 3'!E125+'дод 3'!E163+'дод 3'!E204+'дод 3'!E270+'дод 3'!E61</f>
        <v>86430784</v>
      </c>
      <c r="E260" s="49">
        <f>'дод 3'!F125+'дод 3'!F163+'дод 3'!F204+'дод 3'!F270+'дод 3'!F61</f>
        <v>86430784</v>
      </c>
      <c r="F260" s="49">
        <f>'дод 3'!G125+'дод 3'!G163+'дод 3'!G204+'дод 3'!G270+'дод 3'!G61</f>
        <v>0</v>
      </c>
      <c r="G260" s="49">
        <f>'дод 3'!H125+'дод 3'!H163+'дод 3'!H204+'дод 3'!H270+'дод 3'!H61</f>
        <v>0</v>
      </c>
      <c r="H260" s="49">
        <f>'дод 3'!I125+'дод 3'!I163+'дод 3'!I204+'дод 3'!I270+'дод 3'!I61</f>
        <v>0</v>
      </c>
      <c r="I260" s="49">
        <f>'дод 3'!J125+'дод 3'!J163+'дод 3'!J204+'дод 3'!J270+'дод 3'!J61</f>
        <v>10561739.43</v>
      </c>
      <c r="J260" s="49">
        <f>'дод 3'!K125+'дод 3'!K163+'дод 3'!K204+'дод 3'!K270+'дод 3'!K61</f>
        <v>10561739.43</v>
      </c>
      <c r="K260" s="49">
        <f>'дод 3'!L125+'дод 3'!L163+'дод 3'!L204+'дод 3'!L270+'дод 3'!L61</f>
        <v>0</v>
      </c>
      <c r="L260" s="49">
        <f>'дод 3'!M125+'дод 3'!M163+'дод 3'!M204+'дод 3'!M270+'дод 3'!M61</f>
        <v>0</v>
      </c>
      <c r="M260" s="49">
        <f>'дод 3'!N125+'дод 3'!N163+'дод 3'!N204+'дод 3'!N270+'дод 3'!N61</f>
        <v>0</v>
      </c>
      <c r="N260" s="49">
        <f>'дод 3'!O125+'дод 3'!O163+'дод 3'!O204+'дод 3'!O270+'дод 3'!O61</f>
        <v>10561739.43</v>
      </c>
      <c r="O260" s="49">
        <f>'дод 3'!P125+'дод 3'!P163+'дод 3'!P204+'дод 3'!P270+'дод 3'!P61</f>
        <v>96992523.430000007</v>
      </c>
    </row>
    <row r="261" spans="1:513" s="52" customFormat="1" ht="51" customHeight="1" x14ac:dyDescent="0.25">
      <c r="A261" s="38">
        <v>9800</v>
      </c>
      <c r="B261" s="39" t="s">
        <v>45</v>
      </c>
      <c r="C261" s="9" t="s">
        <v>367</v>
      </c>
      <c r="D261" s="48">
        <f>'дод 3'!E126+'дод 3'!E62</f>
        <v>2107729</v>
      </c>
      <c r="E261" s="48">
        <f>'дод 3'!F126+'дод 3'!F62</f>
        <v>2107729</v>
      </c>
      <c r="F261" s="48">
        <f>'дод 3'!G126+'дод 3'!G62</f>
        <v>0</v>
      </c>
      <c r="G261" s="48">
        <f>'дод 3'!H126+'дод 3'!H62</f>
        <v>0</v>
      </c>
      <c r="H261" s="48">
        <f>'дод 3'!I126+'дод 3'!I62</f>
        <v>0</v>
      </c>
      <c r="I261" s="48">
        <f>'дод 3'!J126+'дод 3'!J62</f>
        <v>2883000</v>
      </c>
      <c r="J261" s="48">
        <f>'дод 3'!K126+'дод 3'!K62</f>
        <v>2883000</v>
      </c>
      <c r="K261" s="48">
        <f>'дод 3'!L126+'дод 3'!L62</f>
        <v>0</v>
      </c>
      <c r="L261" s="48">
        <f>'дод 3'!M126+'дод 3'!M62</f>
        <v>0</v>
      </c>
      <c r="M261" s="48">
        <f>'дод 3'!N126+'дод 3'!N62</f>
        <v>0</v>
      </c>
      <c r="N261" s="48">
        <f>'дод 3'!O126+'дод 3'!O62</f>
        <v>2883000</v>
      </c>
      <c r="O261" s="48">
        <f>'дод 3'!P126+'дод 3'!P62</f>
        <v>4990729</v>
      </c>
    </row>
    <row r="262" spans="1:513" s="52" customFormat="1" ht="18.75" customHeight="1" x14ac:dyDescent="0.25">
      <c r="A262" s="7"/>
      <c r="B262" s="7"/>
      <c r="C262" s="2" t="s">
        <v>408</v>
      </c>
      <c r="D262" s="48">
        <f t="shared" ref="D262:O262" si="64">D17+D24+D79+D101+D142+D147+D156+D171+D233+D249</f>
        <v>2341655695.52</v>
      </c>
      <c r="E262" s="48">
        <f t="shared" si="64"/>
        <v>2228439354.8699999</v>
      </c>
      <c r="F262" s="48">
        <f t="shared" si="64"/>
        <v>1078577654</v>
      </c>
      <c r="G262" s="48">
        <f t="shared" si="64"/>
        <v>137296117</v>
      </c>
      <c r="H262" s="48">
        <f t="shared" si="64"/>
        <v>95459519.310000002</v>
      </c>
      <c r="I262" s="48">
        <f t="shared" si="64"/>
        <v>1008150386.5799999</v>
      </c>
      <c r="J262" s="48">
        <f t="shared" si="64"/>
        <v>727670581.65999985</v>
      </c>
      <c r="K262" s="48">
        <f t="shared" si="64"/>
        <v>256464462.27000001</v>
      </c>
      <c r="L262" s="48">
        <f t="shared" si="64"/>
        <v>6033355</v>
      </c>
      <c r="M262" s="48">
        <f t="shared" si="64"/>
        <v>266522</v>
      </c>
      <c r="N262" s="48">
        <f t="shared" si="64"/>
        <v>751685924.30999994</v>
      </c>
      <c r="O262" s="48">
        <f t="shared" si="64"/>
        <v>3349806082.0999999</v>
      </c>
    </row>
    <row r="263" spans="1:513" s="53" customFormat="1" ht="21" customHeight="1" x14ac:dyDescent="0.25">
      <c r="A263" s="85"/>
      <c r="B263" s="85"/>
      <c r="C263" s="74" t="s">
        <v>401</v>
      </c>
      <c r="D263" s="75">
        <f t="shared" ref="D263:O263" si="65">D25+D32+D203+D250+D180+D33</f>
        <v>485697135.60000002</v>
      </c>
      <c r="E263" s="75">
        <f t="shared" si="65"/>
        <v>485697135.60000002</v>
      </c>
      <c r="F263" s="75">
        <f t="shared" si="65"/>
        <v>395816000</v>
      </c>
      <c r="G263" s="75">
        <f t="shared" si="65"/>
        <v>0</v>
      </c>
      <c r="H263" s="75">
        <f t="shared" si="65"/>
        <v>0</v>
      </c>
      <c r="I263" s="75">
        <f>I25+I32+I203+I250+I180+I33</f>
        <v>40444460.18</v>
      </c>
      <c r="J263" s="75">
        <f t="shared" si="65"/>
        <v>36951510.18</v>
      </c>
      <c r="K263" s="75">
        <f t="shared" si="65"/>
        <v>0</v>
      </c>
      <c r="L263" s="75">
        <f t="shared" si="65"/>
        <v>0</v>
      </c>
      <c r="M263" s="75">
        <f t="shared" si="65"/>
        <v>0</v>
      </c>
      <c r="N263" s="75">
        <f t="shared" si="65"/>
        <v>40444460.18</v>
      </c>
      <c r="O263" s="75">
        <f t="shared" si="65"/>
        <v>526141595.77999997</v>
      </c>
    </row>
    <row r="264" spans="1:513" s="53" customFormat="1" ht="34.5" customHeight="1" x14ac:dyDescent="0.25">
      <c r="A264" s="85"/>
      <c r="B264" s="85"/>
      <c r="C264" s="74" t="s">
        <v>402</v>
      </c>
      <c r="D264" s="75">
        <f>D26+D27+D29+D104+D105+D106+D239+D31+D35+D82+D83+D148+D34+D158+D175+D168+D173+D174</f>
        <v>32479367.16</v>
      </c>
      <c r="E264" s="75">
        <f t="shared" ref="E264:O264" si="66">E26+E27+E29+E104+E105+E106+E239+E31+E35+E82+E83+E148+E34+E158+E175+E168+E173+E174</f>
        <v>32479367.16</v>
      </c>
      <c r="F264" s="75">
        <f t="shared" si="66"/>
        <v>4045670</v>
      </c>
      <c r="G264" s="75">
        <f t="shared" si="66"/>
        <v>0</v>
      </c>
      <c r="H264" s="75">
        <f t="shared" si="66"/>
        <v>0</v>
      </c>
      <c r="I264" s="75">
        <f t="shared" si="66"/>
        <v>228565632.65000001</v>
      </c>
      <c r="J264" s="75">
        <f t="shared" si="66"/>
        <v>16673672.25</v>
      </c>
      <c r="K264" s="75">
        <f t="shared" si="66"/>
        <v>206891960.40000001</v>
      </c>
      <c r="L264" s="75">
        <f t="shared" si="66"/>
        <v>0</v>
      </c>
      <c r="M264" s="75">
        <f t="shared" si="66"/>
        <v>0</v>
      </c>
      <c r="N264" s="75">
        <f t="shared" si="66"/>
        <v>21673672.25</v>
      </c>
      <c r="O264" s="75">
        <f t="shared" si="66"/>
        <v>261044999.81</v>
      </c>
    </row>
    <row r="265" spans="1:513" s="53" customFormat="1" ht="23.25" customHeight="1" x14ac:dyDescent="0.25">
      <c r="A265" s="70"/>
      <c r="B265" s="70"/>
      <c r="C265" s="82" t="s">
        <v>419</v>
      </c>
      <c r="D265" s="75">
        <f>D176</f>
        <v>0</v>
      </c>
      <c r="E265" s="75">
        <f t="shared" ref="E265:O265" si="67">E176</f>
        <v>0</v>
      </c>
      <c r="F265" s="75">
        <f t="shared" si="67"/>
        <v>0</v>
      </c>
      <c r="G265" s="75">
        <f t="shared" si="67"/>
        <v>0</v>
      </c>
      <c r="H265" s="75">
        <f t="shared" si="67"/>
        <v>0</v>
      </c>
      <c r="I265" s="75">
        <f t="shared" si="67"/>
        <v>127771665.12</v>
      </c>
      <c r="J265" s="75">
        <f t="shared" si="67"/>
        <v>127771665.12</v>
      </c>
      <c r="K265" s="75">
        <f t="shared" si="67"/>
        <v>0</v>
      </c>
      <c r="L265" s="75">
        <f t="shared" si="67"/>
        <v>0</v>
      </c>
      <c r="M265" s="75">
        <f t="shared" si="67"/>
        <v>0</v>
      </c>
      <c r="N265" s="75">
        <f t="shared" si="67"/>
        <v>127771665.12</v>
      </c>
      <c r="O265" s="75">
        <f t="shared" si="67"/>
        <v>127771665.12</v>
      </c>
    </row>
    <row r="266" spans="1:513" s="53" customFormat="1" ht="23.25" customHeight="1" x14ac:dyDescent="0.25">
      <c r="A266" s="154"/>
      <c r="B266" s="154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1:513" s="52" customFormat="1" ht="19.5" customHeight="1" x14ac:dyDescent="0.25">
      <c r="A267" s="63"/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513" s="52" customFormat="1" ht="29.25" customHeight="1" x14ac:dyDescent="0.25">
      <c r="A268" s="63"/>
      <c r="B268" s="63"/>
      <c r="C268" s="64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513" s="52" customFormat="1" ht="30" customHeight="1" x14ac:dyDescent="0.55000000000000004">
      <c r="A269" s="63"/>
      <c r="B269" s="63"/>
      <c r="C269" s="64"/>
      <c r="D269" s="65"/>
      <c r="E269" s="65"/>
      <c r="F269" s="65"/>
      <c r="G269" s="65"/>
      <c r="H269" s="65"/>
      <c r="I269" s="65"/>
      <c r="J269" s="129"/>
      <c r="K269" s="65"/>
      <c r="L269" s="65"/>
      <c r="M269" s="65"/>
      <c r="N269" s="65"/>
      <c r="O269" s="65"/>
    </row>
    <row r="270" spans="1:513" s="140" customFormat="1" ht="47.25" customHeight="1" x14ac:dyDescent="0.55000000000000004">
      <c r="A270" s="137" t="s">
        <v>613</v>
      </c>
      <c r="B270" s="138"/>
      <c r="C270" s="139"/>
      <c r="D270" s="129"/>
      <c r="E270" s="129"/>
      <c r="F270" s="129"/>
      <c r="G270" s="129"/>
      <c r="H270" s="129"/>
      <c r="I270" s="129"/>
      <c r="J270" s="47"/>
      <c r="K270" s="129"/>
      <c r="L270" s="129" t="s">
        <v>615</v>
      </c>
      <c r="M270" s="130"/>
      <c r="N270" s="130"/>
      <c r="O270" s="130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  <c r="BP270" s="141"/>
      <c r="BQ270" s="141"/>
      <c r="BR270" s="141"/>
      <c r="BS270" s="141"/>
      <c r="BT270" s="141"/>
      <c r="BU270" s="141"/>
      <c r="BV270" s="141"/>
      <c r="BW270" s="141"/>
      <c r="BX270" s="141"/>
      <c r="BY270" s="141"/>
      <c r="BZ270" s="141"/>
      <c r="CA270" s="141"/>
      <c r="CB270" s="141"/>
      <c r="CC270" s="141"/>
      <c r="CD270" s="141"/>
      <c r="CE270" s="141"/>
      <c r="CF270" s="141"/>
      <c r="CG270" s="141"/>
      <c r="CH270" s="141"/>
      <c r="CI270" s="141"/>
      <c r="CJ270" s="141"/>
      <c r="CK270" s="141"/>
      <c r="CL270" s="141"/>
      <c r="CM270" s="141"/>
      <c r="CN270" s="141"/>
      <c r="CO270" s="141"/>
      <c r="CP270" s="141"/>
      <c r="CQ270" s="141"/>
      <c r="CR270" s="141"/>
      <c r="CS270" s="141"/>
      <c r="CT270" s="141"/>
      <c r="CU270" s="141"/>
      <c r="CV270" s="141"/>
      <c r="CW270" s="141"/>
      <c r="CX270" s="141"/>
      <c r="CY270" s="141"/>
      <c r="CZ270" s="141"/>
      <c r="DA270" s="141"/>
      <c r="DB270" s="141"/>
      <c r="DC270" s="141"/>
      <c r="DD270" s="141"/>
      <c r="DE270" s="141"/>
      <c r="DF270" s="141"/>
      <c r="DG270" s="141"/>
      <c r="DH270" s="141"/>
      <c r="DI270" s="141"/>
      <c r="DJ270" s="141"/>
      <c r="DK270" s="141"/>
      <c r="DL270" s="141"/>
      <c r="DM270" s="141"/>
      <c r="DN270" s="141"/>
      <c r="DO270" s="141"/>
      <c r="DP270" s="141"/>
      <c r="DQ270" s="141"/>
      <c r="DR270" s="141"/>
      <c r="DS270" s="141"/>
      <c r="DT270" s="141"/>
      <c r="DU270" s="141"/>
      <c r="DV270" s="141"/>
      <c r="DW270" s="141"/>
      <c r="DX270" s="141"/>
      <c r="DY270" s="141"/>
      <c r="DZ270" s="141"/>
      <c r="EA270" s="141"/>
      <c r="EB270" s="141"/>
      <c r="EC270" s="141"/>
      <c r="ED270" s="141"/>
      <c r="EE270" s="141"/>
      <c r="EF270" s="141"/>
      <c r="EG270" s="141"/>
      <c r="EH270" s="141"/>
      <c r="EI270" s="141"/>
      <c r="EJ270" s="141"/>
      <c r="EK270" s="141"/>
      <c r="EL270" s="141"/>
      <c r="EM270" s="141"/>
      <c r="EN270" s="141"/>
      <c r="EO270" s="141"/>
      <c r="EP270" s="141"/>
      <c r="EQ270" s="141"/>
      <c r="ER270" s="141"/>
      <c r="ES270" s="141"/>
      <c r="ET270" s="141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1"/>
      <c r="FK270" s="141"/>
      <c r="FL270" s="141"/>
      <c r="FM270" s="141"/>
      <c r="FN270" s="141"/>
      <c r="FO270" s="141"/>
      <c r="FP270" s="141"/>
      <c r="FQ270" s="141"/>
      <c r="FR270" s="141"/>
      <c r="FS270" s="141"/>
      <c r="FT270" s="141"/>
      <c r="FU270" s="141"/>
      <c r="FV270" s="141"/>
      <c r="FW270" s="141"/>
      <c r="FX270" s="141"/>
      <c r="FY270" s="141"/>
      <c r="FZ270" s="141"/>
      <c r="GA270" s="141"/>
      <c r="GB270" s="141"/>
      <c r="GC270" s="141"/>
      <c r="GD270" s="141"/>
      <c r="GE270" s="141"/>
      <c r="GF270" s="141"/>
      <c r="GG270" s="141"/>
      <c r="GH270" s="141"/>
      <c r="GI270" s="141"/>
      <c r="GJ270" s="141"/>
      <c r="GK270" s="141"/>
      <c r="GL270" s="141"/>
      <c r="GM270" s="141"/>
      <c r="GN270" s="141"/>
      <c r="GO270" s="141"/>
      <c r="GP270" s="141"/>
      <c r="GQ270" s="141"/>
      <c r="GR270" s="141"/>
      <c r="GS270" s="141"/>
      <c r="GT270" s="141"/>
      <c r="GU270" s="141"/>
      <c r="GV270" s="141"/>
      <c r="GW270" s="141"/>
      <c r="GX270" s="141"/>
      <c r="GY270" s="141"/>
      <c r="GZ270" s="141"/>
      <c r="HA270" s="141"/>
      <c r="HB270" s="141"/>
      <c r="HC270" s="141"/>
      <c r="HD270" s="141"/>
      <c r="HE270" s="141"/>
      <c r="HF270" s="141"/>
      <c r="HG270" s="141"/>
      <c r="HH270" s="141"/>
      <c r="HI270" s="141"/>
      <c r="HJ270" s="141"/>
      <c r="HK270" s="141"/>
      <c r="HL270" s="141"/>
      <c r="HM270" s="141"/>
      <c r="HN270" s="141"/>
      <c r="HO270" s="141"/>
      <c r="HP270" s="141"/>
      <c r="HQ270" s="141"/>
      <c r="HR270" s="141"/>
      <c r="HS270" s="141"/>
      <c r="HT270" s="141"/>
      <c r="HU270" s="141"/>
      <c r="HV270" s="141"/>
      <c r="HW270" s="141"/>
      <c r="HX270" s="141"/>
      <c r="HY270" s="141"/>
      <c r="HZ270" s="141"/>
      <c r="IA270" s="141"/>
      <c r="IB270" s="141"/>
      <c r="IC270" s="141"/>
      <c r="ID270" s="141"/>
      <c r="IE270" s="141"/>
      <c r="IF270" s="141"/>
      <c r="IG270" s="141"/>
      <c r="IH270" s="141"/>
      <c r="II270" s="141"/>
      <c r="IJ270" s="141"/>
      <c r="IK270" s="141"/>
      <c r="IL270" s="141"/>
      <c r="IM270" s="141"/>
      <c r="IN270" s="141"/>
      <c r="IO270" s="141"/>
      <c r="IP270" s="141"/>
      <c r="IQ270" s="141"/>
      <c r="IR270" s="141"/>
      <c r="IS270" s="141"/>
      <c r="IT270" s="141"/>
      <c r="IU270" s="141"/>
      <c r="IV270" s="141"/>
      <c r="IW270" s="141"/>
      <c r="IX270" s="141"/>
      <c r="IY270" s="141"/>
      <c r="IZ270" s="141"/>
      <c r="JA270" s="141"/>
      <c r="JB270" s="141"/>
      <c r="JC270" s="141"/>
      <c r="JD270" s="141"/>
      <c r="JE270" s="141"/>
      <c r="JF270" s="141"/>
      <c r="JG270" s="141"/>
      <c r="JH270" s="141"/>
      <c r="JI270" s="141"/>
      <c r="JJ270" s="141"/>
      <c r="JK270" s="141"/>
      <c r="JL270" s="141"/>
      <c r="JM270" s="141"/>
      <c r="JN270" s="141"/>
      <c r="JO270" s="141"/>
      <c r="JP270" s="141"/>
      <c r="JQ270" s="141"/>
      <c r="JR270" s="141"/>
      <c r="JS270" s="141"/>
      <c r="JT270" s="141"/>
      <c r="JU270" s="141"/>
      <c r="JV270" s="141"/>
      <c r="JW270" s="141"/>
      <c r="JX270" s="141"/>
      <c r="JY270" s="141"/>
      <c r="JZ270" s="141"/>
      <c r="KA270" s="141"/>
      <c r="KB270" s="141"/>
      <c r="KC270" s="141"/>
      <c r="KD270" s="141"/>
      <c r="KE270" s="141"/>
      <c r="KF270" s="141"/>
      <c r="KG270" s="141"/>
      <c r="KH270" s="141"/>
      <c r="KI270" s="141"/>
      <c r="KJ270" s="141"/>
      <c r="KK270" s="141"/>
      <c r="KL270" s="141"/>
      <c r="KM270" s="141"/>
      <c r="KN270" s="141"/>
      <c r="KO270" s="141"/>
      <c r="KP270" s="141"/>
      <c r="KQ270" s="141"/>
      <c r="KR270" s="141"/>
      <c r="KS270" s="141"/>
      <c r="KT270" s="141"/>
      <c r="KU270" s="141"/>
      <c r="KV270" s="141"/>
      <c r="KW270" s="141"/>
      <c r="KX270" s="141"/>
      <c r="KY270" s="141"/>
      <c r="KZ270" s="141"/>
      <c r="LA270" s="141"/>
      <c r="LB270" s="141"/>
      <c r="LC270" s="141"/>
      <c r="LD270" s="141"/>
      <c r="LE270" s="141"/>
      <c r="LF270" s="141"/>
      <c r="LG270" s="141"/>
      <c r="LH270" s="141"/>
      <c r="LI270" s="141"/>
      <c r="LJ270" s="141"/>
      <c r="LK270" s="141"/>
      <c r="LL270" s="141"/>
      <c r="LM270" s="141"/>
      <c r="LN270" s="141"/>
      <c r="LO270" s="141"/>
      <c r="LP270" s="141"/>
      <c r="LQ270" s="141"/>
      <c r="LR270" s="141"/>
      <c r="LS270" s="141"/>
      <c r="LT270" s="141"/>
      <c r="LU270" s="141"/>
      <c r="LV270" s="141"/>
      <c r="LW270" s="141"/>
      <c r="LX270" s="141"/>
      <c r="LY270" s="141"/>
      <c r="LZ270" s="141"/>
      <c r="MA270" s="141"/>
      <c r="MB270" s="141"/>
      <c r="MC270" s="141"/>
      <c r="MD270" s="141"/>
      <c r="ME270" s="141"/>
      <c r="MF270" s="141"/>
      <c r="MG270" s="141"/>
      <c r="MH270" s="141"/>
      <c r="MI270" s="141"/>
      <c r="MJ270" s="141"/>
      <c r="MK270" s="141"/>
      <c r="ML270" s="141"/>
      <c r="MM270" s="141"/>
      <c r="MN270" s="141"/>
      <c r="MO270" s="141"/>
      <c r="MP270" s="141"/>
      <c r="MQ270" s="141"/>
      <c r="MR270" s="141"/>
      <c r="MS270" s="141"/>
      <c r="MT270" s="141"/>
      <c r="MU270" s="141"/>
      <c r="MV270" s="141"/>
      <c r="MW270" s="141"/>
      <c r="MX270" s="141"/>
      <c r="MY270" s="141"/>
      <c r="MZ270" s="141"/>
      <c r="NA270" s="141"/>
      <c r="NB270" s="141"/>
      <c r="NC270" s="141"/>
      <c r="ND270" s="141"/>
      <c r="NE270" s="141"/>
      <c r="NF270" s="141"/>
      <c r="NG270" s="141"/>
      <c r="NH270" s="141"/>
      <c r="NI270" s="141"/>
      <c r="NJ270" s="141"/>
      <c r="NK270" s="141"/>
      <c r="NL270" s="141"/>
      <c r="NM270" s="141"/>
      <c r="NN270" s="141"/>
      <c r="NO270" s="141"/>
      <c r="NP270" s="141"/>
      <c r="NQ270" s="141"/>
      <c r="NR270" s="141"/>
      <c r="NS270" s="141"/>
      <c r="NT270" s="141"/>
      <c r="NU270" s="141"/>
      <c r="NV270" s="141"/>
      <c r="NW270" s="141"/>
      <c r="NX270" s="141"/>
      <c r="NY270" s="141"/>
      <c r="NZ270" s="141"/>
      <c r="OA270" s="141"/>
      <c r="OB270" s="141"/>
      <c r="OC270" s="141"/>
      <c r="OD270" s="141"/>
      <c r="OE270" s="141"/>
      <c r="OF270" s="141"/>
      <c r="OG270" s="141"/>
      <c r="OH270" s="141"/>
      <c r="OI270" s="141"/>
      <c r="OJ270" s="141"/>
      <c r="OK270" s="141"/>
      <c r="OL270" s="141"/>
      <c r="OM270" s="141"/>
      <c r="ON270" s="141"/>
      <c r="OO270" s="141"/>
      <c r="OP270" s="141"/>
      <c r="OQ270" s="141"/>
      <c r="OR270" s="141"/>
      <c r="OS270" s="141"/>
      <c r="OT270" s="141"/>
      <c r="OU270" s="141"/>
      <c r="OV270" s="141"/>
      <c r="OW270" s="141"/>
      <c r="OX270" s="141"/>
      <c r="OY270" s="141"/>
      <c r="OZ270" s="141"/>
      <c r="PA270" s="141"/>
      <c r="PB270" s="141"/>
      <c r="PC270" s="141"/>
      <c r="PD270" s="141"/>
      <c r="PE270" s="141"/>
      <c r="PF270" s="141"/>
      <c r="PG270" s="141"/>
      <c r="PH270" s="141"/>
      <c r="PI270" s="141"/>
      <c r="PJ270" s="141"/>
      <c r="PK270" s="141"/>
      <c r="PL270" s="141"/>
      <c r="PM270" s="141"/>
      <c r="PN270" s="141"/>
      <c r="PO270" s="141"/>
      <c r="PP270" s="141"/>
      <c r="PQ270" s="141"/>
      <c r="PR270" s="141"/>
      <c r="PS270" s="141"/>
      <c r="PT270" s="141"/>
      <c r="PU270" s="141"/>
      <c r="PV270" s="141"/>
      <c r="PW270" s="141"/>
      <c r="PX270" s="141"/>
      <c r="PY270" s="141"/>
      <c r="PZ270" s="141"/>
      <c r="QA270" s="141"/>
      <c r="QB270" s="141"/>
      <c r="QC270" s="141"/>
      <c r="QD270" s="141"/>
      <c r="QE270" s="141"/>
      <c r="QF270" s="141"/>
      <c r="QG270" s="141"/>
      <c r="QH270" s="141"/>
      <c r="QI270" s="141"/>
      <c r="QJ270" s="141"/>
      <c r="QK270" s="141"/>
      <c r="QL270" s="141"/>
      <c r="QM270" s="141"/>
      <c r="QN270" s="141"/>
      <c r="QO270" s="141"/>
      <c r="QP270" s="141"/>
      <c r="QQ270" s="141"/>
      <c r="QR270" s="141"/>
      <c r="QS270" s="141"/>
      <c r="QT270" s="141"/>
      <c r="QU270" s="141"/>
      <c r="QV270" s="141"/>
      <c r="QW270" s="141"/>
      <c r="QX270" s="141"/>
      <c r="QY270" s="141"/>
      <c r="QZ270" s="141"/>
      <c r="RA270" s="141"/>
      <c r="RB270" s="141"/>
      <c r="RC270" s="141"/>
      <c r="RD270" s="141"/>
      <c r="RE270" s="141"/>
      <c r="RF270" s="141"/>
      <c r="RG270" s="141"/>
      <c r="RH270" s="141"/>
      <c r="RI270" s="141"/>
      <c r="RJ270" s="141"/>
      <c r="RK270" s="141"/>
      <c r="RL270" s="141"/>
      <c r="RM270" s="141"/>
      <c r="RN270" s="141"/>
      <c r="RO270" s="141"/>
      <c r="RP270" s="141"/>
      <c r="RQ270" s="141"/>
      <c r="RR270" s="141"/>
      <c r="RS270" s="141"/>
      <c r="RT270" s="141"/>
      <c r="RU270" s="141"/>
      <c r="RV270" s="141"/>
      <c r="RW270" s="141"/>
      <c r="RX270" s="141"/>
      <c r="RY270" s="141"/>
      <c r="RZ270" s="141"/>
      <c r="SA270" s="141"/>
      <c r="SB270" s="141"/>
      <c r="SC270" s="141"/>
      <c r="SD270" s="141"/>
      <c r="SE270" s="141"/>
      <c r="SF270" s="141"/>
      <c r="SG270" s="141"/>
      <c r="SH270" s="141"/>
      <c r="SI270" s="141"/>
      <c r="SJ270" s="141"/>
      <c r="SK270" s="141"/>
      <c r="SL270" s="141"/>
      <c r="SM270" s="141"/>
      <c r="SN270" s="141"/>
      <c r="SO270" s="141"/>
      <c r="SP270" s="141"/>
      <c r="SQ270" s="141"/>
      <c r="SR270" s="141"/>
      <c r="SS270" s="141"/>
    </row>
    <row r="271" spans="1:513" s="28" customFormat="1" ht="22.5" customHeight="1" x14ac:dyDescent="0.45">
      <c r="A271" s="56"/>
      <c r="B271" s="61"/>
      <c r="C271" s="61"/>
      <c r="D271" s="35"/>
      <c r="E271" s="47"/>
      <c r="F271" s="47"/>
      <c r="G271" s="47"/>
      <c r="H271" s="47"/>
      <c r="I271" s="47"/>
      <c r="J271" s="132"/>
      <c r="K271" s="47"/>
      <c r="L271" s="47"/>
      <c r="M271" s="47"/>
      <c r="N271" s="47"/>
      <c r="O271" s="47"/>
    </row>
    <row r="272" spans="1:513" s="133" customFormat="1" ht="31.5" x14ac:dyDescent="0.45">
      <c r="A272" s="131" t="s">
        <v>632</v>
      </c>
      <c r="B272" s="131"/>
      <c r="C272" s="131"/>
      <c r="D272" s="131"/>
      <c r="E272" s="132"/>
      <c r="F272" s="132"/>
      <c r="G272" s="132"/>
      <c r="H272" s="132"/>
      <c r="I272" s="132"/>
      <c r="J272" s="124"/>
      <c r="K272" s="132"/>
      <c r="L272" s="132"/>
      <c r="M272" s="132"/>
      <c r="N272" s="132"/>
      <c r="O272" s="132"/>
    </row>
    <row r="273" spans="1:15" s="125" customFormat="1" ht="25.5" customHeight="1" x14ac:dyDescent="0.4">
      <c r="A273" s="157"/>
      <c r="B273" s="157"/>
      <c r="C273" s="126"/>
      <c r="D273" s="151"/>
      <c r="E273" s="124"/>
      <c r="F273" s="124"/>
      <c r="G273" s="124"/>
      <c r="H273" s="124"/>
      <c r="I273" s="124"/>
      <c r="J273" s="127"/>
      <c r="K273" s="124"/>
      <c r="L273" s="124"/>
      <c r="M273" s="124"/>
      <c r="N273" s="124"/>
      <c r="O273" s="124"/>
    </row>
  </sheetData>
  <mergeCells count="25">
    <mergeCell ref="A273:B273"/>
    <mergeCell ref="O14:O16"/>
    <mergeCell ref="J4:O4"/>
    <mergeCell ref="J5:O5"/>
    <mergeCell ref="J6:O6"/>
    <mergeCell ref="J8:O8"/>
    <mergeCell ref="I14:N14"/>
    <mergeCell ref="A11:O11"/>
    <mergeCell ref="A12:O12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</mergeCells>
  <phoneticPr fontId="3" type="noConversion"/>
  <printOptions horizontalCentered="1"/>
  <pageMargins left="0" right="0" top="0.86614173228346458" bottom="0.59055118110236227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200" max="14" man="1"/>
    <brk id="2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7</vt:lpstr>
      <vt:lpstr>'дод 3'!Заголовки_для_печати</vt:lpstr>
      <vt:lpstr>'дод 7'!Заголовки_для_печати</vt:lpstr>
      <vt:lpstr>'дод 3'!Область_печати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2022-01-27T06:50:10Z</cp:lastPrinted>
  <dcterms:created xsi:type="dcterms:W3CDTF">2014-01-17T10:52:16Z</dcterms:created>
  <dcterms:modified xsi:type="dcterms:W3CDTF">2022-01-27T06:52:56Z</dcterms:modified>
</cp:coreProperties>
</file>