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ютий\Рішення зміни 2022\ріш на 16.02.22 - оборона\Доопрацьовано\"/>
    </mc:Choice>
  </mc:AlternateContent>
  <bookViews>
    <workbookView xWindow="0" yWindow="0" windowWidth="28800" windowHeight="11835" tabRatio="488" activeTab="1"/>
  </bookViews>
  <sheets>
    <sheet name="дод 2" sheetId="1" r:id="rId1"/>
    <sheet name="дод 5" sheetId="3" r:id="rId2"/>
  </sheets>
  <definedNames>
    <definedName name="_xlnm.Print_Titles" localSheetId="0">'дод 2'!$13:$15</definedName>
    <definedName name="_xlnm.Print_Titles" localSheetId="1">'дод 5'!$13:$15</definedName>
    <definedName name="_xlnm.Print_Area" localSheetId="0">'дод 2'!$A$1:$P$344</definedName>
    <definedName name="_xlnm.Print_Area" localSheetId="1">'дод 5'!$A$1:$O$271</definedName>
  </definedNames>
  <calcPr calcId="162913"/>
</workbook>
</file>

<file path=xl/calcChain.xml><?xml version="1.0" encoding="utf-8"?>
<calcChain xmlns="http://schemas.openxmlformats.org/spreadsheetml/2006/main">
  <c r="O286" i="1" l="1"/>
  <c r="K286" i="1"/>
  <c r="E348" i="1" l="1"/>
  <c r="E347" i="1"/>
  <c r="E346" i="1"/>
  <c r="F17" i="1"/>
  <c r="G17" i="1"/>
  <c r="H17" i="1"/>
  <c r="I17" i="1"/>
  <c r="K17" i="1"/>
  <c r="L17" i="1"/>
  <c r="M17" i="1"/>
  <c r="N17" i="1"/>
  <c r="O17" i="1"/>
  <c r="O249" i="1" l="1"/>
  <c r="K249" i="1"/>
  <c r="O293" i="1" l="1"/>
  <c r="K293" i="1"/>
  <c r="O250" i="1"/>
  <c r="K250" i="1"/>
  <c r="N86" i="3" l="1"/>
  <c r="M86" i="3"/>
  <c r="L86" i="3"/>
  <c r="K86" i="3"/>
  <c r="J86" i="3"/>
  <c r="H86" i="3"/>
  <c r="G86" i="3"/>
  <c r="F86" i="3"/>
  <c r="N278" i="1"/>
  <c r="M278" i="1"/>
  <c r="L278" i="1"/>
  <c r="I278" i="1"/>
  <c r="H278" i="1"/>
  <c r="J285" i="1"/>
  <c r="P285" i="1" s="1"/>
  <c r="F41" i="1"/>
  <c r="G38" i="1" l="1"/>
  <c r="N189" i="3" l="1"/>
  <c r="M189" i="3"/>
  <c r="L189" i="3"/>
  <c r="K189" i="3"/>
  <c r="J189" i="3"/>
  <c r="H189" i="3"/>
  <c r="G189" i="3"/>
  <c r="F189" i="3"/>
  <c r="E189" i="3"/>
  <c r="F39" i="1" l="1"/>
  <c r="F38" i="1"/>
  <c r="F244" i="1"/>
  <c r="O38" i="1"/>
  <c r="K38" i="1"/>
  <c r="F36" i="1"/>
  <c r="H56" i="1" l="1"/>
  <c r="G95" i="1" l="1"/>
  <c r="O81" i="1"/>
  <c r="K81" i="1"/>
  <c r="O80" i="1"/>
  <c r="K80" i="1"/>
  <c r="O282" i="1" l="1"/>
  <c r="O292" i="1" l="1"/>
  <c r="K292" i="1"/>
  <c r="F203" i="1"/>
  <c r="F29" i="1"/>
  <c r="F28" i="1"/>
  <c r="O289" i="1"/>
  <c r="K289" i="1"/>
  <c r="O244" i="1"/>
  <c r="K244" i="1"/>
  <c r="J165" i="3" s="1"/>
  <c r="K226" i="1"/>
  <c r="O226" i="1"/>
  <c r="O222" i="1"/>
  <c r="K222" i="1"/>
  <c r="O221" i="1"/>
  <c r="K221" i="1"/>
  <c r="O161" i="1"/>
  <c r="K161" i="1"/>
  <c r="O158" i="1"/>
  <c r="K158" i="1"/>
  <c r="O124" i="1"/>
  <c r="K124" i="1"/>
  <c r="O79" i="1"/>
  <c r="K79" i="1"/>
  <c r="O299" i="1"/>
  <c r="K299" i="1"/>
  <c r="N44" i="3"/>
  <c r="M44" i="3"/>
  <c r="L44" i="3"/>
  <c r="K44" i="3"/>
  <c r="J44" i="3"/>
  <c r="H44" i="3"/>
  <c r="G44" i="3"/>
  <c r="J284" i="1"/>
  <c r="E284" i="1"/>
  <c r="N37" i="3"/>
  <c r="M37" i="3"/>
  <c r="L37" i="3"/>
  <c r="K37" i="3"/>
  <c r="J37" i="3"/>
  <c r="H37" i="3"/>
  <c r="J283" i="1"/>
  <c r="E283" i="1"/>
  <c r="K282" i="1"/>
  <c r="F95" i="1"/>
  <c r="E330" i="1"/>
  <c r="G58" i="1"/>
  <c r="F58" i="1"/>
  <c r="O278" i="1" l="1"/>
  <c r="K278" i="1"/>
  <c r="P283" i="1"/>
  <c r="P284" i="1"/>
  <c r="G281" i="1"/>
  <c r="G278" i="1" s="1"/>
  <c r="F281" i="1"/>
  <c r="F278" i="1" s="1"/>
  <c r="G324" i="1"/>
  <c r="F324" i="1"/>
  <c r="G316" i="1"/>
  <c r="F316" i="1"/>
  <c r="G313" i="1"/>
  <c r="F313" i="1"/>
  <c r="G305" i="1"/>
  <c r="F305" i="1"/>
  <c r="G276" i="1"/>
  <c r="F276" i="1"/>
  <c r="G236" i="1"/>
  <c r="F236" i="1"/>
  <c r="G219" i="1"/>
  <c r="F219" i="1"/>
  <c r="G211" i="1"/>
  <c r="F211" i="1"/>
  <c r="G172" i="1"/>
  <c r="F172" i="1"/>
  <c r="G140" i="1"/>
  <c r="F140" i="1"/>
  <c r="G78" i="1"/>
  <c r="F78" i="1"/>
  <c r="G20" i="1"/>
  <c r="F20" i="1"/>
  <c r="N256" i="3" l="1"/>
  <c r="M256" i="3"/>
  <c r="L256" i="3"/>
  <c r="K256" i="3"/>
  <c r="J256" i="3"/>
  <c r="I256" i="3"/>
  <c r="H256" i="3"/>
  <c r="G256" i="3"/>
  <c r="F256" i="3"/>
  <c r="E256" i="3"/>
  <c r="N229" i="1"/>
  <c r="M229" i="1"/>
  <c r="I229" i="1"/>
  <c r="G229" i="1"/>
  <c r="J272" i="1"/>
  <c r="E272" i="1"/>
  <c r="D256" i="3" s="1"/>
  <c r="P272" i="1" l="1"/>
  <c r="O256" i="3" s="1"/>
  <c r="G33" i="1"/>
  <c r="M35" i="3" l="1"/>
  <c r="L35" i="3"/>
  <c r="K35" i="3"/>
  <c r="H35" i="3"/>
  <c r="F79" i="1"/>
  <c r="E35" i="3" s="1"/>
  <c r="F33" i="1"/>
  <c r="F224" i="1" l="1"/>
  <c r="F220" i="1"/>
  <c r="F141" i="1"/>
  <c r="E86" i="3" s="1"/>
  <c r="F80" i="1"/>
  <c r="E37" i="3" s="1"/>
  <c r="N35" i="3"/>
  <c r="J35" i="3"/>
  <c r="F40" i="1"/>
  <c r="J282" i="1"/>
  <c r="E282" i="1"/>
  <c r="P282" i="1" l="1"/>
  <c r="O241" i="1"/>
  <c r="K241" i="1"/>
  <c r="O239" i="1"/>
  <c r="K239" i="1"/>
  <c r="F82" i="1"/>
  <c r="F37" i="1"/>
  <c r="O29" i="1" l="1"/>
  <c r="K29" i="1"/>
  <c r="G29" i="1"/>
  <c r="O265" i="1" l="1"/>
  <c r="O229" i="1" s="1"/>
  <c r="K265" i="1"/>
  <c r="K229" i="1" s="1"/>
  <c r="J251" i="1"/>
  <c r="J252" i="1"/>
  <c r="J253" i="1"/>
  <c r="J254" i="1"/>
  <c r="G80" i="1"/>
  <c r="F37" i="3" s="1"/>
  <c r="G118" i="1"/>
  <c r="F118" i="1"/>
  <c r="G79" i="1" l="1"/>
  <c r="F35" i="3" s="1"/>
  <c r="F96" i="1"/>
  <c r="F248" i="1"/>
  <c r="F229" i="1" s="1"/>
  <c r="O95" i="1" l="1"/>
  <c r="K95" i="1"/>
  <c r="H104" i="1" l="1"/>
  <c r="F104" i="1"/>
  <c r="H80" i="1"/>
  <c r="G37" i="3" s="1"/>
  <c r="F148" i="1" l="1"/>
  <c r="G82" i="1"/>
  <c r="G81" i="1"/>
  <c r="F44" i="3" s="1"/>
  <c r="F81" i="1"/>
  <c r="E44" i="3" s="1"/>
  <c r="K82" i="1" l="1"/>
  <c r="F184" i="1" l="1"/>
  <c r="O184" i="1"/>
  <c r="K184" i="1"/>
  <c r="I47" i="1" l="1"/>
  <c r="L126" i="1" l="1"/>
  <c r="L270" i="1" l="1"/>
  <c r="L229" i="1" s="1"/>
  <c r="F83" i="1" l="1"/>
  <c r="E331" i="1" l="1"/>
  <c r="H244" i="1" l="1"/>
  <c r="H229" i="1" s="1"/>
  <c r="H79" i="1" l="1"/>
  <c r="G35" i="3" s="1"/>
  <c r="F179" i="1" l="1"/>
  <c r="F176" i="1"/>
  <c r="F213" i="1" l="1"/>
  <c r="E61" i="3" l="1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F65" i="1"/>
  <c r="G65" i="1"/>
  <c r="H65" i="1"/>
  <c r="I65" i="1"/>
  <c r="K65" i="1"/>
  <c r="L65" i="1"/>
  <c r="M65" i="1"/>
  <c r="N65" i="1"/>
  <c r="O65" i="1"/>
  <c r="F66" i="1"/>
  <c r="G66" i="1"/>
  <c r="H66" i="1"/>
  <c r="I66" i="1"/>
  <c r="K66" i="1"/>
  <c r="L66" i="1"/>
  <c r="M66" i="1"/>
  <c r="N66" i="1"/>
  <c r="O66" i="1"/>
  <c r="J96" i="1"/>
  <c r="I61" i="3" s="1"/>
  <c r="J97" i="1"/>
  <c r="I62" i="3" s="1"/>
  <c r="J98" i="1"/>
  <c r="I63" i="3" s="1"/>
  <c r="E96" i="1"/>
  <c r="D61" i="3" s="1"/>
  <c r="E97" i="1"/>
  <c r="D62" i="3" s="1"/>
  <c r="E98" i="1"/>
  <c r="D63" i="3" s="1"/>
  <c r="D97" i="1"/>
  <c r="D96" i="1"/>
  <c r="D88" i="1"/>
  <c r="E99" i="1"/>
  <c r="P96" i="1" l="1"/>
  <c r="O61" i="3" s="1"/>
  <c r="P98" i="1"/>
  <c r="P97" i="1"/>
  <c r="O62" i="3" s="1"/>
  <c r="O63" i="3" l="1"/>
  <c r="D173" i="1" l="1"/>
  <c r="D185" i="1"/>
  <c r="D189" i="1"/>
  <c r="D193" i="1"/>
  <c r="D205" i="1"/>
  <c r="D220" i="1"/>
  <c r="D225" i="1"/>
  <c r="D236" i="1"/>
  <c r="D247" i="1"/>
  <c r="D249" i="1"/>
  <c r="D250" i="1"/>
  <c r="D287" i="1"/>
  <c r="D289" i="1"/>
  <c r="D290" i="1"/>
  <c r="D291" i="1"/>
  <c r="D292" i="1"/>
  <c r="D293" i="1"/>
  <c r="D299" i="1"/>
  <c r="D307" i="1"/>
  <c r="D309" i="1"/>
  <c r="D324" i="1"/>
  <c r="D316" i="1"/>
  <c r="D313" i="1"/>
  <c r="D305" i="1"/>
  <c r="D281" i="1"/>
  <c r="D276" i="1"/>
  <c r="D219" i="1"/>
  <c r="D211" i="1"/>
  <c r="D172" i="1"/>
  <c r="D157" i="1"/>
  <c r="D148" i="1"/>
  <c r="D146" i="1"/>
  <c r="D141" i="1"/>
  <c r="D140" i="1"/>
  <c r="D129" i="1"/>
  <c r="D126" i="1"/>
  <c r="D120" i="1"/>
  <c r="D118" i="1"/>
  <c r="D116" i="1"/>
  <c r="D108" i="1"/>
  <c r="D105" i="1"/>
  <c r="D104" i="1"/>
  <c r="D102" i="1"/>
  <c r="D101" i="1"/>
  <c r="D100" i="1"/>
  <c r="D99" i="1"/>
  <c r="D95" i="1"/>
  <c r="D86" i="1"/>
  <c r="D83" i="1"/>
  <c r="D82" i="1"/>
  <c r="D81" i="1"/>
  <c r="D80" i="1"/>
  <c r="D79" i="1"/>
  <c r="D78" i="1"/>
  <c r="D52" i="1"/>
  <c r="D50" i="1"/>
  <c r="D49" i="1"/>
  <c r="D47" i="1"/>
  <c r="D44" i="1"/>
  <c r="D43" i="1"/>
  <c r="D42" i="1"/>
  <c r="D40" i="1"/>
  <c r="D39" i="1"/>
  <c r="D38" i="1"/>
  <c r="D37" i="1"/>
  <c r="D36" i="1"/>
  <c r="D35" i="1"/>
  <c r="D34" i="1"/>
  <c r="D33" i="1"/>
  <c r="D31" i="1"/>
  <c r="D30" i="1"/>
  <c r="D29" i="1"/>
  <c r="D27" i="1"/>
  <c r="D25" i="1"/>
  <c r="D20" i="1"/>
  <c r="E18" i="3" l="1"/>
  <c r="F18" i="3"/>
  <c r="G18" i="3"/>
  <c r="H18" i="3"/>
  <c r="K18" i="3"/>
  <c r="L18" i="3"/>
  <c r="M18" i="3"/>
  <c r="E142" i="3"/>
  <c r="F142" i="3"/>
  <c r="G142" i="3"/>
  <c r="H142" i="3"/>
  <c r="J142" i="3"/>
  <c r="K142" i="3"/>
  <c r="L142" i="3"/>
  <c r="M142" i="3"/>
  <c r="N142" i="3"/>
  <c r="F209" i="1"/>
  <c r="G209" i="1"/>
  <c r="H209" i="1"/>
  <c r="I209" i="1"/>
  <c r="L209" i="1"/>
  <c r="M209" i="1"/>
  <c r="N209" i="1"/>
  <c r="J214" i="1"/>
  <c r="E214" i="1"/>
  <c r="E29" i="1"/>
  <c r="P214" i="1" l="1"/>
  <c r="F304" i="1"/>
  <c r="G304" i="1"/>
  <c r="H304" i="1"/>
  <c r="I304" i="1"/>
  <c r="L304" i="1"/>
  <c r="M304" i="1"/>
  <c r="N304" i="1"/>
  <c r="J307" i="1"/>
  <c r="E307" i="1"/>
  <c r="E166" i="3"/>
  <c r="F166" i="3"/>
  <c r="G166" i="3"/>
  <c r="H166" i="3"/>
  <c r="J166" i="3"/>
  <c r="K166" i="3"/>
  <c r="L166" i="3"/>
  <c r="M166" i="3"/>
  <c r="N166" i="3"/>
  <c r="J247" i="1"/>
  <c r="I166" i="3" s="1"/>
  <c r="E247" i="1"/>
  <c r="P247" i="1" l="1"/>
  <c r="O166" i="3" s="1"/>
  <c r="P307" i="1"/>
  <c r="D166" i="3"/>
  <c r="E219" i="3"/>
  <c r="F219" i="3"/>
  <c r="G219" i="3"/>
  <c r="H219" i="3"/>
  <c r="J219" i="3"/>
  <c r="K219" i="3"/>
  <c r="L219" i="3"/>
  <c r="M219" i="3"/>
  <c r="N219" i="3"/>
  <c r="F166" i="1"/>
  <c r="G166" i="1"/>
  <c r="H166" i="1"/>
  <c r="I166" i="1"/>
  <c r="L166" i="1"/>
  <c r="M166" i="1"/>
  <c r="N166" i="1"/>
  <c r="J206" i="1"/>
  <c r="E206" i="1"/>
  <c r="E124" i="3"/>
  <c r="F124" i="3"/>
  <c r="G124" i="3"/>
  <c r="H124" i="3"/>
  <c r="J124" i="3"/>
  <c r="K124" i="3"/>
  <c r="L124" i="3"/>
  <c r="M124" i="3"/>
  <c r="N124" i="3"/>
  <c r="J185" i="1"/>
  <c r="E185" i="1"/>
  <c r="E117" i="1"/>
  <c r="P206" i="1" l="1"/>
  <c r="P185" i="1"/>
  <c r="E241" i="3"/>
  <c r="F241" i="3"/>
  <c r="G241" i="3"/>
  <c r="H241" i="3"/>
  <c r="J241" i="3"/>
  <c r="K241" i="3"/>
  <c r="L241" i="3"/>
  <c r="M241" i="3"/>
  <c r="N241" i="3"/>
  <c r="O220" i="1"/>
  <c r="E123" i="3" l="1"/>
  <c r="F123" i="3"/>
  <c r="G123" i="3"/>
  <c r="H123" i="3"/>
  <c r="J123" i="3"/>
  <c r="K123" i="3"/>
  <c r="L123" i="3"/>
  <c r="M123" i="3"/>
  <c r="N123" i="3"/>
  <c r="D123" i="3"/>
  <c r="J29" i="1"/>
  <c r="I123" i="3" s="1"/>
  <c r="O52" i="1"/>
  <c r="E185" i="3"/>
  <c r="F185" i="3"/>
  <c r="G185" i="3"/>
  <c r="H185" i="3"/>
  <c r="J185" i="3"/>
  <c r="K185" i="3"/>
  <c r="L185" i="3"/>
  <c r="M185" i="3"/>
  <c r="N185" i="3"/>
  <c r="J42" i="1"/>
  <c r="J43" i="1"/>
  <c r="O20" i="1"/>
  <c r="K20" i="1"/>
  <c r="P29" i="1" l="1"/>
  <c r="O123" i="3" s="1"/>
  <c r="P42" i="1"/>
  <c r="K171" i="1"/>
  <c r="O171" i="1"/>
  <c r="F136" i="1" l="1"/>
  <c r="F138" i="1"/>
  <c r="M194" i="3" l="1"/>
  <c r="L194" i="3"/>
  <c r="K194" i="3"/>
  <c r="H194" i="3"/>
  <c r="G194" i="3"/>
  <c r="F194" i="3"/>
  <c r="E194" i="3"/>
  <c r="M193" i="3"/>
  <c r="L193" i="3"/>
  <c r="K193" i="3"/>
  <c r="H193" i="3"/>
  <c r="G193" i="3"/>
  <c r="F193" i="3"/>
  <c r="E193" i="3"/>
  <c r="O279" i="1"/>
  <c r="N279" i="1"/>
  <c r="M279" i="1"/>
  <c r="L279" i="1"/>
  <c r="K279" i="1"/>
  <c r="I279" i="1"/>
  <c r="H279" i="1"/>
  <c r="G279" i="1"/>
  <c r="F279" i="1"/>
  <c r="E297" i="1"/>
  <c r="E279" i="1" s="1"/>
  <c r="J297" i="1"/>
  <c r="N193" i="3"/>
  <c r="J193" i="3"/>
  <c r="N194" i="3"/>
  <c r="J194" i="3" l="1"/>
  <c r="P297" i="1"/>
  <c r="P279" i="1" s="1"/>
  <c r="J279" i="1"/>
  <c r="F257" i="3" l="1"/>
  <c r="G257" i="3"/>
  <c r="H257" i="3"/>
  <c r="K257" i="3"/>
  <c r="L257" i="3"/>
  <c r="M257" i="3"/>
  <c r="J61" i="1"/>
  <c r="J62" i="1"/>
  <c r="E62" i="1"/>
  <c r="J248" i="1"/>
  <c r="P62" i="1" l="1"/>
  <c r="E167" i="3" l="1"/>
  <c r="F167" i="3"/>
  <c r="G167" i="3"/>
  <c r="H167" i="3"/>
  <c r="J167" i="3"/>
  <c r="K167" i="3"/>
  <c r="L167" i="3"/>
  <c r="M167" i="3"/>
  <c r="N167" i="3"/>
  <c r="E168" i="3"/>
  <c r="F168" i="3"/>
  <c r="G168" i="3"/>
  <c r="H168" i="3"/>
  <c r="J168" i="3"/>
  <c r="K168" i="3"/>
  <c r="L168" i="3"/>
  <c r="M168" i="3"/>
  <c r="N168" i="3"/>
  <c r="F233" i="1"/>
  <c r="G233" i="1"/>
  <c r="H233" i="1"/>
  <c r="I233" i="1"/>
  <c r="K233" i="1"/>
  <c r="L233" i="1"/>
  <c r="M233" i="1"/>
  <c r="N233" i="1"/>
  <c r="O233" i="1"/>
  <c r="J246" i="1" l="1"/>
  <c r="E246" i="1"/>
  <c r="J245" i="1"/>
  <c r="E245" i="1"/>
  <c r="P246" i="1" l="1"/>
  <c r="P245" i="1"/>
  <c r="P233" i="1" s="1"/>
  <c r="E233" i="1"/>
  <c r="J233" i="1"/>
  <c r="O172" i="1" l="1"/>
  <c r="K172" i="1"/>
  <c r="O166" i="1" l="1"/>
  <c r="K166" i="1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46" i="3"/>
  <c r="M46" i="3"/>
  <c r="L46" i="3"/>
  <c r="K46" i="3"/>
  <c r="J46" i="3"/>
  <c r="H46" i="3"/>
  <c r="G46" i="3"/>
  <c r="F46" i="3"/>
  <c r="E46" i="3"/>
  <c r="J89" i="1"/>
  <c r="I53" i="3" s="1"/>
  <c r="J88" i="1"/>
  <c r="I52" i="3" s="1"/>
  <c r="E89" i="1"/>
  <c r="E88" i="1"/>
  <c r="J82" i="1"/>
  <c r="I46" i="3" s="1"/>
  <c r="E82" i="1"/>
  <c r="P82" i="1" l="1"/>
  <c r="O46" i="3" s="1"/>
  <c r="P89" i="1"/>
  <c r="O53" i="3" s="1"/>
  <c r="P88" i="1"/>
  <c r="O52" i="3" s="1"/>
  <c r="D46" i="3"/>
  <c r="D52" i="3"/>
  <c r="D53" i="3"/>
  <c r="N213" i="3"/>
  <c r="N201" i="3" s="1"/>
  <c r="M213" i="3"/>
  <c r="M201" i="3" s="1"/>
  <c r="L213" i="3"/>
  <c r="L201" i="3" s="1"/>
  <c r="K213" i="3"/>
  <c r="K201" i="3" s="1"/>
  <c r="J213" i="3"/>
  <c r="J201" i="3" s="1"/>
  <c r="H213" i="3"/>
  <c r="H201" i="3" s="1"/>
  <c r="G213" i="3"/>
  <c r="G201" i="3" s="1"/>
  <c r="F213" i="3"/>
  <c r="F201" i="3" s="1"/>
  <c r="E213" i="3"/>
  <c r="E201" i="3" s="1"/>
  <c r="N212" i="3"/>
  <c r="M212" i="3"/>
  <c r="L212" i="3"/>
  <c r="K212" i="3"/>
  <c r="J212" i="3"/>
  <c r="H212" i="3"/>
  <c r="G212" i="3"/>
  <c r="F212" i="3"/>
  <c r="E212" i="3"/>
  <c r="N196" i="3"/>
  <c r="M196" i="3"/>
  <c r="L196" i="3"/>
  <c r="K196" i="3"/>
  <c r="J196" i="3"/>
  <c r="H196" i="3"/>
  <c r="G196" i="3"/>
  <c r="F196" i="3"/>
  <c r="E196" i="3"/>
  <c r="N195" i="3"/>
  <c r="M195" i="3"/>
  <c r="L195" i="3"/>
  <c r="K195" i="3"/>
  <c r="J195" i="3"/>
  <c r="H195" i="3"/>
  <c r="G195" i="3"/>
  <c r="F195" i="3"/>
  <c r="E195" i="3"/>
  <c r="O138" i="1" l="1"/>
  <c r="N138" i="1"/>
  <c r="M138" i="1"/>
  <c r="L138" i="1"/>
  <c r="K138" i="1"/>
  <c r="I138" i="1"/>
  <c r="H138" i="1"/>
  <c r="G138" i="1"/>
  <c r="N89" i="3"/>
  <c r="M89" i="3"/>
  <c r="L89" i="3"/>
  <c r="K89" i="3"/>
  <c r="J89" i="3"/>
  <c r="H89" i="3"/>
  <c r="G89" i="3"/>
  <c r="F89" i="3"/>
  <c r="E89" i="3"/>
  <c r="N183" i="3"/>
  <c r="M183" i="3"/>
  <c r="L183" i="3"/>
  <c r="K183" i="3"/>
  <c r="J183" i="3"/>
  <c r="J180" i="3" s="1"/>
  <c r="H183" i="3"/>
  <c r="G183" i="3"/>
  <c r="F183" i="3"/>
  <c r="E183" i="3"/>
  <c r="N74" i="3"/>
  <c r="N34" i="3" s="1"/>
  <c r="M74" i="3"/>
  <c r="M34" i="3" s="1"/>
  <c r="L74" i="3"/>
  <c r="L34" i="3" s="1"/>
  <c r="K74" i="3"/>
  <c r="K34" i="3" s="1"/>
  <c r="J74" i="3"/>
  <c r="J34" i="3" s="1"/>
  <c r="H74" i="3"/>
  <c r="H34" i="3" s="1"/>
  <c r="G74" i="3"/>
  <c r="G34" i="3" s="1"/>
  <c r="F74" i="3"/>
  <c r="F34" i="3" s="1"/>
  <c r="E74" i="3"/>
  <c r="E34" i="3" s="1"/>
  <c r="O234" i="1"/>
  <c r="N234" i="1"/>
  <c r="M234" i="1"/>
  <c r="L234" i="1"/>
  <c r="K234" i="1"/>
  <c r="I234" i="1"/>
  <c r="H234" i="1"/>
  <c r="G234" i="1"/>
  <c r="F234" i="1"/>
  <c r="J257" i="1"/>
  <c r="I196" i="3" s="1"/>
  <c r="J256" i="1"/>
  <c r="I195" i="3" s="1"/>
  <c r="E257" i="1"/>
  <c r="E256" i="1"/>
  <c r="D195" i="3" s="1"/>
  <c r="J262" i="1"/>
  <c r="I213" i="3" s="1"/>
  <c r="I201" i="3" s="1"/>
  <c r="E262" i="1"/>
  <c r="D213" i="3" s="1"/>
  <c r="D201" i="3" s="1"/>
  <c r="J261" i="1"/>
  <c r="I212" i="3" s="1"/>
  <c r="E261" i="1"/>
  <c r="D212" i="3" s="1"/>
  <c r="O77" i="1"/>
  <c r="N77" i="1"/>
  <c r="M77" i="1"/>
  <c r="L77" i="1"/>
  <c r="K77" i="1"/>
  <c r="I77" i="1"/>
  <c r="H77" i="1"/>
  <c r="G77" i="1"/>
  <c r="F77" i="1"/>
  <c r="E121" i="1"/>
  <c r="D183" i="3" s="1"/>
  <c r="J121" i="1"/>
  <c r="I183" i="3" s="1"/>
  <c r="J109" i="1"/>
  <c r="I74" i="3" s="1"/>
  <c r="I34" i="3" s="1"/>
  <c r="E109" i="1"/>
  <c r="D74" i="3" s="1"/>
  <c r="D34" i="3" s="1"/>
  <c r="E234" i="1" l="1"/>
  <c r="D196" i="3"/>
  <c r="D180" i="3" s="1"/>
  <c r="D174" i="3" s="1"/>
  <c r="F180" i="3"/>
  <c r="F174" i="3" s="1"/>
  <c r="H180" i="3"/>
  <c r="H174" i="3" s="1"/>
  <c r="K180" i="3"/>
  <c r="K174" i="3" s="1"/>
  <c r="M180" i="3"/>
  <c r="M174" i="3" s="1"/>
  <c r="I180" i="3"/>
  <c r="I174" i="3" s="1"/>
  <c r="E180" i="3"/>
  <c r="E174" i="3" s="1"/>
  <c r="G180" i="3"/>
  <c r="G174" i="3" s="1"/>
  <c r="J174" i="3"/>
  <c r="L180" i="3"/>
  <c r="L174" i="3" s="1"/>
  <c r="N180" i="3"/>
  <c r="N174" i="3" s="1"/>
  <c r="P257" i="1"/>
  <c r="O196" i="3" s="1"/>
  <c r="J234" i="1"/>
  <c r="P261" i="1"/>
  <c r="O212" i="3" s="1"/>
  <c r="P262" i="1"/>
  <c r="O213" i="3" s="1"/>
  <c r="O201" i="3" s="1"/>
  <c r="P256" i="1"/>
  <c r="O195" i="3" s="1"/>
  <c r="P121" i="1"/>
  <c r="O183" i="3" s="1"/>
  <c r="P109" i="1"/>
  <c r="O74" i="3" s="1"/>
  <c r="O34" i="3" s="1"/>
  <c r="O180" i="3" l="1"/>
  <c r="O174" i="3" s="1"/>
  <c r="P234" i="1"/>
  <c r="N171" i="1" l="1"/>
  <c r="M171" i="1"/>
  <c r="L171" i="1"/>
  <c r="I171" i="1"/>
  <c r="H171" i="1"/>
  <c r="G171" i="1"/>
  <c r="F171" i="1"/>
  <c r="O170" i="1"/>
  <c r="N170" i="1"/>
  <c r="M170" i="1"/>
  <c r="L170" i="1"/>
  <c r="K170" i="1"/>
  <c r="I170" i="1"/>
  <c r="H170" i="1"/>
  <c r="G170" i="1"/>
  <c r="F170" i="1"/>
  <c r="O169" i="1"/>
  <c r="N169" i="1"/>
  <c r="M169" i="1"/>
  <c r="L169" i="1"/>
  <c r="K169" i="1"/>
  <c r="I169" i="1"/>
  <c r="H169" i="1"/>
  <c r="G169" i="1"/>
  <c r="J129" i="1" l="1"/>
  <c r="E129" i="1"/>
  <c r="P129" i="1" l="1"/>
  <c r="N204" i="3" l="1"/>
  <c r="M204" i="3"/>
  <c r="L204" i="3"/>
  <c r="K204" i="3"/>
  <c r="J204" i="3"/>
  <c r="H204" i="3"/>
  <c r="G204" i="3"/>
  <c r="F204" i="3"/>
  <c r="E204" i="3"/>
  <c r="N255" i="3"/>
  <c r="M255" i="3"/>
  <c r="L255" i="3"/>
  <c r="K255" i="3"/>
  <c r="J255" i="3"/>
  <c r="H255" i="3"/>
  <c r="G255" i="3"/>
  <c r="F255" i="3"/>
  <c r="E255" i="3"/>
  <c r="M186" i="3"/>
  <c r="L186" i="3"/>
  <c r="K186" i="3"/>
  <c r="H186" i="3"/>
  <c r="G186" i="3"/>
  <c r="F186" i="3"/>
  <c r="E186" i="3"/>
  <c r="N257" i="3" l="1"/>
  <c r="J257" i="3"/>
  <c r="E257" i="3"/>
  <c r="J271" i="1"/>
  <c r="I255" i="3" s="1"/>
  <c r="E271" i="1"/>
  <c r="D255" i="3" s="1"/>
  <c r="N73" i="3"/>
  <c r="M73" i="3"/>
  <c r="L73" i="3"/>
  <c r="K73" i="3"/>
  <c r="J73" i="3"/>
  <c r="H73" i="3"/>
  <c r="G73" i="3"/>
  <c r="F73" i="3"/>
  <c r="E73" i="3"/>
  <c r="N70" i="3"/>
  <c r="M70" i="3"/>
  <c r="L70" i="3"/>
  <c r="K70" i="3"/>
  <c r="J70" i="3"/>
  <c r="H70" i="3"/>
  <c r="G70" i="3"/>
  <c r="F70" i="3"/>
  <c r="E70" i="3"/>
  <c r="J108" i="1"/>
  <c r="E108" i="1"/>
  <c r="D73" i="3" s="1"/>
  <c r="J105" i="1"/>
  <c r="I70" i="3" s="1"/>
  <c r="E105" i="1"/>
  <c r="D70" i="3" s="1"/>
  <c r="J47" i="1"/>
  <c r="I204" i="3" s="1"/>
  <c r="E47" i="1"/>
  <c r="D204" i="3" s="1"/>
  <c r="O75" i="1"/>
  <c r="N75" i="1"/>
  <c r="M75" i="1"/>
  <c r="L75" i="1"/>
  <c r="K75" i="1"/>
  <c r="I75" i="1"/>
  <c r="H75" i="1"/>
  <c r="G75" i="1"/>
  <c r="F75" i="1"/>
  <c r="O74" i="1"/>
  <c r="N74" i="1"/>
  <c r="M74" i="1"/>
  <c r="L74" i="1"/>
  <c r="K74" i="1"/>
  <c r="I74" i="1"/>
  <c r="H74" i="1"/>
  <c r="G74" i="1"/>
  <c r="F74" i="1"/>
  <c r="N154" i="3"/>
  <c r="N150" i="3" s="1"/>
  <c r="M154" i="3"/>
  <c r="M150" i="3" s="1"/>
  <c r="L154" i="3"/>
  <c r="L150" i="3" s="1"/>
  <c r="K154" i="3"/>
  <c r="K150" i="3" s="1"/>
  <c r="J154" i="3"/>
  <c r="J150" i="3" s="1"/>
  <c r="H154" i="3"/>
  <c r="H150" i="3" s="1"/>
  <c r="G154" i="3"/>
  <c r="G150" i="3" s="1"/>
  <c r="F154" i="3"/>
  <c r="F150" i="3" s="1"/>
  <c r="E154" i="3"/>
  <c r="E150" i="3" s="1"/>
  <c r="N138" i="3"/>
  <c r="N107" i="3" s="1"/>
  <c r="M138" i="3"/>
  <c r="M107" i="3" s="1"/>
  <c r="L138" i="3"/>
  <c r="L107" i="3" s="1"/>
  <c r="K138" i="3"/>
  <c r="K107" i="3" s="1"/>
  <c r="J138" i="3"/>
  <c r="J107" i="3" s="1"/>
  <c r="H138" i="3"/>
  <c r="H107" i="3" s="1"/>
  <c r="G138" i="3"/>
  <c r="G107" i="3" s="1"/>
  <c r="F138" i="3"/>
  <c r="F107" i="3" s="1"/>
  <c r="E138" i="3"/>
  <c r="E107" i="3" s="1"/>
  <c r="N137" i="3"/>
  <c r="M137" i="3"/>
  <c r="L137" i="3"/>
  <c r="K137" i="3"/>
  <c r="J137" i="3"/>
  <c r="H137" i="3"/>
  <c r="G137" i="3"/>
  <c r="F137" i="3"/>
  <c r="E137" i="3"/>
  <c r="J291" i="1"/>
  <c r="E291" i="1"/>
  <c r="N186" i="3"/>
  <c r="J186" i="3"/>
  <c r="P108" i="1" l="1"/>
  <c r="O73" i="3" s="1"/>
  <c r="P271" i="1"/>
  <c r="O255" i="3" s="1"/>
  <c r="P291" i="1"/>
  <c r="P47" i="1"/>
  <c r="O204" i="3" s="1"/>
  <c r="I73" i="3"/>
  <c r="P105" i="1"/>
  <c r="O70" i="3" s="1"/>
  <c r="J199" i="1"/>
  <c r="J171" i="1" s="1"/>
  <c r="E199" i="1"/>
  <c r="J198" i="1"/>
  <c r="I137" i="3" s="1"/>
  <c r="E198" i="1"/>
  <c r="J119" i="1"/>
  <c r="J77" i="1" s="1"/>
  <c r="E119" i="1"/>
  <c r="E77" i="1" s="1"/>
  <c r="N76" i="3"/>
  <c r="N33" i="3" s="1"/>
  <c r="M76" i="3"/>
  <c r="M33" i="3" s="1"/>
  <c r="L76" i="3"/>
  <c r="L33" i="3" s="1"/>
  <c r="K76" i="3"/>
  <c r="K33" i="3" s="1"/>
  <c r="J76" i="3"/>
  <c r="J33" i="3" s="1"/>
  <c r="H76" i="3"/>
  <c r="H33" i="3" s="1"/>
  <c r="G76" i="3"/>
  <c r="G33" i="3" s="1"/>
  <c r="F76" i="3"/>
  <c r="F33" i="3" s="1"/>
  <c r="E76" i="3"/>
  <c r="E33" i="3" s="1"/>
  <c r="N75" i="3"/>
  <c r="M75" i="3"/>
  <c r="L75" i="3"/>
  <c r="K75" i="3"/>
  <c r="J75" i="3"/>
  <c r="H75" i="3"/>
  <c r="G75" i="3"/>
  <c r="F75" i="3"/>
  <c r="E75" i="3"/>
  <c r="N72" i="3"/>
  <c r="N32" i="3" s="1"/>
  <c r="M72" i="3"/>
  <c r="M32" i="3" s="1"/>
  <c r="L72" i="3"/>
  <c r="L32" i="3" s="1"/>
  <c r="K72" i="3"/>
  <c r="K32" i="3" s="1"/>
  <c r="J72" i="3"/>
  <c r="J32" i="3" s="1"/>
  <c r="H72" i="3"/>
  <c r="H32" i="3" s="1"/>
  <c r="G72" i="3"/>
  <c r="G32" i="3" s="1"/>
  <c r="F72" i="3"/>
  <c r="F32" i="3" s="1"/>
  <c r="E72" i="3"/>
  <c r="E32" i="3" s="1"/>
  <c r="N71" i="3"/>
  <c r="M71" i="3"/>
  <c r="L71" i="3"/>
  <c r="K71" i="3"/>
  <c r="J71" i="3"/>
  <c r="H71" i="3"/>
  <c r="G71" i="3"/>
  <c r="F71" i="3"/>
  <c r="E71" i="3"/>
  <c r="E111" i="1"/>
  <c r="E110" i="1"/>
  <c r="D75" i="3" s="1"/>
  <c r="E107" i="1"/>
  <c r="E106" i="1"/>
  <c r="D71" i="3" s="1"/>
  <c r="J111" i="1"/>
  <c r="J110" i="1"/>
  <c r="P110" i="1" s="1"/>
  <c r="O75" i="3" s="1"/>
  <c r="J107" i="1"/>
  <c r="J106" i="1"/>
  <c r="P106" i="1" s="1"/>
  <c r="O71" i="3" s="1"/>
  <c r="D138" i="3" l="1"/>
  <c r="D107" i="3" s="1"/>
  <c r="E171" i="1"/>
  <c r="I138" i="3"/>
  <c r="I107" i="3" s="1"/>
  <c r="I154" i="3"/>
  <c r="I150" i="3" s="1"/>
  <c r="P107" i="1"/>
  <c r="J75" i="1"/>
  <c r="P111" i="1"/>
  <c r="J74" i="1"/>
  <c r="D72" i="3"/>
  <c r="D32" i="3" s="1"/>
  <c r="E75" i="1"/>
  <c r="D76" i="3"/>
  <c r="D33" i="3" s="1"/>
  <c r="E74" i="1"/>
  <c r="P119" i="1"/>
  <c r="P77" i="1" s="1"/>
  <c r="D154" i="3"/>
  <c r="D150" i="3" s="1"/>
  <c r="P198" i="1"/>
  <c r="O137" i="3" s="1"/>
  <c r="D137" i="3"/>
  <c r="P199" i="1"/>
  <c r="I71" i="3"/>
  <c r="I75" i="3"/>
  <c r="I72" i="3"/>
  <c r="I32" i="3" s="1"/>
  <c r="I76" i="3"/>
  <c r="I33" i="3" s="1"/>
  <c r="O138" i="3" l="1"/>
  <c r="O107" i="3" s="1"/>
  <c r="P171" i="1"/>
  <c r="O154" i="3"/>
  <c r="O150" i="3" s="1"/>
  <c r="O76" i="3"/>
  <c r="O33" i="3" s="1"/>
  <c r="P74" i="1"/>
  <c r="O72" i="3"/>
  <c r="O32" i="3" s="1"/>
  <c r="P75" i="1"/>
  <c r="E249" i="3"/>
  <c r="E248" i="3" s="1"/>
  <c r="F249" i="3"/>
  <c r="F248" i="3" s="1"/>
  <c r="G249" i="3"/>
  <c r="G248" i="3" s="1"/>
  <c r="H249" i="3"/>
  <c r="H248" i="3" s="1"/>
  <c r="J249" i="3"/>
  <c r="J248" i="3" s="1"/>
  <c r="K249" i="3"/>
  <c r="K248" i="3" s="1"/>
  <c r="L249" i="3"/>
  <c r="L248" i="3" s="1"/>
  <c r="M249" i="3"/>
  <c r="M248" i="3" s="1"/>
  <c r="N249" i="3"/>
  <c r="N248" i="3" s="1"/>
  <c r="E252" i="3"/>
  <c r="E250" i="3" s="1"/>
  <c r="F252" i="3"/>
  <c r="F250" i="3" s="1"/>
  <c r="G252" i="3"/>
  <c r="G250" i="3" s="1"/>
  <c r="H252" i="3"/>
  <c r="H250" i="3" s="1"/>
  <c r="J252" i="3"/>
  <c r="J250" i="3" s="1"/>
  <c r="K252" i="3"/>
  <c r="K250" i="3" s="1"/>
  <c r="L252" i="3"/>
  <c r="L250" i="3" s="1"/>
  <c r="M252" i="3"/>
  <c r="M250" i="3" s="1"/>
  <c r="N252" i="3"/>
  <c r="N250" i="3" s="1"/>
  <c r="E253" i="3"/>
  <c r="E251" i="3" s="1"/>
  <c r="E247" i="3" s="1"/>
  <c r="F253" i="3"/>
  <c r="F251" i="3" s="1"/>
  <c r="F247" i="3" s="1"/>
  <c r="G253" i="3"/>
  <c r="G251" i="3" s="1"/>
  <c r="G247" i="3" s="1"/>
  <c r="H253" i="3"/>
  <c r="H251" i="3" s="1"/>
  <c r="H247" i="3" s="1"/>
  <c r="J253" i="3"/>
  <c r="J251" i="3" s="1"/>
  <c r="J247" i="3" s="1"/>
  <c r="K253" i="3"/>
  <c r="K251" i="3" s="1"/>
  <c r="K247" i="3" s="1"/>
  <c r="L253" i="3"/>
  <c r="L251" i="3" s="1"/>
  <c r="L247" i="3" s="1"/>
  <c r="M253" i="3"/>
  <c r="M251" i="3" s="1"/>
  <c r="M247" i="3" s="1"/>
  <c r="N253" i="3"/>
  <c r="N251" i="3" s="1"/>
  <c r="N247" i="3" s="1"/>
  <c r="F258" i="3"/>
  <c r="G258" i="3"/>
  <c r="H258" i="3"/>
  <c r="J258" i="3"/>
  <c r="K258" i="3"/>
  <c r="L258" i="3"/>
  <c r="M258" i="3"/>
  <c r="N258" i="3"/>
  <c r="L254" i="3" l="1"/>
  <c r="G254" i="3"/>
  <c r="G246" i="3" s="1"/>
  <c r="M254" i="3"/>
  <c r="M246" i="3" s="1"/>
  <c r="K254" i="3"/>
  <c r="K246" i="3" s="1"/>
  <c r="H254" i="3"/>
  <c r="H246" i="3" s="1"/>
  <c r="F254" i="3"/>
  <c r="F246" i="3" s="1"/>
  <c r="L246" i="3"/>
  <c r="E258" i="3" l="1"/>
  <c r="N197" i="3" l="1"/>
  <c r="M197" i="3"/>
  <c r="L197" i="3"/>
  <c r="K197" i="3"/>
  <c r="J197" i="3"/>
  <c r="H197" i="3"/>
  <c r="G197" i="3"/>
  <c r="F197" i="3"/>
  <c r="O232" i="1"/>
  <c r="N232" i="1"/>
  <c r="M232" i="1"/>
  <c r="L232" i="1"/>
  <c r="K232" i="1"/>
  <c r="I232" i="1"/>
  <c r="H232" i="1"/>
  <c r="G232" i="1"/>
  <c r="F232" i="1"/>
  <c r="E197" i="3"/>
  <c r="O308" i="1"/>
  <c r="K308" i="1"/>
  <c r="K304" i="1" s="1"/>
  <c r="J309" i="1"/>
  <c r="O137" i="1"/>
  <c r="N137" i="1"/>
  <c r="M137" i="1"/>
  <c r="L137" i="1"/>
  <c r="K137" i="1"/>
  <c r="I137" i="1"/>
  <c r="H137" i="1"/>
  <c r="G137" i="1"/>
  <c r="F137" i="1"/>
  <c r="O76" i="1"/>
  <c r="N76" i="1"/>
  <c r="M76" i="1"/>
  <c r="L76" i="1"/>
  <c r="K76" i="1"/>
  <c r="I76" i="1"/>
  <c r="H76" i="1"/>
  <c r="G76" i="1"/>
  <c r="F76" i="1"/>
  <c r="E123" i="1"/>
  <c r="E122" i="1"/>
  <c r="J123" i="1"/>
  <c r="J122" i="1"/>
  <c r="O276" i="1"/>
  <c r="K276" i="1"/>
  <c r="O304" i="1" l="1"/>
  <c r="J308" i="1"/>
  <c r="E76" i="1"/>
  <c r="P123" i="1"/>
  <c r="E309" i="1"/>
  <c r="P309" i="1" s="1"/>
  <c r="P122" i="1"/>
  <c r="J76" i="1"/>
  <c r="P76" i="1" l="1"/>
  <c r="N254" i="3"/>
  <c r="N246" i="3" s="1"/>
  <c r="J254" i="3"/>
  <c r="J246" i="3" s="1"/>
  <c r="F73" i="1"/>
  <c r="N55" i="3" l="1"/>
  <c r="N25" i="3" s="1"/>
  <c r="M55" i="3"/>
  <c r="M25" i="3" s="1"/>
  <c r="L55" i="3"/>
  <c r="L25" i="3" s="1"/>
  <c r="K55" i="3"/>
  <c r="K25" i="3" s="1"/>
  <c r="J55" i="3"/>
  <c r="J25" i="3" s="1"/>
  <c r="H55" i="3"/>
  <c r="H25" i="3" s="1"/>
  <c r="G55" i="3"/>
  <c r="G25" i="3" s="1"/>
  <c r="F55" i="3"/>
  <c r="F25" i="3" s="1"/>
  <c r="E55" i="3"/>
  <c r="E25" i="3" s="1"/>
  <c r="O68" i="1"/>
  <c r="N68" i="1"/>
  <c r="M68" i="1"/>
  <c r="L68" i="1"/>
  <c r="K68" i="1"/>
  <c r="I68" i="1"/>
  <c r="H68" i="1"/>
  <c r="G68" i="1"/>
  <c r="F68" i="1"/>
  <c r="J91" i="1"/>
  <c r="I55" i="3" s="1"/>
  <c r="I25" i="3" s="1"/>
  <c r="E91" i="1"/>
  <c r="D55" i="3" s="1"/>
  <c r="D25" i="3" s="1"/>
  <c r="N20" i="3"/>
  <c r="M20" i="3"/>
  <c r="L20" i="3"/>
  <c r="K20" i="3"/>
  <c r="J20" i="3"/>
  <c r="H20" i="3"/>
  <c r="G20" i="3"/>
  <c r="F20" i="3"/>
  <c r="E20" i="3"/>
  <c r="J237" i="1"/>
  <c r="E237" i="1"/>
  <c r="O212" i="1"/>
  <c r="K212" i="1"/>
  <c r="O211" i="1"/>
  <c r="K211" i="1"/>
  <c r="O209" i="1" l="1"/>
  <c r="N18" i="3"/>
  <c r="K209" i="1"/>
  <c r="J18" i="3"/>
  <c r="P237" i="1"/>
  <c r="P91" i="1"/>
  <c r="E68" i="1"/>
  <c r="J68" i="1"/>
  <c r="N210" i="3"/>
  <c r="M210" i="3"/>
  <c r="L210" i="3"/>
  <c r="K210" i="3"/>
  <c r="J210" i="3"/>
  <c r="H210" i="3"/>
  <c r="G210" i="3"/>
  <c r="F210" i="3"/>
  <c r="E210" i="3"/>
  <c r="N211" i="3"/>
  <c r="N200" i="3" s="1"/>
  <c r="M211" i="3"/>
  <c r="M200" i="3" s="1"/>
  <c r="L211" i="3"/>
  <c r="L200" i="3" s="1"/>
  <c r="K211" i="3"/>
  <c r="K200" i="3" s="1"/>
  <c r="J211" i="3"/>
  <c r="J200" i="3" s="1"/>
  <c r="H211" i="3"/>
  <c r="H200" i="3" s="1"/>
  <c r="G211" i="3"/>
  <c r="G200" i="3" s="1"/>
  <c r="F211" i="3"/>
  <c r="F200" i="3" s="1"/>
  <c r="E211" i="3"/>
  <c r="E200" i="3" s="1"/>
  <c r="N57" i="3"/>
  <c r="M57" i="3"/>
  <c r="L57" i="3"/>
  <c r="K57" i="3"/>
  <c r="J57" i="3"/>
  <c r="H57" i="3"/>
  <c r="G57" i="3"/>
  <c r="F57" i="3"/>
  <c r="E57" i="3"/>
  <c r="N58" i="3"/>
  <c r="M58" i="3"/>
  <c r="L58" i="3"/>
  <c r="K58" i="3"/>
  <c r="J58" i="3"/>
  <c r="H58" i="3"/>
  <c r="G58" i="3"/>
  <c r="F58" i="3"/>
  <c r="E58" i="3"/>
  <c r="N73" i="1"/>
  <c r="M73" i="1"/>
  <c r="L73" i="1"/>
  <c r="I73" i="1"/>
  <c r="H73" i="1"/>
  <c r="G73" i="1"/>
  <c r="J128" i="1"/>
  <c r="I253" i="3" s="1"/>
  <c r="I251" i="3" s="1"/>
  <c r="I247" i="3" s="1"/>
  <c r="J127" i="1"/>
  <c r="I252" i="3" s="1"/>
  <c r="I250" i="3" s="1"/>
  <c r="E128" i="1"/>
  <c r="E127" i="1"/>
  <c r="J94" i="1"/>
  <c r="I58" i="3" s="1"/>
  <c r="J93" i="1"/>
  <c r="I57" i="3" s="1"/>
  <c r="E94" i="1"/>
  <c r="P94" i="1" s="1"/>
  <c r="O58" i="3" s="1"/>
  <c r="E93" i="1"/>
  <c r="P93" i="1" s="1"/>
  <c r="O57" i="3" s="1"/>
  <c r="O73" i="1"/>
  <c r="K73" i="1"/>
  <c r="P127" i="1" l="1"/>
  <c r="O252" i="3" s="1"/>
  <c r="O250" i="3" s="1"/>
  <c r="P128" i="1"/>
  <c r="O253" i="3" s="1"/>
  <c r="O251" i="3" s="1"/>
  <c r="O247" i="3" s="1"/>
  <c r="D253" i="3"/>
  <c r="D251" i="3" s="1"/>
  <c r="D247" i="3" s="1"/>
  <c r="D58" i="3"/>
  <c r="O55" i="3"/>
  <c r="O25" i="3" s="1"/>
  <c r="P68" i="1"/>
  <c r="D57" i="3"/>
  <c r="D252" i="3"/>
  <c r="D250" i="3" s="1"/>
  <c r="J173" i="1" l="1"/>
  <c r="E173" i="1" l="1"/>
  <c r="P173" i="1" s="1"/>
  <c r="K132" i="1" l="1"/>
  <c r="N56" i="3"/>
  <c r="N31" i="3" s="1"/>
  <c r="M56" i="3"/>
  <c r="M31" i="3" s="1"/>
  <c r="L56" i="3"/>
  <c r="L31" i="3" s="1"/>
  <c r="K56" i="3"/>
  <c r="K31" i="3" s="1"/>
  <c r="J56" i="3"/>
  <c r="J31" i="3" s="1"/>
  <c r="H56" i="3"/>
  <c r="H31" i="3" s="1"/>
  <c r="G56" i="3"/>
  <c r="G31" i="3" s="1"/>
  <c r="F56" i="3"/>
  <c r="F31" i="3" s="1"/>
  <c r="E56" i="3"/>
  <c r="E31" i="3" s="1"/>
  <c r="J92" i="1"/>
  <c r="J73" i="1" s="1"/>
  <c r="E92" i="1"/>
  <c r="E73" i="1" s="1"/>
  <c r="E254" i="3" l="1"/>
  <c r="E246" i="3" s="1"/>
  <c r="P92" i="1"/>
  <c r="P73" i="1" s="1"/>
  <c r="D56" i="3"/>
  <c r="D31" i="3" s="1"/>
  <c r="I56" i="3"/>
  <c r="I31" i="3" s="1"/>
  <c r="O56" i="3" l="1"/>
  <c r="O31" i="3" s="1"/>
  <c r="F169" i="1"/>
  <c r="N182" i="3" l="1"/>
  <c r="M182" i="3"/>
  <c r="L182" i="3"/>
  <c r="K182" i="3"/>
  <c r="J182" i="3"/>
  <c r="H182" i="3"/>
  <c r="G182" i="3"/>
  <c r="F182" i="3"/>
  <c r="E182" i="3"/>
  <c r="K136" i="1" l="1"/>
  <c r="N54" i="3" l="1"/>
  <c r="M54" i="3"/>
  <c r="L54" i="3"/>
  <c r="K54" i="3"/>
  <c r="J54" i="3"/>
  <c r="H54" i="3"/>
  <c r="G54" i="3"/>
  <c r="F54" i="3"/>
  <c r="E54" i="3"/>
  <c r="J90" i="1"/>
  <c r="I54" i="3" s="1"/>
  <c r="E90" i="1"/>
  <c r="J302" i="1"/>
  <c r="E302" i="1"/>
  <c r="D54" i="3" l="1"/>
  <c r="P302" i="1"/>
  <c r="P90" i="1"/>
  <c r="O54" i="3" s="1"/>
  <c r="J130" i="1"/>
  <c r="E130" i="1" l="1"/>
  <c r="N80" i="3"/>
  <c r="N30" i="3" s="1"/>
  <c r="M80" i="3"/>
  <c r="M30" i="3" s="1"/>
  <c r="L80" i="3"/>
  <c r="L30" i="3" s="1"/>
  <c r="K80" i="3"/>
  <c r="K30" i="3" s="1"/>
  <c r="J80" i="3"/>
  <c r="J30" i="3" s="1"/>
  <c r="H80" i="3"/>
  <c r="H30" i="3" s="1"/>
  <c r="G80" i="3"/>
  <c r="G30" i="3" s="1"/>
  <c r="F80" i="3"/>
  <c r="F30" i="3" s="1"/>
  <c r="E80" i="3"/>
  <c r="E30" i="3" s="1"/>
  <c r="N79" i="3"/>
  <c r="M79" i="3"/>
  <c r="L79" i="3"/>
  <c r="K79" i="3"/>
  <c r="J79" i="3"/>
  <c r="H79" i="3"/>
  <c r="G79" i="3"/>
  <c r="F79" i="3"/>
  <c r="E79" i="3"/>
  <c r="O72" i="1"/>
  <c r="N72" i="1"/>
  <c r="M72" i="1"/>
  <c r="L72" i="1"/>
  <c r="K72" i="1"/>
  <c r="I72" i="1"/>
  <c r="H72" i="1"/>
  <c r="G72" i="1"/>
  <c r="F72" i="1"/>
  <c r="J115" i="1"/>
  <c r="I80" i="3" s="1"/>
  <c r="I30" i="3" s="1"/>
  <c r="J114" i="1"/>
  <c r="I79" i="3" s="1"/>
  <c r="E115" i="1"/>
  <c r="P115" i="1" s="1"/>
  <c r="O80" i="3" s="1"/>
  <c r="O30" i="3" s="1"/>
  <c r="E114" i="1"/>
  <c r="P114" i="1" s="1"/>
  <c r="O79" i="3" s="1"/>
  <c r="D80" i="3" l="1"/>
  <c r="D30" i="3" s="1"/>
  <c r="E72" i="1"/>
  <c r="P130" i="1"/>
  <c r="D79" i="3"/>
  <c r="J72" i="1"/>
  <c r="P72" i="1"/>
  <c r="N60" i="3" l="1"/>
  <c r="M60" i="3"/>
  <c r="L60" i="3"/>
  <c r="K60" i="3"/>
  <c r="J60" i="3"/>
  <c r="H60" i="3"/>
  <c r="G60" i="3"/>
  <c r="F60" i="3"/>
  <c r="E60" i="3"/>
  <c r="E220" i="1"/>
  <c r="J220" i="1"/>
  <c r="I60" i="3" s="1"/>
  <c r="D60" i="3" l="1"/>
  <c r="P220" i="1"/>
  <c r="O60" i="3" s="1"/>
  <c r="N229" i="3" l="1"/>
  <c r="M229" i="3"/>
  <c r="L229" i="3"/>
  <c r="K229" i="3"/>
  <c r="J229" i="3"/>
  <c r="H229" i="3"/>
  <c r="G229" i="3"/>
  <c r="F229" i="3"/>
  <c r="E229" i="3"/>
  <c r="E125" i="1"/>
  <c r="D229" i="3" s="1"/>
  <c r="J125" i="1"/>
  <c r="I229" i="3" s="1"/>
  <c r="N153" i="3"/>
  <c r="M153" i="3"/>
  <c r="L153" i="3"/>
  <c r="K153" i="3"/>
  <c r="J153" i="3"/>
  <c r="H153" i="3"/>
  <c r="G153" i="3"/>
  <c r="F153" i="3"/>
  <c r="E153" i="3"/>
  <c r="N78" i="3"/>
  <c r="N28" i="3" s="1"/>
  <c r="M78" i="3"/>
  <c r="M28" i="3" s="1"/>
  <c r="L78" i="3"/>
  <c r="L28" i="3" s="1"/>
  <c r="K78" i="3"/>
  <c r="K28" i="3" s="1"/>
  <c r="J78" i="3"/>
  <c r="J28" i="3" s="1"/>
  <c r="H78" i="3"/>
  <c r="H28" i="3" s="1"/>
  <c r="G78" i="3"/>
  <c r="G28" i="3" s="1"/>
  <c r="F78" i="3"/>
  <c r="F28" i="3" s="1"/>
  <c r="E78" i="3"/>
  <c r="E28" i="3" s="1"/>
  <c r="N77" i="3"/>
  <c r="M77" i="3"/>
  <c r="L77" i="3"/>
  <c r="K77" i="3"/>
  <c r="J77" i="3"/>
  <c r="H77" i="3"/>
  <c r="G77" i="3"/>
  <c r="F77" i="3"/>
  <c r="E77" i="3"/>
  <c r="N69" i="3"/>
  <c r="M69" i="3"/>
  <c r="L69" i="3"/>
  <c r="K69" i="3"/>
  <c r="J69" i="3"/>
  <c r="H69" i="3"/>
  <c r="G69" i="3"/>
  <c r="F69" i="3"/>
  <c r="E69" i="3"/>
  <c r="B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4" i="3"/>
  <c r="M64" i="3"/>
  <c r="L64" i="3"/>
  <c r="K64" i="3"/>
  <c r="J64" i="3"/>
  <c r="H64" i="3"/>
  <c r="G64" i="3"/>
  <c r="F64" i="3"/>
  <c r="E64" i="3"/>
  <c r="N59" i="3"/>
  <c r="M59" i="3"/>
  <c r="L59" i="3"/>
  <c r="K59" i="3"/>
  <c r="J59" i="3"/>
  <c r="H59" i="3"/>
  <c r="G59" i="3"/>
  <c r="F59" i="3"/>
  <c r="E59" i="3"/>
  <c r="N51" i="3"/>
  <c r="M51" i="3"/>
  <c r="L51" i="3"/>
  <c r="K51" i="3"/>
  <c r="J51" i="3"/>
  <c r="H51" i="3"/>
  <c r="G51" i="3"/>
  <c r="F51" i="3"/>
  <c r="E51" i="3"/>
  <c r="N50" i="3"/>
  <c r="M50" i="3"/>
  <c r="L50" i="3"/>
  <c r="K50" i="3"/>
  <c r="J50" i="3"/>
  <c r="H50" i="3"/>
  <c r="G50" i="3"/>
  <c r="F50" i="3"/>
  <c r="E50" i="3"/>
  <c r="N49" i="3"/>
  <c r="N26" i="3" s="1"/>
  <c r="M49" i="3"/>
  <c r="M26" i="3" s="1"/>
  <c r="L49" i="3"/>
  <c r="L26" i="3" s="1"/>
  <c r="K49" i="3"/>
  <c r="K26" i="3" s="1"/>
  <c r="J49" i="3"/>
  <c r="J26" i="3" s="1"/>
  <c r="H49" i="3"/>
  <c r="H26" i="3" s="1"/>
  <c r="G49" i="3"/>
  <c r="G26" i="3" s="1"/>
  <c r="F49" i="3"/>
  <c r="F26" i="3" s="1"/>
  <c r="E49" i="3"/>
  <c r="E26" i="3" s="1"/>
  <c r="N48" i="3"/>
  <c r="N24" i="3" s="1"/>
  <c r="M48" i="3"/>
  <c r="L48" i="3"/>
  <c r="L24" i="3" s="1"/>
  <c r="K48" i="3"/>
  <c r="J48" i="3"/>
  <c r="J24" i="3" s="1"/>
  <c r="H48" i="3"/>
  <c r="G48" i="3"/>
  <c r="G24" i="3" s="1"/>
  <c r="F48" i="3"/>
  <c r="E48" i="3"/>
  <c r="E24" i="3" s="1"/>
  <c r="N47" i="3"/>
  <c r="M47" i="3"/>
  <c r="M23" i="3" s="1"/>
  <c r="L47" i="3"/>
  <c r="K47" i="3"/>
  <c r="J47" i="3"/>
  <c r="H47" i="3"/>
  <c r="G47" i="3"/>
  <c r="F47" i="3"/>
  <c r="E47" i="3"/>
  <c r="K23" i="3"/>
  <c r="H23" i="3" l="1"/>
  <c r="L23" i="3"/>
  <c r="F24" i="3"/>
  <c r="H24" i="3"/>
  <c r="K24" i="3"/>
  <c r="M24" i="3"/>
  <c r="F23" i="3"/>
  <c r="J23" i="3"/>
  <c r="N23" i="3"/>
  <c r="G23" i="3"/>
  <c r="E23" i="3"/>
  <c r="P125" i="1"/>
  <c r="O229" i="3" s="1"/>
  <c r="J126" i="1"/>
  <c r="J124" i="1"/>
  <c r="J120" i="1"/>
  <c r="J118" i="1"/>
  <c r="J117" i="1"/>
  <c r="J116" i="1"/>
  <c r="E126" i="1"/>
  <c r="E124" i="1"/>
  <c r="E120" i="1"/>
  <c r="E118" i="1"/>
  <c r="E116" i="1"/>
  <c r="P116" i="1" l="1"/>
  <c r="P118" i="1"/>
  <c r="P124" i="1"/>
  <c r="P120" i="1"/>
  <c r="P126" i="1"/>
  <c r="P117" i="1"/>
  <c r="O71" i="1"/>
  <c r="N71" i="1"/>
  <c r="M71" i="1"/>
  <c r="L71" i="1"/>
  <c r="K71" i="1"/>
  <c r="I71" i="1"/>
  <c r="H71" i="1"/>
  <c r="G71" i="1"/>
  <c r="F71" i="1"/>
  <c r="O69" i="1"/>
  <c r="N69" i="1"/>
  <c r="M69" i="1"/>
  <c r="L69" i="1"/>
  <c r="K69" i="1"/>
  <c r="I69" i="1"/>
  <c r="H69" i="1"/>
  <c r="G69" i="1"/>
  <c r="F69" i="1"/>
  <c r="J103" i="1"/>
  <c r="I68" i="3" s="1"/>
  <c r="E103" i="1"/>
  <c r="D68" i="3" s="1"/>
  <c r="J87" i="1"/>
  <c r="I51" i="3" s="1"/>
  <c r="E87" i="1"/>
  <c r="D51" i="3" s="1"/>
  <c r="P103" i="1" l="1"/>
  <c r="O68" i="3" s="1"/>
  <c r="P87" i="1"/>
  <c r="O51" i="3" s="1"/>
  <c r="D222" i="1" l="1"/>
  <c r="D57" i="1" l="1"/>
  <c r="N226" i="3" l="1"/>
  <c r="M226" i="3"/>
  <c r="L226" i="3"/>
  <c r="K226" i="3"/>
  <c r="J226" i="3"/>
  <c r="H226" i="3"/>
  <c r="G226" i="3"/>
  <c r="F226" i="3"/>
  <c r="E226" i="3"/>
  <c r="N187" i="3"/>
  <c r="N190" i="3"/>
  <c r="M190" i="3"/>
  <c r="L190" i="3"/>
  <c r="K190" i="3"/>
  <c r="J190" i="3"/>
  <c r="H190" i="3"/>
  <c r="G190" i="3"/>
  <c r="F190" i="3"/>
  <c r="E190" i="3"/>
  <c r="O218" i="1"/>
  <c r="N218" i="1"/>
  <c r="M218" i="1"/>
  <c r="L218" i="1"/>
  <c r="K218" i="1"/>
  <c r="I218" i="1"/>
  <c r="H218" i="1"/>
  <c r="G218" i="1"/>
  <c r="F218" i="1"/>
  <c r="N224" i="3"/>
  <c r="M224" i="3"/>
  <c r="L224" i="3"/>
  <c r="K224" i="3"/>
  <c r="J224" i="3"/>
  <c r="H224" i="3"/>
  <c r="G224" i="3"/>
  <c r="F224" i="3"/>
  <c r="E224" i="3"/>
  <c r="O235" i="1"/>
  <c r="N235" i="1"/>
  <c r="M235" i="1"/>
  <c r="L235" i="1"/>
  <c r="K235" i="1"/>
  <c r="I235" i="1"/>
  <c r="H235" i="1"/>
  <c r="G235" i="1"/>
  <c r="F235" i="1"/>
  <c r="E308" i="1"/>
  <c r="E266" i="1"/>
  <c r="D224" i="3" s="1"/>
  <c r="J266" i="1"/>
  <c r="I224" i="3" s="1"/>
  <c r="E225" i="1"/>
  <c r="D186" i="3" s="1"/>
  <c r="J225" i="1"/>
  <c r="I186" i="3" s="1"/>
  <c r="D190" i="3" l="1"/>
  <c r="I190" i="3"/>
  <c r="P225" i="1"/>
  <c r="O186" i="3" s="1"/>
  <c r="P266" i="1"/>
  <c r="E235" i="1"/>
  <c r="P308" i="1"/>
  <c r="J235" i="1"/>
  <c r="E19" i="3"/>
  <c r="F19" i="3"/>
  <c r="G19" i="3"/>
  <c r="H19" i="3"/>
  <c r="J19" i="3"/>
  <c r="K19" i="3"/>
  <c r="L19" i="3"/>
  <c r="M19" i="3"/>
  <c r="N19" i="3"/>
  <c r="O190" i="3" l="1"/>
  <c r="O224" i="3"/>
  <c r="P235" i="1"/>
  <c r="N209" i="3"/>
  <c r="M209" i="3"/>
  <c r="L209" i="3"/>
  <c r="K209" i="3"/>
  <c r="J209" i="3"/>
  <c r="H209" i="3"/>
  <c r="G209" i="3"/>
  <c r="F209" i="3"/>
  <c r="E209" i="3"/>
  <c r="J49" i="1" l="1"/>
  <c r="I209" i="3" s="1"/>
  <c r="E49" i="1"/>
  <c r="J21" i="1"/>
  <c r="I19" i="3" s="1"/>
  <c r="E21" i="1"/>
  <c r="D209" i="3" l="1"/>
  <c r="P49" i="1"/>
  <c r="O209" i="3" s="1"/>
  <c r="P21" i="1"/>
  <c r="O19" i="3" s="1"/>
  <c r="D19" i="3"/>
  <c r="F210" i="1" l="1"/>
  <c r="G210" i="1"/>
  <c r="H210" i="1"/>
  <c r="I210" i="1"/>
  <c r="K210" i="1"/>
  <c r="L210" i="1"/>
  <c r="M210" i="1"/>
  <c r="N210" i="1"/>
  <c r="O210" i="1"/>
  <c r="E90" i="3" l="1"/>
  <c r="F90" i="3"/>
  <c r="G90" i="3"/>
  <c r="H90" i="3"/>
  <c r="J90" i="3"/>
  <c r="K90" i="3"/>
  <c r="L90" i="3"/>
  <c r="M90" i="3"/>
  <c r="N90" i="3"/>
  <c r="F132" i="1" l="1"/>
  <c r="G132" i="1"/>
  <c r="H132" i="1"/>
  <c r="I132" i="1"/>
  <c r="L132" i="1"/>
  <c r="M132" i="1"/>
  <c r="N132" i="1"/>
  <c r="O132" i="1"/>
  <c r="E145" i="1"/>
  <c r="J145" i="1"/>
  <c r="I90" i="3" s="1"/>
  <c r="D145" i="1"/>
  <c r="P145" i="1" l="1"/>
  <c r="O90" i="3" s="1"/>
  <c r="D90" i="3"/>
  <c r="E208" i="3"/>
  <c r="F208" i="3"/>
  <c r="G208" i="3"/>
  <c r="H208" i="3"/>
  <c r="J208" i="3"/>
  <c r="K208" i="3"/>
  <c r="L208" i="3"/>
  <c r="M208" i="3"/>
  <c r="N208" i="3"/>
  <c r="E260" i="1"/>
  <c r="J260" i="1"/>
  <c r="F231" i="1"/>
  <c r="F333" i="1" s="1"/>
  <c r="G231" i="1"/>
  <c r="G333" i="1" s="1"/>
  <c r="H231" i="1"/>
  <c r="H333" i="1" s="1"/>
  <c r="I231" i="1"/>
  <c r="I333" i="1" s="1"/>
  <c r="K231" i="1"/>
  <c r="K333" i="1" s="1"/>
  <c r="L231" i="1"/>
  <c r="L333" i="1" s="1"/>
  <c r="M231" i="1"/>
  <c r="M333" i="1" s="1"/>
  <c r="N231" i="1"/>
  <c r="N333" i="1" s="1"/>
  <c r="O231" i="1"/>
  <c r="O333" i="1" s="1"/>
  <c r="D208" i="3" l="1"/>
  <c r="D211" i="3"/>
  <c r="D200" i="3" s="1"/>
  <c r="J231" i="1"/>
  <c r="I211" i="3"/>
  <c r="I200" i="3" s="1"/>
  <c r="E231" i="1"/>
  <c r="P260" i="1"/>
  <c r="O211" i="3" s="1"/>
  <c r="O200" i="3" s="1"/>
  <c r="I208" i="3"/>
  <c r="E216" i="1"/>
  <c r="J216" i="1"/>
  <c r="I168" i="3" s="1"/>
  <c r="L167" i="1"/>
  <c r="E135" i="3"/>
  <c r="F135" i="3"/>
  <c r="G135" i="3"/>
  <c r="H135" i="3"/>
  <c r="J135" i="3"/>
  <c r="K135" i="3"/>
  <c r="L135" i="3"/>
  <c r="M135" i="3"/>
  <c r="N135" i="3"/>
  <c r="E136" i="3"/>
  <c r="F136" i="3"/>
  <c r="G136" i="3"/>
  <c r="H136" i="3"/>
  <c r="J136" i="3"/>
  <c r="K136" i="3"/>
  <c r="L136" i="3"/>
  <c r="M136" i="3"/>
  <c r="N136" i="3"/>
  <c r="E139" i="3"/>
  <c r="F139" i="3"/>
  <c r="G139" i="3"/>
  <c r="H139" i="3"/>
  <c r="J139" i="3"/>
  <c r="K139" i="3"/>
  <c r="L139" i="3"/>
  <c r="M139" i="3"/>
  <c r="N139" i="3"/>
  <c r="E140" i="3"/>
  <c r="E104" i="3" s="1"/>
  <c r="F140" i="3"/>
  <c r="F104" i="3" s="1"/>
  <c r="G140" i="3"/>
  <c r="G104" i="3" s="1"/>
  <c r="H140" i="3"/>
  <c r="H104" i="3" s="1"/>
  <c r="J140" i="3"/>
  <c r="J104" i="3" s="1"/>
  <c r="K140" i="3"/>
  <c r="K104" i="3" s="1"/>
  <c r="L140" i="3"/>
  <c r="L104" i="3" s="1"/>
  <c r="M140" i="3"/>
  <c r="M104" i="3" s="1"/>
  <c r="N140" i="3"/>
  <c r="N104" i="3" s="1"/>
  <c r="E197" i="1"/>
  <c r="E196" i="1"/>
  <c r="D135" i="3" s="1"/>
  <c r="J197" i="1"/>
  <c r="J170" i="1" s="1"/>
  <c r="J196" i="1"/>
  <c r="I135" i="3" s="1"/>
  <c r="E159" i="3"/>
  <c r="F159" i="3"/>
  <c r="G159" i="3"/>
  <c r="H159" i="3"/>
  <c r="J159" i="3"/>
  <c r="K159" i="3"/>
  <c r="L159" i="3"/>
  <c r="M159" i="3"/>
  <c r="N159" i="3"/>
  <c r="J200" i="1"/>
  <c r="I139" i="3" s="1"/>
  <c r="J201" i="1"/>
  <c r="J168" i="1" s="1"/>
  <c r="E200" i="1"/>
  <c r="D139" i="3" s="1"/>
  <c r="E201" i="1"/>
  <c r="F168" i="1"/>
  <c r="G168" i="1"/>
  <c r="H168" i="1"/>
  <c r="I168" i="1"/>
  <c r="K168" i="1"/>
  <c r="L168" i="1"/>
  <c r="M168" i="1"/>
  <c r="N168" i="1"/>
  <c r="O168" i="1"/>
  <c r="F167" i="1"/>
  <c r="G167" i="1"/>
  <c r="H167" i="1"/>
  <c r="I167" i="1"/>
  <c r="K167" i="1"/>
  <c r="M167" i="1"/>
  <c r="N167" i="1"/>
  <c r="O167" i="1"/>
  <c r="D167" i="1"/>
  <c r="D201" i="1"/>
  <c r="D168" i="1"/>
  <c r="D200" i="1"/>
  <c r="J22" i="1"/>
  <c r="J23" i="1"/>
  <c r="J24" i="1"/>
  <c r="J19" i="1" s="1"/>
  <c r="E24" i="1"/>
  <c r="D22" i="3" s="1"/>
  <c r="D17" i="3" s="1"/>
  <c r="D19" i="1"/>
  <c r="D24" i="1"/>
  <c r="E22" i="3"/>
  <c r="E17" i="3" s="1"/>
  <c r="F22" i="3"/>
  <c r="F17" i="3" s="1"/>
  <c r="G22" i="3"/>
  <c r="G17" i="3" s="1"/>
  <c r="H22" i="3"/>
  <c r="H17" i="3" s="1"/>
  <c r="I22" i="3"/>
  <c r="I17" i="3" s="1"/>
  <c r="J22" i="3"/>
  <c r="J17" i="3" s="1"/>
  <c r="K22" i="3"/>
  <c r="K17" i="3" s="1"/>
  <c r="L22" i="3"/>
  <c r="L17" i="3" s="1"/>
  <c r="M22" i="3"/>
  <c r="M17" i="3" s="1"/>
  <c r="N22" i="3"/>
  <c r="N17" i="3" s="1"/>
  <c r="F19" i="1"/>
  <c r="G19" i="1"/>
  <c r="H19" i="1"/>
  <c r="I19" i="1"/>
  <c r="K19" i="1"/>
  <c r="L19" i="1"/>
  <c r="M19" i="1"/>
  <c r="N19" i="1"/>
  <c r="O19" i="1"/>
  <c r="I20" i="3" l="1"/>
  <c r="E210" i="1"/>
  <c r="D168" i="3"/>
  <c r="D159" i="3" s="1"/>
  <c r="D136" i="3"/>
  <c r="D106" i="3" s="1"/>
  <c r="E170" i="1"/>
  <c r="N103" i="3"/>
  <c r="N106" i="3"/>
  <c r="L103" i="3"/>
  <c r="L106" i="3"/>
  <c r="J103" i="3"/>
  <c r="J106" i="3"/>
  <c r="G103" i="3"/>
  <c r="G106" i="3"/>
  <c r="E103" i="3"/>
  <c r="E106" i="3"/>
  <c r="M103" i="3"/>
  <c r="M106" i="3"/>
  <c r="K103" i="3"/>
  <c r="K106" i="3"/>
  <c r="H103" i="3"/>
  <c r="H106" i="3"/>
  <c r="F103" i="3"/>
  <c r="F106" i="3"/>
  <c r="P231" i="1"/>
  <c r="O208" i="3"/>
  <c r="P216" i="1"/>
  <c r="J210" i="1"/>
  <c r="P197" i="1"/>
  <c r="I159" i="3"/>
  <c r="D140" i="3"/>
  <c r="D104" i="3" s="1"/>
  <c r="I136" i="3"/>
  <c r="J167" i="1"/>
  <c r="I140" i="3"/>
  <c r="I104" i="3" s="1"/>
  <c r="P196" i="1"/>
  <c r="P200" i="1"/>
  <c r="O139" i="3" s="1"/>
  <c r="E167" i="1"/>
  <c r="P201" i="1"/>
  <c r="E168" i="1"/>
  <c r="P24" i="1"/>
  <c r="P19" i="1" s="1"/>
  <c r="E19" i="1"/>
  <c r="P210" i="1" l="1"/>
  <c r="O168" i="3"/>
  <c r="D103" i="3"/>
  <c r="O136" i="3"/>
  <c r="O106" i="3" s="1"/>
  <c r="P170" i="1"/>
  <c r="I103" i="3"/>
  <c r="I106" i="3"/>
  <c r="P167" i="1"/>
  <c r="O135" i="3"/>
  <c r="P168" i="1"/>
  <c r="O140" i="3"/>
  <c r="O104" i="3" s="1"/>
  <c r="O22" i="3"/>
  <c r="O17" i="3" s="1"/>
  <c r="O103" i="3" l="1"/>
  <c r="O159" i="3"/>
  <c r="J215" i="1"/>
  <c r="E215" i="1"/>
  <c r="E300" i="1"/>
  <c r="E298" i="1"/>
  <c r="D197" i="3" s="1"/>
  <c r="N21" i="3"/>
  <c r="M21" i="3"/>
  <c r="L21" i="3"/>
  <c r="K21" i="3"/>
  <c r="J21" i="3"/>
  <c r="H21" i="3"/>
  <c r="G21" i="3"/>
  <c r="F21" i="3"/>
  <c r="E21" i="3"/>
  <c r="I21" i="3"/>
  <c r="E23" i="1"/>
  <c r="D167" i="3" l="1"/>
  <c r="I167" i="3"/>
  <c r="P215" i="1"/>
  <c r="P23" i="1"/>
  <c r="D21" i="3"/>
  <c r="J164" i="1"/>
  <c r="E164" i="1"/>
  <c r="O167" i="3" l="1"/>
  <c r="O21" i="3"/>
  <c r="P164" i="1"/>
  <c r="J298" i="1" l="1"/>
  <c r="I197" i="3" s="1"/>
  <c r="P298" i="1" l="1"/>
  <c r="O197" i="3" s="1"/>
  <c r="N70" i="1" l="1"/>
  <c r="M70" i="1"/>
  <c r="L70" i="1"/>
  <c r="I70" i="1"/>
  <c r="H70" i="1"/>
  <c r="G70" i="1"/>
  <c r="J100" i="1"/>
  <c r="I65" i="3" s="1"/>
  <c r="E100" i="1"/>
  <c r="D65" i="3" s="1"/>
  <c r="P100" i="1" l="1"/>
  <c r="O65" i="3" s="1"/>
  <c r="M215" i="3" l="1"/>
  <c r="M214" i="3" s="1"/>
  <c r="L215" i="3"/>
  <c r="L214" i="3" s="1"/>
  <c r="K215" i="3"/>
  <c r="K214" i="3" s="1"/>
  <c r="H215" i="3"/>
  <c r="H214" i="3" s="1"/>
  <c r="G215" i="3"/>
  <c r="G214" i="3" s="1"/>
  <c r="F215" i="3"/>
  <c r="F214" i="3" s="1"/>
  <c r="J263" i="1" l="1"/>
  <c r="E263" i="1"/>
  <c r="P263" i="1" l="1"/>
  <c r="J294" i="1" l="1"/>
  <c r="I189" i="3" s="1"/>
  <c r="E294" i="1"/>
  <c r="E292" i="1"/>
  <c r="N215" i="3"/>
  <c r="N214" i="3" s="1"/>
  <c r="J215" i="3"/>
  <c r="J214" i="3" s="1"/>
  <c r="P294" i="1" l="1"/>
  <c r="O70" i="1"/>
  <c r="K70" i="1"/>
  <c r="F70" i="1"/>
  <c r="O134" i="1" l="1"/>
  <c r="N134" i="1"/>
  <c r="M134" i="1"/>
  <c r="L134" i="1"/>
  <c r="K134" i="1"/>
  <c r="I134" i="1"/>
  <c r="H134" i="1"/>
  <c r="G134" i="1"/>
  <c r="F134" i="1"/>
  <c r="J159" i="1"/>
  <c r="J160" i="1"/>
  <c r="E159" i="1"/>
  <c r="E160" i="1"/>
  <c r="J137" i="1" l="1"/>
  <c r="E134" i="1"/>
  <c r="E137" i="1"/>
  <c r="P160" i="1"/>
  <c r="P159" i="1"/>
  <c r="J134" i="1"/>
  <c r="P134" i="1" l="1"/>
  <c r="P137" i="1"/>
  <c r="D251" i="1"/>
  <c r="N220" i="3" l="1"/>
  <c r="M220" i="3"/>
  <c r="L220" i="3"/>
  <c r="K220" i="3"/>
  <c r="J220" i="3"/>
  <c r="H220" i="3"/>
  <c r="G220" i="3"/>
  <c r="F220" i="3"/>
  <c r="E220" i="3"/>
  <c r="F217" i="3" l="1"/>
  <c r="F175" i="3" s="1"/>
  <c r="F262" i="3" s="1"/>
  <c r="H217" i="3"/>
  <c r="H175" i="3" s="1"/>
  <c r="H262" i="3" s="1"/>
  <c r="K217" i="3"/>
  <c r="K175" i="3" s="1"/>
  <c r="K262" i="3" s="1"/>
  <c r="M217" i="3"/>
  <c r="M175" i="3" s="1"/>
  <c r="M262" i="3" s="1"/>
  <c r="E217" i="3"/>
  <c r="E175" i="3" s="1"/>
  <c r="E262" i="3" s="1"/>
  <c r="G217" i="3"/>
  <c r="G175" i="3" s="1"/>
  <c r="G262" i="3" s="1"/>
  <c r="L217" i="3"/>
  <c r="L175" i="3" s="1"/>
  <c r="L262" i="3" s="1"/>
  <c r="N217" i="3"/>
  <c r="N175" i="3" s="1"/>
  <c r="N262" i="3" s="1"/>
  <c r="J217" i="3"/>
  <c r="J175" i="3" s="1"/>
  <c r="J262" i="3" s="1"/>
  <c r="O139" i="1"/>
  <c r="N139" i="1"/>
  <c r="M139" i="1"/>
  <c r="L139" i="1"/>
  <c r="K139" i="1"/>
  <c r="I139" i="1"/>
  <c r="H139" i="1"/>
  <c r="G139" i="1"/>
  <c r="F139" i="1"/>
  <c r="O280" i="1"/>
  <c r="N280" i="1"/>
  <c r="M280" i="1"/>
  <c r="L280" i="1"/>
  <c r="K280" i="1"/>
  <c r="I280" i="1"/>
  <c r="H280" i="1"/>
  <c r="G280" i="1"/>
  <c r="F280" i="1"/>
  <c r="E280" i="1"/>
  <c r="M348" i="1" l="1"/>
  <c r="F335" i="1"/>
  <c r="F348" i="1" s="1"/>
  <c r="H335" i="1"/>
  <c r="H348" i="1" s="1"/>
  <c r="K335" i="1"/>
  <c r="K348" i="1" s="1"/>
  <c r="M335" i="1"/>
  <c r="O335" i="1"/>
  <c r="O348" i="1" s="1"/>
  <c r="G335" i="1"/>
  <c r="G348" i="1" s="1"/>
  <c r="I335" i="1"/>
  <c r="I348" i="1" s="1"/>
  <c r="L335" i="1"/>
  <c r="L348" i="1" s="1"/>
  <c r="N335" i="1"/>
  <c r="N348" i="1" s="1"/>
  <c r="M337" i="1" l="1"/>
  <c r="L337" i="1"/>
  <c r="H337" i="1"/>
  <c r="I337" i="1"/>
  <c r="G337" i="1"/>
  <c r="F337" i="1"/>
  <c r="K337" i="1"/>
  <c r="N337" i="1"/>
  <c r="O337" i="1"/>
  <c r="E215" i="3"/>
  <c r="E214" i="3" s="1"/>
  <c r="M187" i="3" l="1"/>
  <c r="L187" i="3"/>
  <c r="K187" i="3"/>
  <c r="H187" i="3"/>
  <c r="G187" i="3"/>
  <c r="F187" i="3"/>
  <c r="E187" i="3"/>
  <c r="M184" i="3" l="1"/>
  <c r="L184" i="3"/>
  <c r="K184" i="3"/>
  <c r="H184" i="3"/>
  <c r="G184" i="3"/>
  <c r="F184" i="3"/>
  <c r="E184" i="3"/>
  <c r="M188" i="3"/>
  <c r="L188" i="3"/>
  <c r="K188" i="3"/>
  <c r="H188" i="3"/>
  <c r="G188" i="3"/>
  <c r="F188" i="3"/>
  <c r="E188" i="3"/>
  <c r="J205" i="1" l="1"/>
  <c r="I185" i="3" s="1"/>
  <c r="E205" i="1"/>
  <c r="D185" i="3" s="1"/>
  <c r="J157" i="1"/>
  <c r="E157" i="1"/>
  <c r="E44" i="1"/>
  <c r="E43" i="1"/>
  <c r="J44" i="1"/>
  <c r="P44" i="1" s="1"/>
  <c r="D187" i="3" l="1"/>
  <c r="P43" i="1"/>
  <c r="P157" i="1"/>
  <c r="P205" i="1"/>
  <c r="O185" i="3" s="1"/>
  <c r="N188" i="3"/>
  <c r="J188" i="3"/>
  <c r="E162" i="1" l="1"/>
  <c r="J162" i="1"/>
  <c r="J139" i="1" l="1"/>
  <c r="D220" i="3"/>
  <c r="E139" i="1"/>
  <c r="E335" i="1" s="1"/>
  <c r="P162" i="1"/>
  <c r="J300" i="1"/>
  <c r="J280" i="1" s="1"/>
  <c r="J335" i="1" l="1"/>
  <c r="D217" i="3"/>
  <c r="I220" i="3"/>
  <c r="P139" i="1"/>
  <c r="P300" i="1"/>
  <c r="P280" i="1" s="1"/>
  <c r="N207" i="3"/>
  <c r="M207" i="3"/>
  <c r="L207" i="3"/>
  <c r="K207" i="3"/>
  <c r="J207" i="3"/>
  <c r="H207" i="3"/>
  <c r="G207" i="3"/>
  <c r="F207" i="3"/>
  <c r="E207" i="3"/>
  <c r="N143" i="3"/>
  <c r="M143" i="3"/>
  <c r="L143" i="3"/>
  <c r="K143" i="3"/>
  <c r="J143" i="3"/>
  <c r="H143" i="3"/>
  <c r="G143" i="3"/>
  <c r="F143" i="3"/>
  <c r="N129" i="3"/>
  <c r="M129" i="3"/>
  <c r="L129" i="3"/>
  <c r="K129" i="3"/>
  <c r="J129" i="3"/>
  <c r="H129" i="3"/>
  <c r="G129" i="3"/>
  <c r="F129" i="3"/>
  <c r="E129" i="3"/>
  <c r="N127" i="3"/>
  <c r="M127" i="3"/>
  <c r="L127" i="3"/>
  <c r="K127" i="3"/>
  <c r="J127" i="3"/>
  <c r="H127" i="3"/>
  <c r="G127" i="3"/>
  <c r="F127" i="3"/>
  <c r="E127" i="3"/>
  <c r="N117" i="3"/>
  <c r="M117" i="3"/>
  <c r="L117" i="3"/>
  <c r="K117" i="3"/>
  <c r="J117" i="3"/>
  <c r="H117" i="3"/>
  <c r="G117" i="3"/>
  <c r="F117" i="3"/>
  <c r="E117" i="3"/>
  <c r="N115" i="3"/>
  <c r="M115" i="3"/>
  <c r="L115" i="3"/>
  <c r="K115" i="3"/>
  <c r="J115" i="3"/>
  <c r="H115" i="3"/>
  <c r="G115" i="3"/>
  <c r="F115" i="3"/>
  <c r="E115" i="3"/>
  <c r="N111" i="3"/>
  <c r="M111" i="3"/>
  <c r="L111" i="3"/>
  <c r="K111" i="3"/>
  <c r="J111" i="3"/>
  <c r="H111" i="3"/>
  <c r="G111" i="3"/>
  <c r="F111" i="3"/>
  <c r="N99" i="3"/>
  <c r="M99" i="3"/>
  <c r="L99" i="3"/>
  <c r="K99" i="3"/>
  <c r="J99" i="3"/>
  <c r="H99" i="3"/>
  <c r="G99" i="3"/>
  <c r="F99" i="3"/>
  <c r="E99" i="3"/>
  <c r="N98" i="3"/>
  <c r="M98" i="3"/>
  <c r="L98" i="3"/>
  <c r="K98" i="3"/>
  <c r="J98" i="3"/>
  <c r="H98" i="3"/>
  <c r="G98" i="3"/>
  <c r="F98" i="3"/>
  <c r="E98" i="3"/>
  <c r="N96" i="3"/>
  <c r="M96" i="3"/>
  <c r="L96" i="3"/>
  <c r="K96" i="3"/>
  <c r="J96" i="3"/>
  <c r="H96" i="3"/>
  <c r="G96" i="3"/>
  <c r="F96" i="3"/>
  <c r="E96" i="3"/>
  <c r="N94" i="3"/>
  <c r="M94" i="3"/>
  <c r="L94" i="3"/>
  <c r="K94" i="3"/>
  <c r="J94" i="3"/>
  <c r="H94" i="3"/>
  <c r="G94" i="3"/>
  <c r="F94" i="3"/>
  <c r="E94" i="3"/>
  <c r="N92" i="3"/>
  <c r="M92" i="3"/>
  <c r="L92" i="3"/>
  <c r="K92" i="3"/>
  <c r="J92" i="3"/>
  <c r="I92" i="3"/>
  <c r="H92" i="3"/>
  <c r="G92" i="3"/>
  <c r="F92" i="3"/>
  <c r="E92" i="3"/>
  <c r="N88" i="3"/>
  <c r="M88" i="3"/>
  <c r="L88" i="3"/>
  <c r="K88" i="3"/>
  <c r="J88" i="3"/>
  <c r="H88" i="3"/>
  <c r="G88" i="3"/>
  <c r="F88" i="3"/>
  <c r="N87" i="3"/>
  <c r="M87" i="3"/>
  <c r="L87" i="3"/>
  <c r="K87" i="3"/>
  <c r="J87" i="3"/>
  <c r="H87" i="3"/>
  <c r="G87" i="3"/>
  <c r="F87" i="3"/>
  <c r="E87" i="3"/>
  <c r="J70" i="1"/>
  <c r="E70" i="1"/>
  <c r="O133" i="1"/>
  <c r="N133" i="1"/>
  <c r="M133" i="1"/>
  <c r="L133" i="1"/>
  <c r="K133" i="1"/>
  <c r="I133" i="1"/>
  <c r="H133" i="1"/>
  <c r="G133" i="1"/>
  <c r="F133" i="1"/>
  <c r="F105" i="3" l="1"/>
  <c r="H105" i="3"/>
  <c r="K105" i="3"/>
  <c r="M105" i="3"/>
  <c r="G105" i="3"/>
  <c r="J105" i="3"/>
  <c r="L105" i="3"/>
  <c r="N105" i="3"/>
  <c r="D175" i="3"/>
  <c r="D262" i="3" s="1"/>
  <c r="P335" i="1"/>
  <c r="I217" i="3"/>
  <c r="I175" i="3" s="1"/>
  <c r="I262" i="3" s="1"/>
  <c r="J348" i="1" s="1"/>
  <c r="O220" i="3"/>
  <c r="P70" i="1"/>
  <c r="E337" i="1" l="1"/>
  <c r="J337" i="1"/>
  <c r="O217" i="3"/>
  <c r="O175" i="3" s="1"/>
  <c r="O262" i="3" s="1"/>
  <c r="P348" i="1" s="1"/>
  <c r="O230" i="1"/>
  <c r="N230" i="1"/>
  <c r="M230" i="1"/>
  <c r="L230" i="1"/>
  <c r="K230" i="1"/>
  <c r="I230" i="1"/>
  <c r="H230" i="1"/>
  <c r="G230" i="1"/>
  <c r="F230" i="1"/>
  <c r="P337" i="1" l="1"/>
  <c r="O135" i="1"/>
  <c r="N135" i="1"/>
  <c r="M135" i="1"/>
  <c r="L135" i="1"/>
  <c r="K135" i="1"/>
  <c r="I135" i="1"/>
  <c r="H135" i="1"/>
  <c r="G135" i="1"/>
  <c r="O136" i="1" l="1"/>
  <c r="N136" i="1"/>
  <c r="M136" i="1"/>
  <c r="L136" i="1"/>
  <c r="I136" i="1"/>
  <c r="H136" i="1"/>
  <c r="G136" i="1"/>
  <c r="J144" i="1"/>
  <c r="E144" i="1"/>
  <c r="J143" i="1"/>
  <c r="I88" i="3" s="1"/>
  <c r="J142" i="1"/>
  <c r="I87" i="3" s="1"/>
  <c r="E142" i="1"/>
  <c r="D87" i="3" s="1"/>
  <c r="J149" i="1"/>
  <c r="I94" i="3" s="1"/>
  <c r="E149" i="1"/>
  <c r="D94" i="3" s="1"/>
  <c r="E147" i="1"/>
  <c r="E138" i="1" l="1"/>
  <c r="D89" i="3"/>
  <c r="D85" i="3" s="1"/>
  <c r="J138" i="1"/>
  <c r="I89" i="3"/>
  <c r="F135" i="1"/>
  <c r="E88" i="3"/>
  <c r="P147" i="1"/>
  <c r="O92" i="3" s="1"/>
  <c r="D92" i="3"/>
  <c r="E133" i="1"/>
  <c r="J133" i="1"/>
  <c r="E143" i="1"/>
  <c r="P149" i="1"/>
  <c r="O94" i="3" s="1"/>
  <c r="P142" i="1"/>
  <c r="O87" i="3" s="1"/>
  <c r="P144" i="1"/>
  <c r="P138" i="1" l="1"/>
  <c r="O89" i="3"/>
  <c r="P143" i="1"/>
  <c r="O88" i="3" s="1"/>
  <c r="D88" i="3"/>
  <c r="P133" i="1"/>
  <c r="N199" i="3"/>
  <c r="N173" i="3" s="1"/>
  <c r="M199" i="3"/>
  <c r="M173" i="3" s="1"/>
  <c r="L199" i="3"/>
  <c r="L173" i="3" s="1"/>
  <c r="K199" i="3"/>
  <c r="K173" i="3" s="1"/>
  <c r="J199" i="3"/>
  <c r="J173" i="3" s="1"/>
  <c r="H199" i="3"/>
  <c r="H173" i="3" s="1"/>
  <c r="G199" i="3"/>
  <c r="G173" i="3" s="1"/>
  <c r="F199" i="3"/>
  <c r="F173" i="3" s="1"/>
  <c r="E199" i="3"/>
  <c r="E173" i="3" s="1"/>
  <c r="N179" i="3"/>
  <c r="N260" i="3" s="1"/>
  <c r="O346" i="1" s="1"/>
  <c r="M179" i="3"/>
  <c r="M260" i="3" s="1"/>
  <c r="N346" i="1" s="1"/>
  <c r="L179" i="3"/>
  <c r="L260" i="3" s="1"/>
  <c r="M346" i="1" s="1"/>
  <c r="K179" i="3"/>
  <c r="K260" i="3" s="1"/>
  <c r="L346" i="1" s="1"/>
  <c r="J179" i="3"/>
  <c r="J260" i="3" s="1"/>
  <c r="K346" i="1" s="1"/>
  <c r="H179" i="3"/>
  <c r="H260" i="3" s="1"/>
  <c r="I346" i="1" s="1"/>
  <c r="G179" i="3"/>
  <c r="G260" i="3" s="1"/>
  <c r="H346" i="1" s="1"/>
  <c r="F179" i="3"/>
  <c r="F260" i="3" s="1"/>
  <c r="G346" i="1" s="1"/>
  <c r="E179" i="3"/>
  <c r="E260" i="3" s="1"/>
  <c r="F346" i="1" s="1"/>
  <c r="N84" i="3"/>
  <c r="M84" i="3"/>
  <c r="L84" i="3"/>
  <c r="K84" i="3"/>
  <c r="J84" i="3"/>
  <c r="H84" i="3"/>
  <c r="G84" i="3"/>
  <c r="F84" i="3"/>
  <c r="E84" i="3"/>
  <c r="N85" i="3"/>
  <c r="M85" i="3"/>
  <c r="L85" i="3"/>
  <c r="K85" i="3"/>
  <c r="J85" i="3"/>
  <c r="H85" i="3"/>
  <c r="G85" i="3"/>
  <c r="F85" i="3"/>
  <c r="E85" i="3"/>
  <c r="N83" i="3"/>
  <c r="M83" i="3"/>
  <c r="L83" i="3"/>
  <c r="K83" i="3"/>
  <c r="J83" i="3"/>
  <c r="H83" i="3"/>
  <c r="G83" i="3"/>
  <c r="F83" i="3"/>
  <c r="H82" i="3"/>
  <c r="G82" i="3"/>
  <c r="F82" i="3"/>
  <c r="E82" i="3"/>
  <c r="F172" i="3" l="1"/>
  <c r="H172" i="3"/>
  <c r="K172" i="3"/>
  <c r="M172" i="3"/>
  <c r="E172" i="3"/>
  <c r="G172" i="3"/>
  <c r="J172" i="3"/>
  <c r="L172" i="3"/>
  <c r="N172" i="3"/>
  <c r="K82" i="3"/>
  <c r="M82" i="3"/>
  <c r="J82" i="3"/>
  <c r="L82" i="3"/>
  <c r="N82" i="3"/>
  <c r="J259" i="1"/>
  <c r="E259" i="1"/>
  <c r="D207" i="3" s="1"/>
  <c r="J255" i="1"/>
  <c r="I194" i="3" s="1"/>
  <c r="E255" i="1"/>
  <c r="D194" i="3" s="1"/>
  <c r="J204" i="1"/>
  <c r="I143" i="3" s="1"/>
  <c r="J190" i="1"/>
  <c r="I129" i="3" s="1"/>
  <c r="E190" i="1"/>
  <c r="D129" i="3" s="1"/>
  <c r="J188" i="1"/>
  <c r="I127" i="3" s="1"/>
  <c r="E188" i="1"/>
  <c r="D127" i="3" s="1"/>
  <c r="J183" i="1"/>
  <c r="I117" i="3" s="1"/>
  <c r="E183" i="1"/>
  <c r="D117" i="3" s="1"/>
  <c r="J181" i="1"/>
  <c r="I115" i="3" s="1"/>
  <c r="E181" i="1"/>
  <c r="D115" i="3" s="1"/>
  <c r="J177" i="1"/>
  <c r="J154" i="1"/>
  <c r="I99" i="3" s="1"/>
  <c r="E154" i="1"/>
  <c r="J153" i="1"/>
  <c r="E153" i="1"/>
  <c r="J151" i="1"/>
  <c r="I96" i="3" s="1"/>
  <c r="E151" i="1"/>
  <c r="J113" i="1"/>
  <c r="E113" i="1"/>
  <c r="J99" i="1"/>
  <c r="I64" i="3" s="1"/>
  <c r="D64" i="3"/>
  <c r="J85" i="1"/>
  <c r="I49" i="3" s="1"/>
  <c r="I26" i="3" s="1"/>
  <c r="E85" i="1"/>
  <c r="D49" i="3" s="1"/>
  <c r="D26" i="3" s="1"/>
  <c r="J84" i="1"/>
  <c r="J66" i="1" s="1"/>
  <c r="E84" i="1"/>
  <c r="E66" i="1" s="1"/>
  <c r="J81" i="1"/>
  <c r="I44" i="3" s="1"/>
  <c r="I48" i="3" l="1"/>
  <c r="I24" i="3" s="1"/>
  <c r="D48" i="3"/>
  <c r="D24" i="3" s="1"/>
  <c r="J169" i="1"/>
  <c r="J232" i="1"/>
  <c r="E232" i="1"/>
  <c r="E333" i="1" s="1"/>
  <c r="D179" i="3"/>
  <c r="D99" i="3"/>
  <c r="E136" i="1"/>
  <c r="D96" i="3"/>
  <c r="J71" i="1"/>
  <c r="I78" i="3"/>
  <c r="I28" i="3" s="1"/>
  <c r="E71" i="1"/>
  <c r="D78" i="3"/>
  <c r="D28" i="3" s="1"/>
  <c r="J69" i="1"/>
  <c r="E69" i="1"/>
  <c r="E177" i="1"/>
  <c r="E111" i="3"/>
  <c r="E204" i="1"/>
  <c r="E143" i="3"/>
  <c r="I111" i="3"/>
  <c r="I105" i="3" s="1"/>
  <c r="J230" i="1"/>
  <c r="I207" i="3"/>
  <c r="E135" i="1"/>
  <c r="D98" i="3"/>
  <c r="J135" i="1"/>
  <c r="I98" i="3"/>
  <c r="P259" i="1"/>
  <c r="E230" i="1"/>
  <c r="P255" i="1"/>
  <c r="O194" i="3" s="1"/>
  <c r="J136" i="1"/>
  <c r="E81" i="1"/>
  <c r="D44" i="3" s="1"/>
  <c r="P181" i="1"/>
  <c r="O115" i="3" s="1"/>
  <c r="P183" i="1"/>
  <c r="O117" i="3" s="1"/>
  <c r="P188" i="1"/>
  <c r="O127" i="3" s="1"/>
  <c r="P190" i="1"/>
  <c r="O129" i="3" s="1"/>
  <c r="P151" i="1"/>
  <c r="O96" i="3" s="1"/>
  <c r="P153" i="1"/>
  <c r="P154" i="1"/>
  <c r="O99" i="3" s="1"/>
  <c r="P84" i="1"/>
  <c r="P66" i="1" s="1"/>
  <c r="P85" i="1"/>
  <c r="O49" i="3" s="1"/>
  <c r="O26" i="3" s="1"/>
  <c r="P99" i="1"/>
  <c r="O64" i="3" s="1"/>
  <c r="P113" i="1"/>
  <c r="J333" i="1" l="1"/>
  <c r="D84" i="3"/>
  <c r="D260" i="3"/>
  <c r="O48" i="3"/>
  <c r="O24" i="3" s="1"/>
  <c r="E169" i="1"/>
  <c r="E105" i="3"/>
  <c r="D111" i="3"/>
  <c r="P232" i="1"/>
  <c r="P204" i="1"/>
  <c r="O143" i="3" s="1"/>
  <c r="P71" i="1"/>
  <c r="O78" i="3"/>
  <c r="O28" i="3" s="1"/>
  <c r="P69" i="1"/>
  <c r="D143" i="3"/>
  <c r="P177" i="1"/>
  <c r="P230" i="1"/>
  <c r="O207" i="3"/>
  <c r="P135" i="1"/>
  <c r="O98" i="3"/>
  <c r="P81" i="1"/>
  <c r="O44" i="3" s="1"/>
  <c r="P136" i="1"/>
  <c r="P333" i="1" l="1"/>
  <c r="P169" i="1"/>
  <c r="D105" i="3"/>
  <c r="O111" i="3"/>
  <c r="O105" i="3" s="1"/>
  <c r="C233" i="3"/>
  <c r="N236" i="3"/>
  <c r="N261" i="3" s="1"/>
  <c r="M236" i="3"/>
  <c r="M261" i="3" s="1"/>
  <c r="L236" i="3"/>
  <c r="L261" i="3" s="1"/>
  <c r="K236" i="3"/>
  <c r="K261" i="3" s="1"/>
  <c r="J236" i="3"/>
  <c r="J261" i="3" s="1"/>
  <c r="H236" i="3"/>
  <c r="H261" i="3" s="1"/>
  <c r="G236" i="3"/>
  <c r="G261" i="3" s="1"/>
  <c r="F236" i="3"/>
  <c r="F261" i="3" s="1"/>
  <c r="E236" i="3"/>
  <c r="E233" i="3" s="1"/>
  <c r="E231" i="3" s="1"/>
  <c r="D58" i="1"/>
  <c r="O18" i="1"/>
  <c r="O334" i="1" s="1"/>
  <c r="N18" i="1"/>
  <c r="N334" i="1" s="1"/>
  <c r="M18" i="1"/>
  <c r="M334" i="1" s="1"/>
  <c r="L18" i="1"/>
  <c r="L334" i="1" s="1"/>
  <c r="K18" i="1"/>
  <c r="K334" i="1" s="1"/>
  <c r="I18" i="1"/>
  <c r="I334" i="1" s="1"/>
  <c r="H18" i="1"/>
  <c r="H334" i="1" s="1"/>
  <c r="G18" i="1"/>
  <c r="G334" i="1" s="1"/>
  <c r="F18" i="1"/>
  <c r="F334" i="1" s="1"/>
  <c r="J58" i="1"/>
  <c r="J18" i="1" s="1"/>
  <c r="J334" i="1" s="1"/>
  <c r="E58" i="1"/>
  <c r="E18" i="1" s="1"/>
  <c r="E334" i="1" s="1"/>
  <c r="H347" i="1" l="1"/>
  <c r="K347" i="1"/>
  <c r="M347" i="1"/>
  <c r="O347" i="1"/>
  <c r="G347" i="1"/>
  <c r="I347" i="1"/>
  <c r="L347" i="1"/>
  <c r="N347" i="1"/>
  <c r="E261" i="3"/>
  <c r="F347" i="1" s="1"/>
  <c r="F233" i="3"/>
  <c r="F231" i="3" s="1"/>
  <c r="K233" i="3"/>
  <c r="K231" i="3" s="1"/>
  <c r="M233" i="3"/>
  <c r="M231" i="3" s="1"/>
  <c r="H233" i="3"/>
  <c r="H231" i="3" s="1"/>
  <c r="G233" i="3"/>
  <c r="G231" i="3" s="1"/>
  <c r="J233" i="3"/>
  <c r="J231" i="3" s="1"/>
  <c r="L233" i="3"/>
  <c r="L231" i="3" s="1"/>
  <c r="N233" i="3"/>
  <c r="N231" i="3" s="1"/>
  <c r="I236" i="3"/>
  <c r="P58" i="1"/>
  <c r="D236" i="3"/>
  <c r="I233" i="3" l="1"/>
  <c r="I231" i="3" s="1"/>
  <c r="D233" i="3"/>
  <c r="D231" i="3" s="1"/>
  <c r="P18" i="1"/>
  <c r="P334" i="1" s="1"/>
  <c r="O236" i="3"/>
  <c r="O233" i="3" l="1"/>
  <c r="O231" i="3" s="1"/>
  <c r="E156" i="1"/>
  <c r="J63" i="1"/>
  <c r="E63" i="1"/>
  <c r="I258" i="3" l="1"/>
  <c r="D258" i="3"/>
  <c r="P63" i="1"/>
  <c r="O258" i="3" l="1"/>
  <c r="E251" i="1"/>
  <c r="D189" i="3" s="1"/>
  <c r="C251" i="1"/>
  <c r="P251" i="1" l="1"/>
  <c r="O189" i="3" s="1"/>
  <c r="J187" i="3" l="1"/>
  <c r="E234" i="3" l="1"/>
  <c r="F234" i="3"/>
  <c r="G234" i="3"/>
  <c r="H234" i="3"/>
  <c r="J234" i="3"/>
  <c r="K234" i="3"/>
  <c r="L234" i="3"/>
  <c r="M234" i="3"/>
  <c r="N234" i="3"/>
  <c r="J268" i="1"/>
  <c r="E268" i="1"/>
  <c r="C268" i="1"/>
  <c r="D268" i="1"/>
  <c r="B268" i="1"/>
  <c r="P268" i="1" l="1"/>
  <c r="E238" i="3" l="1"/>
  <c r="F238" i="3"/>
  <c r="G238" i="3"/>
  <c r="H238" i="3"/>
  <c r="J238" i="3"/>
  <c r="K238" i="3"/>
  <c r="L238" i="3"/>
  <c r="M238" i="3"/>
  <c r="N238" i="3"/>
  <c r="J269" i="1"/>
  <c r="E269" i="1"/>
  <c r="C269" i="1"/>
  <c r="D269" i="1"/>
  <c r="B269" i="1"/>
  <c r="P269" i="1" l="1"/>
  <c r="E203" i="3" l="1"/>
  <c r="F203" i="3"/>
  <c r="G203" i="3"/>
  <c r="H203" i="3"/>
  <c r="J203" i="3"/>
  <c r="K203" i="3"/>
  <c r="L203" i="3"/>
  <c r="M203" i="3"/>
  <c r="N203" i="3"/>
  <c r="E205" i="3"/>
  <c r="F205" i="3"/>
  <c r="G205" i="3"/>
  <c r="H205" i="3"/>
  <c r="J205" i="3"/>
  <c r="K205" i="3"/>
  <c r="L205" i="3"/>
  <c r="M205" i="3"/>
  <c r="N205" i="3"/>
  <c r="E46" i="1"/>
  <c r="E48" i="1"/>
  <c r="J45" i="1"/>
  <c r="J46" i="1"/>
  <c r="I203" i="3" s="1"/>
  <c r="J48" i="1"/>
  <c r="I205" i="3" s="1"/>
  <c r="C46" i="1"/>
  <c r="D46" i="1"/>
  <c r="D48" i="1"/>
  <c r="B48" i="1"/>
  <c r="B46" i="1"/>
  <c r="D205" i="3" l="1"/>
  <c r="P48" i="1"/>
  <c r="O205" i="3" s="1"/>
  <c r="P46" i="1"/>
  <c r="O203" i="3" s="1"/>
  <c r="D203" i="3"/>
  <c r="N184" i="3" l="1"/>
  <c r="J184" i="3" l="1"/>
  <c r="E206" i="3" l="1"/>
  <c r="F206" i="3"/>
  <c r="G206" i="3"/>
  <c r="H206" i="3"/>
  <c r="J206" i="3"/>
  <c r="K206" i="3"/>
  <c r="L206" i="3"/>
  <c r="M206" i="3"/>
  <c r="N206" i="3"/>
  <c r="J258" i="1"/>
  <c r="E258" i="1"/>
  <c r="D210" i="3" s="1"/>
  <c r="B258" i="1"/>
  <c r="I206" i="3" l="1"/>
  <c r="I210" i="3"/>
  <c r="P258" i="1"/>
  <c r="D206" i="3"/>
  <c r="N191" i="3"/>
  <c r="M191" i="3"/>
  <c r="L191" i="3"/>
  <c r="K191" i="3"/>
  <c r="J191" i="3"/>
  <c r="H191" i="3"/>
  <c r="G191" i="3"/>
  <c r="F191" i="3"/>
  <c r="E191" i="3"/>
  <c r="J158" i="1"/>
  <c r="E158" i="1"/>
  <c r="D158" i="1"/>
  <c r="C158" i="1"/>
  <c r="B158" i="1"/>
  <c r="D295" i="1"/>
  <c r="C295" i="1"/>
  <c r="B295" i="1"/>
  <c r="D252" i="1"/>
  <c r="C252" i="1"/>
  <c r="B252" i="1"/>
  <c r="O206" i="3" l="1"/>
  <c r="O210" i="3"/>
  <c r="P158" i="1"/>
  <c r="J295" i="1"/>
  <c r="E295" i="1"/>
  <c r="E252" i="1"/>
  <c r="D191" i="3" l="1"/>
  <c r="P295" i="1"/>
  <c r="I191" i="3"/>
  <c r="P252" i="1"/>
  <c r="O191" i="3" l="1"/>
  <c r="K315" i="1"/>
  <c r="J301" i="1" l="1"/>
  <c r="E301" i="1"/>
  <c r="E254" i="1"/>
  <c r="P301" i="1" l="1"/>
  <c r="P254" i="1" l="1"/>
  <c r="J296" i="1"/>
  <c r="I193" i="3" s="1"/>
  <c r="E296" i="1"/>
  <c r="D193" i="3" s="1"/>
  <c r="P296" i="1" l="1"/>
  <c r="O193" i="3" s="1"/>
  <c r="N228" i="3" l="1"/>
  <c r="M228" i="3"/>
  <c r="L228" i="3"/>
  <c r="K228" i="3"/>
  <c r="J228" i="3"/>
  <c r="H228" i="3"/>
  <c r="G228" i="3"/>
  <c r="F228" i="3"/>
  <c r="E228" i="3"/>
  <c r="J163" i="1"/>
  <c r="I228" i="3" s="1"/>
  <c r="E163" i="1"/>
  <c r="D228" i="3" s="1"/>
  <c r="P163" i="1" l="1"/>
  <c r="D175" i="1"/>
  <c r="O228" i="3" l="1"/>
  <c r="B292" i="1" l="1"/>
  <c r="J292" i="1"/>
  <c r="I187" i="3" s="1"/>
  <c r="P292" i="1" l="1"/>
  <c r="O187" i="3" s="1"/>
  <c r="D207" i="1" l="1"/>
  <c r="F227" i="3"/>
  <c r="G227" i="3"/>
  <c r="H227" i="3"/>
  <c r="J227" i="3"/>
  <c r="K227" i="3"/>
  <c r="L227" i="3"/>
  <c r="M227" i="3"/>
  <c r="N227" i="3"/>
  <c r="F170" i="3"/>
  <c r="G170" i="3"/>
  <c r="H170" i="3"/>
  <c r="J170" i="3"/>
  <c r="K170" i="3"/>
  <c r="L170" i="3"/>
  <c r="M170" i="3"/>
  <c r="N170" i="3"/>
  <c r="G323" i="1"/>
  <c r="H323" i="1"/>
  <c r="I323" i="1"/>
  <c r="K323" i="1"/>
  <c r="L323" i="1"/>
  <c r="M323" i="1"/>
  <c r="N323" i="1"/>
  <c r="O323" i="1"/>
  <c r="G315" i="1"/>
  <c r="H315" i="1"/>
  <c r="L315" i="1"/>
  <c r="M315" i="1"/>
  <c r="N315" i="1"/>
  <c r="O315" i="1"/>
  <c r="G131" i="1"/>
  <c r="H131" i="1"/>
  <c r="I131" i="1"/>
  <c r="L131" i="1"/>
  <c r="M131" i="1"/>
  <c r="N131" i="1"/>
  <c r="I315" i="1" l="1"/>
  <c r="E227" i="3" l="1"/>
  <c r="F315" i="1" l="1"/>
  <c r="F131" i="1"/>
  <c r="D273" i="1" l="1"/>
  <c r="F323" i="1" l="1"/>
  <c r="O131" i="1" l="1"/>
  <c r="K131" i="1"/>
  <c r="J227" i="1"/>
  <c r="E227" i="1"/>
  <c r="C227" i="1"/>
  <c r="D227" i="1"/>
  <c r="B227" i="1"/>
  <c r="P227" i="1" l="1"/>
  <c r="E16" i="3"/>
  <c r="F16" i="3"/>
  <c r="G16" i="3"/>
  <c r="H16" i="3"/>
  <c r="J16" i="3"/>
  <c r="K16" i="3"/>
  <c r="L16" i="3"/>
  <c r="M16" i="3"/>
  <c r="N16" i="3"/>
  <c r="E91" i="3"/>
  <c r="F91" i="3"/>
  <c r="G91" i="3"/>
  <c r="H91" i="3"/>
  <c r="J91" i="3"/>
  <c r="K91" i="3"/>
  <c r="L91" i="3"/>
  <c r="M91" i="3"/>
  <c r="N91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7" i="3"/>
  <c r="F97" i="3"/>
  <c r="G97" i="3"/>
  <c r="H97" i="3"/>
  <c r="J97" i="3"/>
  <c r="K97" i="3"/>
  <c r="L97" i="3"/>
  <c r="M97" i="3"/>
  <c r="N97" i="3"/>
  <c r="E100" i="3"/>
  <c r="F100" i="3"/>
  <c r="G100" i="3"/>
  <c r="H100" i="3"/>
  <c r="J100" i="3"/>
  <c r="K100" i="3"/>
  <c r="L100" i="3"/>
  <c r="M100" i="3"/>
  <c r="N100" i="3"/>
  <c r="E101" i="3"/>
  <c r="F101" i="3"/>
  <c r="G101" i="3"/>
  <c r="H101" i="3"/>
  <c r="J101" i="3"/>
  <c r="K101" i="3"/>
  <c r="L101" i="3"/>
  <c r="M101" i="3"/>
  <c r="N101" i="3"/>
  <c r="E108" i="3"/>
  <c r="F108" i="3"/>
  <c r="G108" i="3"/>
  <c r="H108" i="3"/>
  <c r="K108" i="3"/>
  <c r="L108" i="3"/>
  <c r="M108" i="3"/>
  <c r="E109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6" i="3"/>
  <c r="F116" i="3"/>
  <c r="G116" i="3"/>
  <c r="H116" i="3"/>
  <c r="J116" i="3"/>
  <c r="K116" i="3"/>
  <c r="L116" i="3"/>
  <c r="M116" i="3"/>
  <c r="N116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8" i="3"/>
  <c r="F128" i="3"/>
  <c r="G128" i="3"/>
  <c r="H128" i="3"/>
  <c r="J128" i="3"/>
  <c r="K128" i="3"/>
  <c r="L128" i="3"/>
  <c r="M128" i="3"/>
  <c r="N128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41" i="3"/>
  <c r="F141" i="3"/>
  <c r="G141" i="3"/>
  <c r="H141" i="3"/>
  <c r="J141" i="3"/>
  <c r="K141" i="3"/>
  <c r="L141" i="3"/>
  <c r="M141" i="3"/>
  <c r="N141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K152" i="3"/>
  <c r="L152" i="3"/>
  <c r="M152" i="3"/>
  <c r="N152" i="3"/>
  <c r="E155" i="3"/>
  <c r="F155" i="3"/>
  <c r="G155" i="3"/>
  <c r="H155" i="3"/>
  <c r="J155" i="3"/>
  <c r="K155" i="3"/>
  <c r="L155" i="3"/>
  <c r="M155" i="3"/>
  <c r="N155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5" i="3"/>
  <c r="F165" i="3"/>
  <c r="G165" i="3"/>
  <c r="H165" i="3"/>
  <c r="K165" i="3"/>
  <c r="L165" i="3"/>
  <c r="M165" i="3"/>
  <c r="N165" i="3"/>
  <c r="E169" i="3"/>
  <c r="F169" i="3"/>
  <c r="G169" i="3"/>
  <c r="H169" i="3"/>
  <c r="J169" i="3"/>
  <c r="K169" i="3"/>
  <c r="L169" i="3"/>
  <c r="M169" i="3"/>
  <c r="N169" i="3"/>
  <c r="E177" i="3"/>
  <c r="E176" i="3" s="1"/>
  <c r="F177" i="3"/>
  <c r="F176" i="3" s="1"/>
  <c r="G177" i="3"/>
  <c r="G176" i="3" s="1"/>
  <c r="H177" i="3"/>
  <c r="H176" i="3" s="1"/>
  <c r="J177" i="3"/>
  <c r="J176" i="3" s="1"/>
  <c r="K177" i="3"/>
  <c r="K176" i="3" s="1"/>
  <c r="L177" i="3"/>
  <c r="L176" i="3" s="1"/>
  <c r="M177" i="3"/>
  <c r="M176" i="3" s="1"/>
  <c r="N177" i="3"/>
  <c r="N176" i="3" s="1"/>
  <c r="E181" i="3"/>
  <c r="E178" i="3" s="1"/>
  <c r="F181" i="3"/>
  <c r="F178" i="3" s="1"/>
  <c r="G181" i="3"/>
  <c r="G178" i="3" s="1"/>
  <c r="H181" i="3"/>
  <c r="H178" i="3" s="1"/>
  <c r="J181" i="3"/>
  <c r="J178" i="3" s="1"/>
  <c r="K181" i="3"/>
  <c r="K178" i="3" s="1"/>
  <c r="L181" i="3"/>
  <c r="L178" i="3" s="1"/>
  <c r="M181" i="3"/>
  <c r="M178" i="3" s="1"/>
  <c r="N181" i="3"/>
  <c r="N178" i="3" s="1"/>
  <c r="E192" i="3"/>
  <c r="F192" i="3"/>
  <c r="G192" i="3"/>
  <c r="H192" i="3"/>
  <c r="J192" i="3"/>
  <c r="K192" i="3"/>
  <c r="L192" i="3"/>
  <c r="M192" i="3"/>
  <c r="N192" i="3"/>
  <c r="E202" i="3"/>
  <c r="E198" i="3" s="1"/>
  <c r="F202" i="3"/>
  <c r="F198" i="3" s="1"/>
  <c r="G202" i="3"/>
  <c r="G198" i="3" s="1"/>
  <c r="H202" i="3"/>
  <c r="H198" i="3" s="1"/>
  <c r="J202" i="3"/>
  <c r="J198" i="3" s="1"/>
  <c r="K202" i="3"/>
  <c r="K198" i="3" s="1"/>
  <c r="L202" i="3"/>
  <c r="L198" i="3" s="1"/>
  <c r="M202" i="3"/>
  <c r="M198" i="3" s="1"/>
  <c r="N202" i="3"/>
  <c r="N198" i="3" s="1"/>
  <c r="E218" i="3"/>
  <c r="F218" i="3"/>
  <c r="G218" i="3"/>
  <c r="H218" i="3"/>
  <c r="J218" i="3"/>
  <c r="K218" i="3"/>
  <c r="L218" i="3"/>
  <c r="M218" i="3"/>
  <c r="N218" i="3"/>
  <c r="E221" i="3"/>
  <c r="F221" i="3"/>
  <c r="G221" i="3"/>
  <c r="H221" i="3"/>
  <c r="J221" i="3"/>
  <c r="K221" i="3"/>
  <c r="L221" i="3"/>
  <c r="M221" i="3"/>
  <c r="N221" i="3"/>
  <c r="E222" i="3"/>
  <c r="F222" i="3"/>
  <c r="G222" i="3"/>
  <c r="H222" i="3"/>
  <c r="J222" i="3"/>
  <c r="K222" i="3"/>
  <c r="L222" i="3"/>
  <c r="M222" i="3"/>
  <c r="N222" i="3"/>
  <c r="E223" i="3"/>
  <c r="F223" i="3"/>
  <c r="G223" i="3"/>
  <c r="H223" i="3"/>
  <c r="J223" i="3"/>
  <c r="K223" i="3"/>
  <c r="L223" i="3"/>
  <c r="M223" i="3"/>
  <c r="N223" i="3"/>
  <c r="F225" i="3"/>
  <c r="G225" i="3"/>
  <c r="H225" i="3"/>
  <c r="J225" i="3"/>
  <c r="K225" i="3"/>
  <c r="L225" i="3"/>
  <c r="M225" i="3"/>
  <c r="N225" i="3"/>
  <c r="E235" i="3"/>
  <c r="F235" i="3"/>
  <c r="G235" i="3"/>
  <c r="H235" i="3"/>
  <c r="J235" i="3"/>
  <c r="K235" i="3"/>
  <c r="L235" i="3"/>
  <c r="M235" i="3"/>
  <c r="N235" i="3"/>
  <c r="E237" i="3"/>
  <c r="F237" i="3"/>
  <c r="G237" i="3"/>
  <c r="H237" i="3"/>
  <c r="J237" i="3"/>
  <c r="K237" i="3"/>
  <c r="L237" i="3"/>
  <c r="M237" i="3"/>
  <c r="N237" i="3"/>
  <c r="E240" i="3"/>
  <c r="E239" i="3" s="1"/>
  <c r="F240" i="3"/>
  <c r="F239" i="3" s="1"/>
  <c r="G240" i="3"/>
  <c r="H240" i="3"/>
  <c r="J240" i="3"/>
  <c r="K240" i="3"/>
  <c r="K239" i="3" s="1"/>
  <c r="L240" i="3"/>
  <c r="M240" i="3"/>
  <c r="M239" i="3" s="1"/>
  <c r="N240" i="3"/>
  <c r="E243" i="3"/>
  <c r="E242" i="3" s="1"/>
  <c r="F243" i="3"/>
  <c r="F242" i="3" s="1"/>
  <c r="G243" i="3"/>
  <c r="G242" i="3" s="1"/>
  <c r="H243" i="3"/>
  <c r="H242" i="3" s="1"/>
  <c r="J243" i="3"/>
  <c r="J242" i="3" s="1"/>
  <c r="K243" i="3"/>
  <c r="K242" i="3" s="1"/>
  <c r="L243" i="3"/>
  <c r="L242" i="3" s="1"/>
  <c r="M243" i="3"/>
  <c r="M242" i="3" s="1"/>
  <c r="N243" i="3"/>
  <c r="N242" i="3" s="1"/>
  <c r="E244" i="3"/>
  <c r="F244" i="3"/>
  <c r="G244" i="3"/>
  <c r="H244" i="3"/>
  <c r="J244" i="3"/>
  <c r="K244" i="3"/>
  <c r="L244" i="3"/>
  <c r="M244" i="3"/>
  <c r="N244" i="3"/>
  <c r="D245" i="3"/>
  <c r="E245" i="3"/>
  <c r="F245" i="3"/>
  <c r="G245" i="3"/>
  <c r="H245" i="3"/>
  <c r="J245" i="3"/>
  <c r="K245" i="3"/>
  <c r="L245" i="3"/>
  <c r="M245" i="3"/>
  <c r="N245" i="3"/>
  <c r="J79" i="1"/>
  <c r="I35" i="3" s="1"/>
  <c r="J325" i="1"/>
  <c r="J326" i="1"/>
  <c r="J327" i="1"/>
  <c r="I240" i="3" s="1"/>
  <c r="J328" i="1"/>
  <c r="J329" i="1"/>
  <c r="I244" i="3" s="1"/>
  <c r="J330" i="1"/>
  <c r="I245" i="3" s="1"/>
  <c r="J331" i="1"/>
  <c r="I249" i="3" s="1"/>
  <c r="I248" i="3" s="1"/>
  <c r="J324" i="1"/>
  <c r="J317" i="1"/>
  <c r="I177" i="3" s="1"/>
  <c r="I176" i="3" s="1"/>
  <c r="J318" i="1"/>
  <c r="J319" i="1"/>
  <c r="I221" i="3" s="1"/>
  <c r="J320" i="1"/>
  <c r="I222" i="3" s="1"/>
  <c r="J321" i="1"/>
  <c r="J316" i="1"/>
  <c r="J313" i="1"/>
  <c r="J286" i="1"/>
  <c r="J287" i="1"/>
  <c r="I169" i="3" s="1"/>
  <c r="J288" i="1"/>
  <c r="J289" i="1"/>
  <c r="I182" i="3" s="1"/>
  <c r="J290" i="1"/>
  <c r="I184" i="3" s="1"/>
  <c r="J293" i="1"/>
  <c r="J305" i="1"/>
  <c r="J306" i="1"/>
  <c r="J310" i="1"/>
  <c r="J281" i="1"/>
  <c r="J276" i="1"/>
  <c r="J238" i="1"/>
  <c r="J239" i="1"/>
  <c r="J240" i="1"/>
  <c r="I161" i="3" s="1"/>
  <c r="J241" i="1"/>
  <c r="I162" i="3" s="1"/>
  <c r="J242" i="1"/>
  <c r="I163" i="3" s="1"/>
  <c r="J243" i="1"/>
  <c r="J244" i="1"/>
  <c r="J249" i="1"/>
  <c r="J250" i="1"/>
  <c r="I192" i="3"/>
  <c r="J264" i="1"/>
  <c r="J265" i="1"/>
  <c r="J270" i="1"/>
  <c r="J273" i="1"/>
  <c r="J236" i="1"/>
  <c r="J221" i="1"/>
  <c r="I145" i="3" s="1"/>
  <c r="J222" i="1"/>
  <c r="J223" i="1"/>
  <c r="J224" i="1"/>
  <c r="J226" i="1"/>
  <c r="J219" i="1"/>
  <c r="J212" i="1"/>
  <c r="I119" i="3" s="1"/>
  <c r="J213" i="1"/>
  <c r="I120" i="3" s="1"/>
  <c r="J211" i="1"/>
  <c r="J175" i="1"/>
  <c r="J176" i="1"/>
  <c r="J178" i="1"/>
  <c r="I112" i="3" s="1"/>
  <c r="J179" i="1"/>
  <c r="J180" i="1"/>
  <c r="I114" i="3" s="1"/>
  <c r="J182" i="1"/>
  <c r="I116" i="3" s="1"/>
  <c r="J184" i="1"/>
  <c r="I118" i="3" s="1"/>
  <c r="J186" i="1"/>
  <c r="I125" i="3" s="1"/>
  <c r="J187" i="1"/>
  <c r="I126" i="3" s="1"/>
  <c r="J189" i="1"/>
  <c r="I128" i="3" s="1"/>
  <c r="J191" i="1"/>
  <c r="I130" i="3" s="1"/>
  <c r="J192" i="1"/>
  <c r="I131" i="3" s="1"/>
  <c r="J193" i="1"/>
  <c r="I132" i="3" s="1"/>
  <c r="J194" i="1"/>
  <c r="I133" i="3" s="1"/>
  <c r="J195" i="1"/>
  <c r="J202" i="1"/>
  <c r="J203" i="1"/>
  <c r="J207" i="1"/>
  <c r="I257" i="3" s="1"/>
  <c r="J172" i="1"/>
  <c r="J141" i="1"/>
  <c r="I86" i="3" s="1"/>
  <c r="J146" i="1"/>
  <c r="J148" i="1"/>
  <c r="I93" i="3" s="1"/>
  <c r="J150" i="1"/>
  <c r="I95" i="3" s="1"/>
  <c r="J152" i="1"/>
  <c r="I97" i="3" s="1"/>
  <c r="J155" i="1"/>
  <c r="I100" i="3" s="1"/>
  <c r="J156" i="1"/>
  <c r="I101" i="3" s="1"/>
  <c r="J140" i="1"/>
  <c r="J83" i="1"/>
  <c r="I47" i="3" s="1"/>
  <c r="J86" i="1"/>
  <c r="I50" i="3" s="1"/>
  <c r="J95" i="1"/>
  <c r="I59" i="3" s="1"/>
  <c r="J101" i="1"/>
  <c r="I66" i="3" s="1"/>
  <c r="J102" i="1"/>
  <c r="I67" i="3" s="1"/>
  <c r="J104" i="1"/>
  <c r="I69" i="3" s="1"/>
  <c r="J112" i="1"/>
  <c r="I77" i="3" s="1"/>
  <c r="J78" i="1"/>
  <c r="J25" i="1"/>
  <c r="J26" i="1"/>
  <c r="J27" i="1"/>
  <c r="I121" i="3" s="1"/>
  <c r="J28" i="1"/>
  <c r="I122" i="3" s="1"/>
  <c r="J30" i="1"/>
  <c r="I124" i="3" s="1"/>
  <c r="J31" i="1"/>
  <c r="J32" i="1"/>
  <c r="J33" i="1"/>
  <c r="J34" i="1"/>
  <c r="J35" i="1"/>
  <c r="J36" i="1"/>
  <c r="I151" i="3" s="1"/>
  <c r="J37" i="1"/>
  <c r="I152" i="3" s="1"/>
  <c r="J38" i="1"/>
  <c r="I153" i="3" s="1"/>
  <c r="J39" i="1"/>
  <c r="I155" i="3" s="1"/>
  <c r="J40" i="1"/>
  <c r="I156" i="3" s="1"/>
  <c r="J41" i="1"/>
  <c r="I157" i="3" s="1"/>
  <c r="I202" i="3"/>
  <c r="I198" i="3" s="1"/>
  <c r="J50" i="1"/>
  <c r="J51" i="1"/>
  <c r="J52" i="1"/>
  <c r="J53" i="1"/>
  <c r="I225" i="3" s="1"/>
  <c r="J54" i="1"/>
  <c r="J55" i="1"/>
  <c r="J56" i="1"/>
  <c r="I234" i="3" s="1"/>
  <c r="J57" i="1"/>
  <c r="I235" i="3" s="1"/>
  <c r="J59" i="1"/>
  <c r="J60" i="1"/>
  <c r="J17" i="1" s="1"/>
  <c r="I243" i="3"/>
  <c r="I242" i="3" s="1"/>
  <c r="J20" i="1"/>
  <c r="I142" i="3" l="1"/>
  <c r="J209" i="1"/>
  <c r="I241" i="3"/>
  <c r="I239" i="3" s="1"/>
  <c r="I18" i="3"/>
  <c r="J304" i="1"/>
  <c r="N158" i="3"/>
  <c r="L158" i="3"/>
  <c r="J158" i="3"/>
  <c r="G158" i="3"/>
  <c r="M158" i="3"/>
  <c r="K158" i="3"/>
  <c r="H158" i="3"/>
  <c r="F158" i="3"/>
  <c r="M102" i="3"/>
  <c r="K102" i="3"/>
  <c r="G102" i="3"/>
  <c r="L102" i="3"/>
  <c r="H102" i="3"/>
  <c r="F102" i="3"/>
  <c r="J303" i="1"/>
  <c r="M216" i="3"/>
  <c r="M171" i="3" s="1"/>
  <c r="K216" i="3"/>
  <c r="K171" i="3" s="1"/>
  <c r="H216" i="3"/>
  <c r="H171" i="3" s="1"/>
  <c r="F216" i="3"/>
  <c r="F171" i="3" s="1"/>
  <c r="N216" i="3"/>
  <c r="N171" i="3" s="1"/>
  <c r="L216" i="3"/>
  <c r="L171" i="3" s="1"/>
  <c r="J216" i="3"/>
  <c r="J171" i="3" s="1"/>
  <c r="G216" i="3"/>
  <c r="G171" i="3" s="1"/>
  <c r="H81" i="3"/>
  <c r="M81" i="3"/>
  <c r="K81" i="3"/>
  <c r="L81" i="3"/>
  <c r="F81" i="3"/>
  <c r="G81" i="3"/>
  <c r="E81" i="3"/>
  <c r="N81" i="3"/>
  <c r="J81" i="3"/>
  <c r="I215" i="3"/>
  <c r="I214" i="3" s="1"/>
  <c r="I188" i="3"/>
  <c r="I109" i="3"/>
  <c r="I91" i="3"/>
  <c r="I238" i="3"/>
  <c r="I237" i="3" s="1"/>
  <c r="I164" i="3"/>
  <c r="I160" i="3"/>
  <c r="I170" i="3"/>
  <c r="J323" i="1"/>
  <c r="I227" i="3"/>
  <c r="J315" i="1"/>
  <c r="J299" i="1"/>
  <c r="J278" i="1" s="1"/>
  <c r="I148" i="3"/>
  <c r="I146" i="3"/>
  <c r="I223" i="3"/>
  <c r="I147" i="3"/>
  <c r="E156" i="3"/>
  <c r="E149" i="3" s="1"/>
  <c r="I181" i="3"/>
  <c r="L232" i="3"/>
  <c r="J232" i="3"/>
  <c r="G232" i="3"/>
  <c r="I110" i="3"/>
  <c r="I218" i="3"/>
  <c r="I149" i="3"/>
  <c r="I134" i="3"/>
  <c r="N232" i="3"/>
  <c r="H232" i="3"/>
  <c r="M232" i="3"/>
  <c r="M230" i="3" s="1"/>
  <c r="K232" i="3"/>
  <c r="K230" i="3" s="1"/>
  <c r="F232" i="3"/>
  <c r="F230" i="3" s="1"/>
  <c r="E232" i="3"/>
  <c r="E230" i="3" s="1"/>
  <c r="I165" i="3"/>
  <c r="I232" i="3"/>
  <c r="M149" i="3"/>
  <c r="F149" i="3"/>
  <c r="I141" i="3"/>
  <c r="I113" i="3"/>
  <c r="N239" i="3"/>
  <c r="L239" i="3"/>
  <c r="J239" i="3"/>
  <c r="H239" i="3"/>
  <c r="G239" i="3"/>
  <c r="K149" i="3"/>
  <c r="L144" i="3"/>
  <c r="H144" i="3"/>
  <c r="N144" i="3"/>
  <c r="J144" i="3"/>
  <c r="G144" i="3"/>
  <c r="M144" i="3"/>
  <c r="K144" i="3"/>
  <c r="F144" i="3"/>
  <c r="E144" i="3"/>
  <c r="N149" i="3"/>
  <c r="L149" i="3"/>
  <c r="J149" i="3"/>
  <c r="H149" i="3"/>
  <c r="G149" i="3"/>
  <c r="J267" i="1"/>
  <c r="J229" i="1" s="1"/>
  <c r="I158" i="3" l="1"/>
  <c r="I178" i="3"/>
  <c r="I254" i="3"/>
  <c r="I246" i="3" s="1"/>
  <c r="M259" i="3"/>
  <c r="F259" i="3"/>
  <c r="K259" i="3"/>
  <c r="I226" i="3"/>
  <c r="I16" i="3"/>
  <c r="I81" i="3"/>
  <c r="I144" i="3"/>
  <c r="L230" i="3"/>
  <c r="L259" i="3" s="1"/>
  <c r="G230" i="3"/>
  <c r="G259" i="3" s="1"/>
  <c r="N230" i="3"/>
  <c r="J230" i="3"/>
  <c r="I230" i="3"/>
  <c r="H230" i="3"/>
  <c r="H259" i="3" s="1"/>
  <c r="E327" i="1"/>
  <c r="D240" i="3" s="1"/>
  <c r="D327" i="1"/>
  <c r="B327" i="1"/>
  <c r="E170" i="3" l="1"/>
  <c r="E158" i="3" s="1"/>
  <c r="E225" i="3"/>
  <c r="J161" i="1"/>
  <c r="I219" i="3" s="1"/>
  <c r="P327" i="1"/>
  <c r="O240" i="3" s="1"/>
  <c r="J132" i="1" l="1"/>
  <c r="J131" i="1" s="1"/>
  <c r="I216" i="3"/>
  <c r="I171" i="3" s="1"/>
  <c r="E216" i="3"/>
  <c r="E171" i="3" s="1"/>
  <c r="E253" i="1" l="1"/>
  <c r="C253" i="1"/>
  <c r="D253" i="1"/>
  <c r="B253" i="1"/>
  <c r="D192" i="3" l="1"/>
  <c r="P253" i="1"/>
  <c r="O192" i="3" s="1"/>
  <c r="E130" i="3" l="1"/>
  <c r="E102" i="3" s="1"/>
  <c r="E259" i="3" l="1"/>
  <c r="J80" i="1"/>
  <c r="J65" i="1" l="1"/>
  <c r="I37" i="3"/>
  <c r="I23" i="3" s="1"/>
  <c r="J218" i="1"/>
  <c r="D54" i="1"/>
  <c r="D310" i="1"/>
  <c r="D267" i="1"/>
  <c r="C222" i="1"/>
  <c r="B222" i="1"/>
  <c r="D212" i="1"/>
  <c r="P330" i="1"/>
  <c r="O245" i="3" s="1"/>
  <c r="E325" i="1"/>
  <c r="E326" i="1"/>
  <c r="E328" i="1"/>
  <c r="E329" i="1"/>
  <c r="D244" i="3" s="1"/>
  <c r="D249" i="3"/>
  <c r="D248" i="3" s="1"/>
  <c r="E324" i="1"/>
  <c r="K322" i="1"/>
  <c r="L322" i="1"/>
  <c r="M322" i="1"/>
  <c r="N322" i="1"/>
  <c r="O322" i="1"/>
  <c r="F322" i="1"/>
  <c r="G322" i="1"/>
  <c r="H322" i="1"/>
  <c r="I322" i="1"/>
  <c r="E317" i="1"/>
  <c r="D177" i="3" s="1"/>
  <c r="D176" i="3" s="1"/>
  <c r="E318" i="1"/>
  <c r="E319" i="1"/>
  <c r="D221" i="3" s="1"/>
  <c r="E320" i="1"/>
  <c r="D222" i="3" s="1"/>
  <c r="E321" i="1"/>
  <c r="E316" i="1"/>
  <c r="K314" i="1"/>
  <c r="L314" i="1"/>
  <c r="M314" i="1"/>
  <c r="N314" i="1"/>
  <c r="O314" i="1"/>
  <c r="F314" i="1"/>
  <c r="G314" i="1"/>
  <c r="H314" i="1"/>
  <c r="I314" i="1"/>
  <c r="J312" i="1"/>
  <c r="J311" i="1" s="1"/>
  <c r="E313" i="1"/>
  <c r="E312" i="1" s="1"/>
  <c r="E311" i="1" s="1"/>
  <c r="K312" i="1"/>
  <c r="K311" i="1" s="1"/>
  <c r="L312" i="1"/>
  <c r="L311" i="1" s="1"/>
  <c r="M312" i="1"/>
  <c r="M311" i="1" s="1"/>
  <c r="N312" i="1"/>
  <c r="N311" i="1" s="1"/>
  <c r="O312" i="1"/>
  <c r="O311" i="1" s="1"/>
  <c r="F312" i="1"/>
  <c r="F311" i="1" s="1"/>
  <c r="G312" i="1"/>
  <c r="G311" i="1" s="1"/>
  <c r="H312" i="1"/>
  <c r="H311" i="1" s="1"/>
  <c r="I312" i="1"/>
  <c r="I311" i="1" s="1"/>
  <c r="E306" i="1"/>
  <c r="E310" i="1"/>
  <c r="E305" i="1"/>
  <c r="K303" i="1"/>
  <c r="L303" i="1"/>
  <c r="M303" i="1"/>
  <c r="N303" i="1"/>
  <c r="O303" i="1"/>
  <c r="F303" i="1"/>
  <c r="G303" i="1"/>
  <c r="H303" i="1"/>
  <c r="I303" i="1"/>
  <c r="E286" i="1"/>
  <c r="E287" i="1"/>
  <c r="D169" i="3" s="1"/>
  <c r="E288" i="1"/>
  <c r="E289" i="1"/>
  <c r="D182" i="3" s="1"/>
  <c r="E290" i="1"/>
  <c r="D184" i="3" s="1"/>
  <c r="E293" i="1"/>
  <c r="E299" i="1"/>
  <c r="E281" i="1"/>
  <c r="K277" i="1"/>
  <c r="M277" i="1"/>
  <c r="N277" i="1"/>
  <c r="O277" i="1"/>
  <c r="F277" i="1"/>
  <c r="G277" i="1"/>
  <c r="H277" i="1"/>
  <c r="I277" i="1"/>
  <c r="J275" i="1"/>
  <c r="J274" i="1" s="1"/>
  <c r="E276" i="1"/>
  <c r="E275" i="1" s="1"/>
  <c r="E274" i="1" s="1"/>
  <c r="K275" i="1"/>
  <c r="K274" i="1" s="1"/>
  <c r="L275" i="1"/>
  <c r="L274" i="1" s="1"/>
  <c r="M275" i="1"/>
  <c r="M274" i="1" s="1"/>
  <c r="N275" i="1"/>
  <c r="N274" i="1" s="1"/>
  <c r="O275" i="1"/>
  <c r="O274" i="1" s="1"/>
  <c r="F275" i="1"/>
  <c r="F274" i="1" s="1"/>
  <c r="G275" i="1"/>
  <c r="G274" i="1" s="1"/>
  <c r="H275" i="1"/>
  <c r="H274" i="1" s="1"/>
  <c r="I275" i="1"/>
  <c r="I274" i="1" s="1"/>
  <c r="E238" i="1"/>
  <c r="E239" i="1"/>
  <c r="D160" i="3" s="1"/>
  <c r="E240" i="1"/>
  <c r="E241" i="1"/>
  <c r="D162" i="3" s="1"/>
  <c r="E242" i="1"/>
  <c r="E243" i="1"/>
  <c r="E244" i="1"/>
  <c r="E248" i="1"/>
  <c r="E249" i="1"/>
  <c r="E250" i="1"/>
  <c r="P250" i="1" s="1"/>
  <c r="E264" i="1"/>
  <c r="E265" i="1"/>
  <c r="P265" i="1" s="1"/>
  <c r="E267" i="1"/>
  <c r="P267" i="1" s="1"/>
  <c r="E270" i="1"/>
  <c r="P270" i="1" s="1"/>
  <c r="E273" i="1"/>
  <c r="E236" i="1"/>
  <c r="K228" i="1"/>
  <c r="L228" i="1"/>
  <c r="M228" i="1"/>
  <c r="N228" i="1"/>
  <c r="O228" i="1"/>
  <c r="F228" i="1"/>
  <c r="G228" i="1"/>
  <c r="H228" i="1"/>
  <c r="I228" i="1"/>
  <c r="E221" i="1"/>
  <c r="E222" i="1"/>
  <c r="E223" i="1"/>
  <c r="E224" i="1"/>
  <c r="E226" i="1"/>
  <c r="E219" i="1"/>
  <c r="K217" i="1"/>
  <c r="L217" i="1"/>
  <c r="M217" i="1"/>
  <c r="N217" i="1"/>
  <c r="F217" i="1"/>
  <c r="G217" i="1"/>
  <c r="H217" i="1"/>
  <c r="I217" i="1"/>
  <c r="E212" i="1"/>
  <c r="D119" i="3" s="1"/>
  <c r="E213" i="1"/>
  <c r="D120" i="3" s="1"/>
  <c r="E211" i="1"/>
  <c r="K208" i="1"/>
  <c r="L208" i="1"/>
  <c r="M208" i="1"/>
  <c r="N208" i="1"/>
  <c r="O208" i="1"/>
  <c r="F208" i="1"/>
  <c r="G208" i="1"/>
  <c r="H208" i="1"/>
  <c r="I208" i="1"/>
  <c r="E174" i="1"/>
  <c r="D108" i="3" s="1"/>
  <c r="E175" i="1"/>
  <c r="E176" i="1"/>
  <c r="E178" i="1"/>
  <c r="D112" i="3" s="1"/>
  <c r="E179" i="1"/>
  <c r="E180" i="1"/>
  <c r="D114" i="3" s="1"/>
  <c r="E182" i="1"/>
  <c r="D116" i="3" s="1"/>
  <c r="E184" i="1"/>
  <c r="E186" i="1"/>
  <c r="E187" i="1"/>
  <c r="E189" i="1"/>
  <c r="D128" i="3" s="1"/>
  <c r="E191" i="1"/>
  <c r="D130" i="3" s="1"/>
  <c r="E192" i="1"/>
  <c r="D131" i="3" s="1"/>
  <c r="E193" i="1"/>
  <c r="D132" i="3" s="1"/>
  <c r="E194" i="1"/>
  <c r="D133" i="3" s="1"/>
  <c r="E195" i="1"/>
  <c r="E202" i="1"/>
  <c r="E203" i="1"/>
  <c r="E207" i="1"/>
  <c r="E172" i="1"/>
  <c r="L165" i="1"/>
  <c r="M165" i="1"/>
  <c r="N165" i="1"/>
  <c r="F165" i="1"/>
  <c r="G165" i="1"/>
  <c r="H165" i="1"/>
  <c r="I165" i="1"/>
  <c r="E141" i="1"/>
  <c r="D86" i="3" s="1"/>
  <c r="E146" i="1"/>
  <c r="E148" i="1"/>
  <c r="D93" i="3" s="1"/>
  <c r="E150" i="1"/>
  <c r="D95" i="3" s="1"/>
  <c r="E152" i="1"/>
  <c r="D97" i="3" s="1"/>
  <c r="E155" i="1"/>
  <c r="D100" i="3" s="1"/>
  <c r="D101" i="3"/>
  <c r="E161" i="1"/>
  <c r="E140" i="1"/>
  <c r="K64" i="1"/>
  <c r="L64" i="1"/>
  <c r="M64" i="1"/>
  <c r="N64" i="1"/>
  <c r="O64" i="1"/>
  <c r="F64" i="1"/>
  <c r="G64" i="1"/>
  <c r="H64" i="1"/>
  <c r="I64" i="1"/>
  <c r="E79" i="1"/>
  <c r="D35" i="3" s="1"/>
  <c r="E80" i="1"/>
  <c r="D37" i="3" s="1"/>
  <c r="E83" i="1"/>
  <c r="E86" i="1"/>
  <c r="D50" i="3" s="1"/>
  <c r="E95" i="1"/>
  <c r="D59" i="3" s="1"/>
  <c r="E101" i="1"/>
  <c r="D66" i="3" s="1"/>
  <c r="E102" i="1"/>
  <c r="D67" i="3" s="1"/>
  <c r="E104" i="1"/>
  <c r="D69" i="3" s="1"/>
  <c r="E112" i="1"/>
  <c r="D77" i="3" s="1"/>
  <c r="E78" i="1"/>
  <c r="E22" i="1"/>
  <c r="D20" i="3" s="1"/>
  <c r="E25" i="1"/>
  <c r="E26" i="1"/>
  <c r="E27" i="1"/>
  <c r="D121" i="3" s="1"/>
  <c r="E28" i="1"/>
  <c r="D122" i="3" s="1"/>
  <c r="E30" i="1"/>
  <c r="D124" i="3" s="1"/>
  <c r="E31" i="1"/>
  <c r="E32" i="1"/>
  <c r="E33" i="1"/>
  <c r="E34" i="1"/>
  <c r="E35" i="1"/>
  <c r="E36" i="1"/>
  <c r="D151" i="3" s="1"/>
  <c r="E37" i="1"/>
  <c r="D152" i="3" s="1"/>
  <c r="E38" i="1"/>
  <c r="E39" i="1"/>
  <c r="D155" i="3" s="1"/>
  <c r="E40" i="1"/>
  <c r="E41" i="1"/>
  <c r="E45" i="1"/>
  <c r="D202" i="3" s="1"/>
  <c r="D198" i="3" s="1"/>
  <c r="E50" i="1"/>
  <c r="E51" i="1"/>
  <c r="E52" i="1"/>
  <c r="E53" i="1"/>
  <c r="D225" i="3" s="1"/>
  <c r="E54" i="1"/>
  <c r="E55" i="1"/>
  <c r="E56" i="1"/>
  <c r="D234" i="3" s="1"/>
  <c r="E57" i="1"/>
  <c r="D235" i="3" s="1"/>
  <c r="E59" i="1"/>
  <c r="E60" i="1"/>
  <c r="E17" i="1" s="1"/>
  <c r="E61" i="1"/>
  <c r="D243" i="3" s="1"/>
  <c r="D242" i="3" s="1"/>
  <c r="E20" i="1"/>
  <c r="K16" i="1"/>
  <c r="M16" i="1"/>
  <c r="N16" i="1"/>
  <c r="O16" i="1"/>
  <c r="F16" i="1"/>
  <c r="G16" i="1"/>
  <c r="H16" i="1"/>
  <c r="I16" i="1"/>
  <c r="L16" i="1"/>
  <c r="E278" i="1" l="1"/>
  <c r="E229" i="1"/>
  <c r="D47" i="3"/>
  <c r="E65" i="1"/>
  <c r="H332" i="1"/>
  <c r="H345" i="1" s="1"/>
  <c r="F332" i="1"/>
  <c r="F345" i="1" s="1"/>
  <c r="N332" i="1"/>
  <c r="N345" i="1" s="1"/>
  <c r="D18" i="3"/>
  <c r="D16" i="3" s="1"/>
  <c r="I332" i="1"/>
  <c r="I345" i="1" s="1"/>
  <c r="G332" i="1"/>
  <c r="G345" i="1" s="1"/>
  <c r="M332" i="1"/>
  <c r="M345" i="1" s="1"/>
  <c r="D241" i="3"/>
  <c r="D239" i="3" s="1"/>
  <c r="D142" i="3"/>
  <c r="E209" i="1"/>
  <c r="E208" i="1" s="1"/>
  <c r="E304" i="1"/>
  <c r="E303" i="1" s="1"/>
  <c r="E228" i="1"/>
  <c r="E166" i="1"/>
  <c r="E165" i="1" s="1"/>
  <c r="D219" i="3"/>
  <c r="D125" i="3"/>
  <c r="E16" i="1"/>
  <c r="P30" i="1"/>
  <c r="O124" i="3" s="1"/>
  <c r="E277" i="1"/>
  <c r="D257" i="3"/>
  <c r="D157" i="3"/>
  <c r="E315" i="1"/>
  <c r="E314" i="1" s="1"/>
  <c r="E64" i="1"/>
  <c r="E132" i="1"/>
  <c r="E131" i="1" s="1"/>
  <c r="E218" i="1"/>
  <c r="E217" i="1" s="1"/>
  <c r="E323" i="1"/>
  <c r="E322" i="1" s="1"/>
  <c r="D153" i="3"/>
  <c r="D145" i="3"/>
  <c r="D118" i="3"/>
  <c r="D226" i="3"/>
  <c r="D156" i="3"/>
  <c r="D215" i="3"/>
  <c r="D214" i="3" s="1"/>
  <c r="D188" i="3"/>
  <c r="P203" i="1"/>
  <c r="P238" i="1"/>
  <c r="D109" i="3"/>
  <c r="D91" i="3"/>
  <c r="D163" i="3"/>
  <c r="D238" i="3"/>
  <c r="D237" i="3" s="1"/>
  <c r="D164" i="3"/>
  <c r="D170" i="3"/>
  <c r="D227" i="3"/>
  <c r="P273" i="1"/>
  <c r="D161" i="3"/>
  <c r="D165" i="3"/>
  <c r="D223" i="3"/>
  <c r="D126" i="3"/>
  <c r="D218" i="3"/>
  <c r="P236" i="1"/>
  <c r="O217" i="1"/>
  <c r="D147" i="3"/>
  <c r="D134" i="3"/>
  <c r="D181" i="3"/>
  <c r="D148" i="3"/>
  <c r="D146" i="3"/>
  <c r="J217" i="1"/>
  <c r="D232" i="3"/>
  <c r="P207" i="1"/>
  <c r="D141" i="3"/>
  <c r="D113" i="3"/>
  <c r="D110" i="3"/>
  <c r="P20" i="1"/>
  <c r="P60" i="1"/>
  <c r="P57" i="1"/>
  <c r="O235" i="3" s="1"/>
  <c r="P55" i="1"/>
  <c r="P53" i="1"/>
  <c r="O225" i="3" s="1"/>
  <c r="P51" i="1"/>
  <c r="P112" i="1"/>
  <c r="O77" i="3" s="1"/>
  <c r="P104" i="1"/>
  <c r="O69" i="3" s="1"/>
  <c r="P102" i="1"/>
  <c r="O67" i="3" s="1"/>
  <c r="P86" i="1"/>
  <c r="O50" i="3" s="1"/>
  <c r="P83" i="1"/>
  <c r="P80" i="1"/>
  <c r="O37" i="3" s="1"/>
  <c r="P140" i="1"/>
  <c r="P194" i="1"/>
  <c r="O133" i="3" s="1"/>
  <c r="P192" i="1"/>
  <c r="O131" i="3" s="1"/>
  <c r="P189" i="1"/>
  <c r="O128" i="3" s="1"/>
  <c r="P186" i="1"/>
  <c r="P182" i="1"/>
  <c r="O116" i="3" s="1"/>
  <c r="P179" i="1"/>
  <c r="P176" i="1"/>
  <c r="P248" i="1"/>
  <c r="P243" i="1"/>
  <c r="P240" i="1"/>
  <c r="O161" i="3" s="1"/>
  <c r="P289" i="1"/>
  <c r="O182" i="3" s="1"/>
  <c r="P331" i="1"/>
  <c r="O249" i="3" s="1"/>
  <c r="O248" i="3" s="1"/>
  <c r="P61" i="1"/>
  <c r="O243" i="3" s="1"/>
  <c r="O242" i="3" s="1"/>
  <c r="P59" i="1"/>
  <c r="P56" i="1"/>
  <c r="O234" i="3" s="1"/>
  <c r="P54" i="1"/>
  <c r="P52" i="1"/>
  <c r="O223" i="3" s="1"/>
  <c r="P50" i="1"/>
  <c r="P101" i="1"/>
  <c r="O66" i="3" s="1"/>
  <c r="P95" i="1"/>
  <c r="O59" i="3" s="1"/>
  <c r="P172" i="1"/>
  <c r="P195" i="1"/>
  <c r="P193" i="1"/>
  <c r="O132" i="3" s="1"/>
  <c r="P191" i="1"/>
  <c r="O130" i="3" s="1"/>
  <c r="P187" i="1"/>
  <c r="O126" i="3" s="1"/>
  <c r="P184" i="1"/>
  <c r="O118" i="3" s="1"/>
  <c r="P180" i="1"/>
  <c r="O114" i="3" s="1"/>
  <c r="P178" i="1"/>
  <c r="O112" i="3" s="1"/>
  <c r="P175" i="1"/>
  <c r="P244" i="1"/>
  <c r="P242" i="1"/>
  <c r="P241" i="1"/>
  <c r="O162" i="3" s="1"/>
  <c r="P290" i="1"/>
  <c r="O184" i="3" s="1"/>
  <c r="P324" i="1"/>
  <c r="J228" i="1"/>
  <c r="P264" i="1"/>
  <c r="P305" i="1"/>
  <c r="P306" i="1"/>
  <c r="P319" i="1"/>
  <c r="O221" i="3" s="1"/>
  <c r="J314" i="1"/>
  <c r="P328" i="1"/>
  <c r="P325" i="1"/>
  <c r="P213" i="1"/>
  <c r="O120" i="3" s="1"/>
  <c r="P212" i="1"/>
  <c r="O119" i="3" s="1"/>
  <c r="P45" i="1"/>
  <c r="O202" i="3" s="1"/>
  <c r="O198" i="3" s="1"/>
  <c r="P38" i="1"/>
  <c r="O153" i="3" s="1"/>
  <c r="P36" i="1"/>
  <c r="O151" i="3" s="1"/>
  <c r="P34" i="1"/>
  <c r="P32" i="1"/>
  <c r="O142" i="3" s="1"/>
  <c r="P27" i="1"/>
  <c r="O121" i="3" s="1"/>
  <c r="P25" i="1"/>
  <c r="P219" i="1"/>
  <c r="P299" i="1"/>
  <c r="P313" i="1"/>
  <c r="P312" i="1" s="1"/>
  <c r="P311" i="1" s="1"/>
  <c r="P320" i="1"/>
  <c r="O222" i="3" s="1"/>
  <c r="P318" i="1"/>
  <c r="P317" i="1"/>
  <c r="O177" i="3" s="1"/>
  <c r="O176" i="3" s="1"/>
  <c r="P321" i="1"/>
  <c r="P249" i="1"/>
  <c r="P41" i="1"/>
  <c r="P39" i="1"/>
  <c r="O155" i="3" s="1"/>
  <c r="P37" i="1"/>
  <c r="O152" i="3" s="1"/>
  <c r="P35" i="1"/>
  <c r="P31" i="1"/>
  <c r="P28" i="1"/>
  <c r="O122" i="3" s="1"/>
  <c r="P26" i="1"/>
  <c r="P161" i="1"/>
  <c r="P156" i="1"/>
  <c r="O101" i="3" s="1"/>
  <c r="P155" i="1"/>
  <c r="O100" i="3" s="1"/>
  <c r="P152" i="1"/>
  <c r="O97" i="3" s="1"/>
  <c r="P150" i="1"/>
  <c r="O95" i="3" s="1"/>
  <c r="P148" i="1"/>
  <c r="O93" i="3" s="1"/>
  <c r="P146" i="1"/>
  <c r="P141" i="1"/>
  <c r="O86" i="3" s="1"/>
  <c r="J208" i="1"/>
  <c r="P224" i="1"/>
  <c r="P226" i="1"/>
  <c r="P221" i="1"/>
  <c r="P293" i="1"/>
  <c r="P288" i="1"/>
  <c r="P22" i="1"/>
  <c r="O20" i="3" s="1"/>
  <c r="P33" i="1"/>
  <c r="P239" i="1"/>
  <c r="O160" i="3" s="1"/>
  <c r="P310" i="1"/>
  <c r="P40" i="1"/>
  <c r="O156" i="3" s="1"/>
  <c r="P79" i="1"/>
  <c r="O35" i="3" s="1"/>
  <c r="P211" i="1"/>
  <c r="P223" i="1"/>
  <c r="P222" i="1"/>
  <c r="P326" i="1"/>
  <c r="P281" i="1"/>
  <c r="P286" i="1"/>
  <c r="P329" i="1"/>
  <c r="O244" i="3" s="1"/>
  <c r="J322" i="1"/>
  <c r="J64" i="1"/>
  <c r="P316" i="1"/>
  <c r="P276" i="1"/>
  <c r="P275" i="1" s="1"/>
  <c r="P274" i="1" s="1"/>
  <c r="P78" i="1"/>
  <c r="J16" i="1"/>
  <c r="P202" i="1"/>
  <c r="P17" i="1" l="1"/>
  <c r="O188" i="3"/>
  <c r="D178" i="3"/>
  <c r="P229" i="1"/>
  <c r="D23" i="3"/>
  <c r="O47" i="3"/>
  <c r="P65" i="1"/>
  <c r="P64" i="1" s="1"/>
  <c r="E332" i="1"/>
  <c r="O18" i="3"/>
  <c r="O16" i="3" s="1"/>
  <c r="P209" i="1"/>
  <c r="P304" i="1"/>
  <c r="O241" i="3"/>
  <c r="O239" i="3" s="1"/>
  <c r="D158" i="3"/>
  <c r="O219" i="3"/>
  <c r="O125" i="3"/>
  <c r="D102" i="3"/>
  <c r="O257" i="3"/>
  <c r="O254" i="3" s="1"/>
  <c r="O246" i="3" s="1"/>
  <c r="O157" i="3"/>
  <c r="O149" i="3" s="1"/>
  <c r="D230" i="3"/>
  <c r="D254" i="3"/>
  <c r="D246" i="3" s="1"/>
  <c r="D81" i="3"/>
  <c r="D216" i="3"/>
  <c r="P218" i="1"/>
  <c r="O226" i="3"/>
  <c r="D149" i="3"/>
  <c r="P132" i="1"/>
  <c r="P131" i="1" s="1"/>
  <c r="O215" i="3"/>
  <c r="O214" i="3" s="1"/>
  <c r="O145" i="3"/>
  <c r="O134" i="3"/>
  <c r="O109" i="3"/>
  <c r="O91" i="3"/>
  <c r="O163" i="3"/>
  <c r="O238" i="3"/>
  <c r="O237" i="3" s="1"/>
  <c r="O164" i="3"/>
  <c r="O227" i="3"/>
  <c r="O170" i="3"/>
  <c r="P323" i="1"/>
  <c r="P315" i="1"/>
  <c r="O181" i="3"/>
  <c r="O178" i="3" s="1"/>
  <c r="O141" i="3"/>
  <c r="D144" i="3"/>
  <c r="O218" i="3"/>
  <c r="O232" i="3"/>
  <c r="O165" i="3"/>
  <c r="O148" i="3"/>
  <c r="O147" i="3"/>
  <c r="O113" i="3"/>
  <c r="O146" i="3"/>
  <c r="O110" i="3"/>
  <c r="L277" i="1"/>
  <c r="O23" i="3" l="1"/>
  <c r="L332" i="1"/>
  <c r="L345" i="1" s="1"/>
  <c r="D171" i="3"/>
  <c r="D259" i="3" s="1"/>
  <c r="E345" i="1" s="1"/>
  <c r="O216" i="3"/>
  <c r="O171" i="3" s="1"/>
  <c r="O81" i="3"/>
  <c r="O230" i="3"/>
  <c r="O144" i="3"/>
  <c r="P287" i="1"/>
  <c r="P278" i="1" s="1"/>
  <c r="J277" i="1"/>
  <c r="O169" i="3" l="1"/>
  <c r="O158" i="3" s="1"/>
  <c r="J108" i="3" l="1"/>
  <c r="J102" i="3" s="1"/>
  <c r="K165" i="1"/>
  <c r="K332" i="1" s="1"/>
  <c r="N108" i="3"/>
  <c r="N102" i="3" s="1"/>
  <c r="O165" i="1"/>
  <c r="O332" i="1" s="1"/>
  <c r="J174" i="1"/>
  <c r="J166" i="1" s="1"/>
  <c r="N259" i="3" l="1"/>
  <c r="O345" i="1" s="1"/>
  <c r="J259" i="3"/>
  <c r="K345" i="1" s="1"/>
  <c r="I108" i="3"/>
  <c r="I102" i="3" s="1"/>
  <c r="P174" i="1"/>
  <c r="P166" i="1" s="1"/>
  <c r="P16" i="1"/>
  <c r="P303" i="1"/>
  <c r="P322" i="1"/>
  <c r="I259" i="3" l="1"/>
  <c r="O108" i="3"/>
  <c r="O102" i="3" s="1"/>
  <c r="P165" i="1"/>
  <c r="J165" i="1"/>
  <c r="P314" i="1"/>
  <c r="P277" i="1"/>
  <c r="P228" i="1"/>
  <c r="P217" i="1"/>
  <c r="P208" i="1"/>
  <c r="P332" i="1" l="1"/>
  <c r="J332" i="1"/>
  <c r="J345" i="1" s="1"/>
  <c r="O259" i="3"/>
  <c r="C57" i="1"/>
  <c r="P345" i="1" l="1"/>
  <c r="C326" i="1"/>
  <c r="D326" i="1"/>
  <c r="B326" i="1"/>
  <c r="C265" i="1"/>
  <c r="D265" i="1"/>
  <c r="B265" i="1"/>
  <c r="C178" i="1" l="1"/>
  <c r="D178" i="1"/>
  <c r="B178" i="1"/>
  <c r="C33" i="1"/>
  <c r="B33" i="1"/>
  <c r="B152" i="1"/>
  <c r="C152" i="1"/>
  <c r="D152" i="1"/>
  <c r="B187" i="1"/>
  <c r="C187" i="1"/>
  <c r="D187" i="1"/>
  <c r="B189" i="1"/>
  <c r="C189" i="1"/>
  <c r="C182" i="1"/>
  <c r="D182" i="1"/>
  <c r="B182" i="1"/>
  <c r="C310" i="1"/>
  <c r="B310" i="1"/>
  <c r="C306" i="1"/>
  <c r="D306" i="1"/>
  <c r="B306" i="1"/>
  <c r="D156" i="1"/>
  <c r="C156" i="1"/>
  <c r="B156" i="1"/>
  <c r="C155" i="1"/>
  <c r="D155" i="1"/>
  <c r="B155" i="1"/>
  <c r="C54" i="1"/>
  <c r="B54" i="1"/>
  <c r="C207" i="1"/>
  <c r="B207" i="1"/>
  <c r="C202" i="1"/>
  <c r="D202" i="1"/>
  <c r="C203" i="1"/>
  <c r="B203" i="1"/>
  <c r="B202" i="1"/>
  <c r="C195" i="1"/>
  <c r="D195" i="1"/>
  <c r="B195" i="1"/>
  <c r="C194" i="1"/>
  <c r="D194" i="1"/>
  <c r="B194" i="1"/>
  <c r="C193" i="1"/>
  <c r="B193" i="1"/>
  <c r="C192" i="1"/>
  <c r="D192" i="1"/>
  <c r="B192" i="1"/>
  <c r="C191" i="1"/>
  <c r="D191" i="1"/>
  <c r="B191" i="1"/>
  <c r="C186" i="1"/>
  <c r="D186" i="1"/>
  <c r="B186" i="1"/>
  <c r="C184" i="1"/>
  <c r="D184" i="1"/>
  <c r="B184" i="1"/>
  <c r="C180" i="1"/>
  <c r="D180" i="1"/>
  <c r="B180" i="1"/>
  <c r="C179" i="1"/>
  <c r="D179" i="1"/>
  <c r="B179" i="1"/>
  <c r="C176" i="1"/>
  <c r="D176" i="1"/>
  <c r="B176" i="1"/>
  <c r="C175" i="1"/>
  <c r="B175" i="1"/>
  <c r="C174" i="1"/>
  <c r="D174" i="1"/>
  <c r="B174" i="1"/>
  <c r="C161" i="1"/>
  <c r="B161" i="1"/>
  <c r="C150" i="1"/>
  <c r="D150" i="1"/>
  <c r="B150" i="1"/>
  <c r="C148" i="1"/>
  <c r="B148" i="1"/>
  <c r="C146" i="1"/>
  <c r="B146" i="1"/>
  <c r="C141" i="1"/>
  <c r="B141" i="1"/>
  <c r="C102" i="1"/>
  <c r="C104" i="1"/>
  <c r="C80" i="1"/>
  <c r="B80" i="1"/>
  <c r="C79" i="1"/>
  <c r="B79" i="1"/>
  <c r="C61" i="1"/>
  <c r="D61" i="1"/>
  <c r="B61" i="1"/>
  <c r="C60" i="1"/>
  <c r="D60" i="1"/>
  <c r="B60" i="1"/>
  <c r="C59" i="1"/>
  <c r="D59" i="1"/>
  <c r="B59" i="1"/>
  <c r="B57" i="1"/>
  <c r="C56" i="1"/>
  <c r="D56" i="1"/>
  <c r="B56" i="1"/>
  <c r="C55" i="1"/>
  <c r="D55" i="1"/>
  <c r="B55" i="1"/>
  <c r="C53" i="1"/>
  <c r="D53" i="1"/>
  <c r="B53" i="1"/>
  <c r="C52" i="1"/>
  <c r="B52" i="1"/>
  <c r="C51" i="1"/>
  <c r="D51" i="1"/>
  <c r="B51" i="1"/>
  <c r="C50" i="1"/>
  <c r="B50" i="1"/>
  <c r="C45" i="1"/>
  <c r="D45" i="1"/>
  <c r="B45" i="1"/>
  <c r="C31" i="1"/>
  <c r="C32" i="1"/>
  <c r="B32" i="1"/>
  <c r="B31" i="1"/>
  <c r="C34" i="1"/>
  <c r="C35" i="1"/>
  <c r="B34" i="1"/>
  <c r="C41" i="1"/>
  <c r="D41" i="1"/>
  <c r="B41" i="1"/>
  <c r="C40" i="1"/>
  <c r="B40" i="1"/>
  <c r="C39" i="1"/>
  <c r="B39" i="1"/>
  <c r="C38" i="1"/>
  <c r="B38" i="1"/>
  <c r="C37" i="1"/>
  <c r="B37" i="1"/>
  <c r="C36" i="1"/>
  <c r="B36" i="1"/>
  <c r="C30" i="1"/>
  <c r="B30" i="1"/>
  <c r="C28" i="1"/>
  <c r="D28" i="1"/>
  <c r="B28" i="1"/>
  <c r="C27" i="1"/>
  <c r="B27" i="1"/>
  <c r="C26" i="1"/>
  <c r="D26" i="1"/>
  <c r="B26" i="1"/>
  <c r="C25" i="1"/>
  <c r="B25" i="1"/>
  <c r="C22" i="1"/>
  <c r="D22" i="1"/>
  <c r="B22" i="1"/>
  <c r="D213" i="1"/>
  <c r="C213" i="1"/>
  <c r="B213" i="1"/>
  <c r="C221" i="1"/>
  <c r="D221" i="1"/>
  <c r="B221" i="1"/>
  <c r="C223" i="1"/>
  <c r="D223" i="1"/>
  <c r="C224" i="1"/>
  <c r="D224" i="1"/>
  <c r="B224" i="1"/>
  <c r="B223" i="1"/>
  <c r="C226" i="1"/>
  <c r="B226" i="1"/>
  <c r="C238" i="1"/>
  <c r="D238" i="1"/>
  <c r="B238" i="1"/>
  <c r="C242" i="1"/>
  <c r="D242" i="1"/>
  <c r="B242" i="1"/>
  <c r="C241" i="1"/>
  <c r="D241" i="1"/>
  <c r="B241" i="1"/>
  <c r="C240" i="1"/>
  <c r="D240" i="1"/>
  <c r="B240" i="1"/>
  <c r="C239" i="1"/>
  <c r="D239" i="1"/>
  <c r="B239" i="1"/>
  <c r="C243" i="1"/>
  <c r="D243" i="1"/>
  <c r="B243" i="1"/>
  <c r="C244" i="1"/>
  <c r="D244" i="1"/>
  <c r="B244" i="1"/>
  <c r="C248" i="1"/>
  <c r="D248" i="1"/>
  <c r="B248" i="1"/>
  <c r="C249" i="1"/>
  <c r="B249" i="1"/>
  <c r="C250" i="1"/>
  <c r="B250" i="1"/>
  <c r="C264" i="1"/>
  <c r="B264" i="1"/>
  <c r="C270" i="1"/>
  <c r="D270" i="1"/>
  <c r="B270" i="1"/>
  <c r="C273" i="1"/>
  <c r="B273" i="1"/>
  <c r="C286" i="1"/>
  <c r="D286" i="1"/>
  <c r="B286" i="1"/>
  <c r="C287" i="1"/>
  <c r="B287" i="1"/>
  <c r="C288" i="1"/>
  <c r="D288" i="1"/>
  <c r="B288" i="1"/>
  <c r="C290" i="1"/>
  <c r="B290" i="1"/>
  <c r="C289" i="1"/>
  <c r="B289" i="1"/>
  <c r="C293" i="1"/>
  <c r="B293" i="1"/>
  <c r="C299" i="1"/>
  <c r="B299" i="1"/>
  <c r="C317" i="1"/>
  <c r="D317" i="1"/>
  <c r="B317" i="1"/>
  <c r="C318" i="1"/>
  <c r="D318" i="1"/>
  <c r="B318" i="1"/>
  <c r="C319" i="1"/>
  <c r="D319" i="1"/>
  <c r="B319" i="1"/>
  <c r="C320" i="1"/>
  <c r="D320" i="1"/>
  <c r="B320" i="1"/>
  <c r="C321" i="1"/>
  <c r="D321" i="1"/>
  <c r="B321" i="1"/>
  <c r="C325" i="1"/>
  <c r="B325" i="1"/>
  <c r="C328" i="1"/>
  <c r="D328" i="1"/>
  <c r="B328" i="1"/>
  <c r="C329" i="1"/>
  <c r="D329" i="1"/>
  <c r="B329" i="1"/>
  <c r="C330" i="1"/>
  <c r="D330" i="1"/>
  <c r="C331" i="1"/>
  <c r="D331" i="1"/>
  <c r="B331" i="1"/>
  <c r="C324" i="1"/>
  <c r="B324" i="1"/>
  <c r="C316" i="1"/>
  <c r="B316" i="1"/>
  <c r="C313" i="1"/>
  <c r="B313" i="1"/>
  <c r="C305" i="1"/>
  <c r="B305" i="1"/>
  <c r="C281" i="1"/>
  <c r="B281" i="1"/>
  <c r="C276" i="1"/>
  <c r="B276" i="1"/>
  <c r="C236" i="1"/>
  <c r="B236" i="1"/>
  <c r="C219" i="1"/>
  <c r="B219" i="1"/>
  <c r="C211" i="1"/>
  <c r="B211" i="1"/>
  <c r="C172" i="1"/>
  <c r="B172" i="1"/>
  <c r="C140" i="1"/>
  <c r="B140" i="1"/>
  <c r="C78" i="1"/>
  <c r="B78" i="1"/>
  <c r="C20" i="1"/>
  <c r="B20" i="1"/>
  <c r="E83" i="3" l="1"/>
  <c r="D83" i="3" l="1"/>
  <c r="I83" i="3"/>
  <c r="O83" i="3" l="1"/>
  <c r="D82" i="3" l="1"/>
  <c r="I85" i="3"/>
  <c r="I84" i="3"/>
  <c r="O85" i="3"/>
  <c r="O84" i="3" l="1"/>
  <c r="I82" i="3"/>
  <c r="O82" i="3" l="1"/>
  <c r="I199" i="3" l="1"/>
  <c r="I173" i="3" s="1"/>
  <c r="I261" i="3" s="1"/>
  <c r="J347" i="1" s="1"/>
  <c r="D199" i="3"/>
  <c r="D173" i="3" s="1"/>
  <c r="D261" i="3" s="1"/>
  <c r="O199" i="3" l="1"/>
  <c r="O173" i="3" s="1"/>
  <c r="O261" i="3" s="1"/>
  <c r="P347" i="1" s="1"/>
  <c r="D172" i="3" l="1"/>
  <c r="I179" i="3" l="1"/>
  <c r="I260" i="3" s="1"/>
  <c r="J346" i="1" s="1"/>
  <c r="O179" i="3"/>
  <c r="O260" i="3" s="1"/>
  <c r="P346" i="1" s="1"/>
  <c r="O172" i="3" l="1"/>
  <c r="I172" i="3"/>
</calcChain>
</file>

<file path=xl/sharedStrings.xml><?xml version="1.0" encoding="utf-8"?>
<sst xmlns="http://schemas.openxmlformats.org/spreadsheetml/2006/main" count="1035" uniqueCount="624">
  <si>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</si>
  <si>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</si>
  <si>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</si>
  <si>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</si>
  <si>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</si>
  <si>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</si>
  <si>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</si>
  <si>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</si>
  <si>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</si>
  <si>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</si>
  <si>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</si>
  <si>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</si>
  <si>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</si>
  <si>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</si>
  <si>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</si>
  <si>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</si>
  <si>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</si>
  <si>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</si>
  <si>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</si>
  <si>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</si>
  <si>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</si>
  <si>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</si>
  <si>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</si>
  <si>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</si>
  <si>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</si>
  <si>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</si>
  <si>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</si>
  <si>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</si>
  <si>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</si>
  <si>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</si>
  <si>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</si>
  <si>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</si>
  <si>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</si>
  <si>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</si>
  <si>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</si>
  <si>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</si>
  <si>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</si>
  <si>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</si>
  <si>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</si>
  <si>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</si>
  <si>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</si>
  <si>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</si>
  <si>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</si>
  <si>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</si>
  <si>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</si>
  <si>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</si>
  <si>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</si>
  <si>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</si>
  <si>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</si>
  <si>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</si>
  <si>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</si>
  <si>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</si>
  <si>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</si>
  <si>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</si>
  <si>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</si>
  <si>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</si>
  <si>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</si>
  <si>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</si>
  <si>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</si>
  <si>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</si>
  <si>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</si>
  <si>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</si>
  <si>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</si>
  <si>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</si>
  <si>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</si>
  <si>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</si>
  <si>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</si>
  <si>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</si>
  <si>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</si>
  <si>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</si>
  <si>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</si>
  <si>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</si>
  <si>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</si>
  <si>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</si>
  <si>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</si>
  <si>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</si>
  <si>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</si>
  <si>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</si>
  <si>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</si>
  <si>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</si>
  <si>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</si>
  <si>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</si>
  <si>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</si>
  <si>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</si>
  <si>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</si>
  <si>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</si>
  <si>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</si>
  <si>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</si>
  <si>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</si>
  <si>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</si>
  <si>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</si>
  <si>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</si>
  <si>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</si>
  <si>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</si>
  <si>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</si>
  <si>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</si>
  <si>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</si>
  <si>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</si>
  <si>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</si>
  <si>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</si>
  <si>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</si>
  <si>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</si>
  <si>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</si>
  <si>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</si>
  <si>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</si>
  <si>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</si>
  <si>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</si>
  <si>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</si>
  <si>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</si>
  <si>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</si>
  <si>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</si>
  <si>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</si>
  <si>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</si>
  <si>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</si>
  <si>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</si>
  <si>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</si>
  <si>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</si>
  <si>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</si>
  <si>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</si>
  <si>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</si>
  <si>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</si>
  <si>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</si>
  <si>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</si>
  <si>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</si>
  <si>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</si>
  <si>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</si>
  <si>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</si>
  <si>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</si>
  <si>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</si>
  <si>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</si>
  <si>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</si>
  <si>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</si>
  <si>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</si>
  <si>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</si>
  <si>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</si>
  <si>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</si>
  <si>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</si>
  <si>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</si>
  <si>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</si>
  <si>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</si>
  <si>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</si>
  <si>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</si>
  <si>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</si>
  <si>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</si>
  <si>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</si>
  <si>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</si>
  <si>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</si>
  <si>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</si>
  <si>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</si>
  <si>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</si>
  <si>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</si>
  <si>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</si>
  <si>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</si>
  <si>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</si>
  <si>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</si>
  <si>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</si>
  <si>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</si>
  <si>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</si>
  <si>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</si>
  <si>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</si>
  <si>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</si>
  <si>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</si>
  <si>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</si>
  <si>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</si>
  <si>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</si>
  <si>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</si>
  <si>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</si>
  <si>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</si>
  <si>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</si>
  <si>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</si>
  <si>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</si>
  <si>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</si>
  <si>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</si>
  <si>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</si>
  <si>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</si>
  <si>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</si>
  <si>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</si>
  <si>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</si>
  <si>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</si>
  <si>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</si>
  <si>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</si>
  <si>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</si>
  <si>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</si>
  <si>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</si>
  <si>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</si>
  <si>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</si>
  <si>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</si>
  <si>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</si>
  <si>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</si>
  <si>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</si>
  <si>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</si>
  <si>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</si>
  <si>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</si>
  <si>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</si>
  <si>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</si>
  <si>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</si>
  <si>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</si>
  <si>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</si>
  <si>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</si>
  <si>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</si>
  <si>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</si>
  <si>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</si>
  <si>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</si>
  <si>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</si>
  <si>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</si>
  <si>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</si>
  <si>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</si>
  <si>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</si>
  <si>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</si>
  <si>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</si>
  <si>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</si>
  <si>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</si>
  <si>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</si>
  <si>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</si>
  <si>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</si>
  <si>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</si>
  <si>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</si>
  <si>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</si>
  <si>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</si>
  <si>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</si>
  <si>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</si>
  <si>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</si>
  <si>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</si>
  <si>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</si>
  <si>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</si>
  <si>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</si>
  <si>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</si>
  <si>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</si>
  <si>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</si>
  <si>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</si>
  <si>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</si>
  <si>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</si>
  <si>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</si>
  <si>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</si>
  <si>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</si>
  <si>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</si>
  <si>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</si>
  <si>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</si>
  <si>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</si>
  <si>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</si>
  <si>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</si>
  <si>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</si>
  <si>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</si>
  <si>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</si>
  <si>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</si>
  <si>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</si>
  <si>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</si>
  <si>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</si>
  <si>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</si>
  <si>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</si>
  <si>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</si>
  <si>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</si>
  <si>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</si>
  <si>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</si>
  <si>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</si>
  <si>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</si>
  <si>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</si>
  <si>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</si>
  <si>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</si>
  <si>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</si>
  <si>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</si>
  <si>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</si>
  <si>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</si>
  <si>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</si>
  <si>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</si>
  <si>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</si>
  <si>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</si>
  <si>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</si>
  <si>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</si>
  <si>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</si>
  <si>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</si>
  <si>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</si>
  <si>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</si>
  <si>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</si>
  <si>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</si>
  <si>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</si>
  <si>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</si>
  <si>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</si>
  <si>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</si>
  <si>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</si>
  <si>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</si>
  <si>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</si>
  <si>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</si>
  <si>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</si>
  <si>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</si>
  <si>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</si>
  <si>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</si>
  <si>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</si>
  <si>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</si>
  <si>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</si>
  <si>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</si>
  <si>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</si>
  <si>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</si>
  <si>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</si>
  <si>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</si>
  <si>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</si>
  <si>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</si>
  <si>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</si>
  <si>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</si>
  <si>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</si>
  <si>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</si>
  <si>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</si>
  <si>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</si>
  <si>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</si>
  <si>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</si>
  <si>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</si>
  <si>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</si>
  <si>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</si>
  <si>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</si>
  <si>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</si>
  <si>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</si>
  <si>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</si>
  <si>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</si>
  <si>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</si>
  <si>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</si>
  <si>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</si>
  <si>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</si>
  <si>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</si>
  <si>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</si>
  <si>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</si>
  <si>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</si>
  <si>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</si>
  <si>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</si>
  <si>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</si>
  <si>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</si>
  <si>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</si>
  <si>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</si>
  <si>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</si>
  <si>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</si>
  <si>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</si>
  <si>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</si>
  <si>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</si>
  <si>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</si>
  <si>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</si>
  <si>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</si>
  <si>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</si>
  <si>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</si>
  <si>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</si>
  <si>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</si>
  <si>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</si>
  <si>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</si>
  <si>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</si>
  <si>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</si>
  <si>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</si>
  <si>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</si>
  <si>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</si>
  <si>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</si>
  <si>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</si>
  <si>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</si>
  <si>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</si>
  <si>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</si>
  <si>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</si>
  <si>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</si>
  <si>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</si>
  <si>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</si>
  <si>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</si>
  <si>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</si>
  <si>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</si>
  <si>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</si>
  <si>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</si>
  <si>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</si>
  <si>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</si>
  <si>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</si>
  <si>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</si>
  <si>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</si>
  <si>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</si>
  <si>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</si>
  <si>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</si>
  <si>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</si>
  <si>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</si>
  <si>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</si>
  <si>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</si>
  <si>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</si>
  <si>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</si>
  <si>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</si>
  <si>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</si>
  <si>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</si>
  <si>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</si>
  <si>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</si>
  <si>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</si>
  <si>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</si>
  <si>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</si>
  <si>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</si>
  <si>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</si>
  <si>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</si>
  <si>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</si>
  <si>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</si>
  <si>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</si>
  <si>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</si>
  <si>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</si>
  <si>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</si>
  <si>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</si>
  <si>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</si>
  <si>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</si>
  <si>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</si>
  <si>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</si>
  <si>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</si>
  <si>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</si>
  <si>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</si>
  <si>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</si>
  <si>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</si>
  <si>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</si>
  <si>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</si>
  <si>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</si>
  <si>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</si>
  <si>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</si>
  <si>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</si>
  <si>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</si>
  <si>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</si>
  <si>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</si>
  <si>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</si>
  <si>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</si>
  <si>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</si>
  <si>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</si>
  <si>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</si>
  <si>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</si>
  <si>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</si>
  <si>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</si>
  <si>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</si>
  <si>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</si>
  <si>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</si>
  <si>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</si>
  <si>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</si>
  <si>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</si>
  <si>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</si>
  <si>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</si>
  <si>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</si>
  <si>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</si>
  <si>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</si>
  <si>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</si>
  <si>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</si>
  <si>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</si>
  <si>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</si>
  <si>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</si>
  <si>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</si>
  <si>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</si>
  <si>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</si>
  <si>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</si>
  <si>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</si>
  <si>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</si>
  <si>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</si>
  <si>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</si>
  <si>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</si>
  <si>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</si>
  <si>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</si>
  <si>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</si>
  <si>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</si>
  <si>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</si>
  <si>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</si>
  <si>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</si>
  <si>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</si>
  <si>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</si>
  <si>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</si>
  <si>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</si>
  <si>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</si>
  <si>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</si>
  <si>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</si>
  <si>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</si>
  <si>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</si>
  <si>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</si>
  <si>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</si>
  <si>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</si>
  <si>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</si>
  <si>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</si>
  <si>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</si>
  <si>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</si>
  <si>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</si>
  <si>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</si>
  <si>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</si>
  <si>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</si>
  <si>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</si>
  <si>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</si>
  <si>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</si>
  <si>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</si>
  <si>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</si>
  <si>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</si>
  <si>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</si>
  <si>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</si>
  <si>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</si>
  <si>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</si>
  <si>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</si>
  <si>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</si>
  <si>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</si>
  <si>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</si>
  <si>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</si>
  <si>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</si>
  <si>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</si>
  <si>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</si>
  <si>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</si>
  <si>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</si>
  <si>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</si>
  <si>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</si>
  <si>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</si>
  <si>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</si>
  <si>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</si>
  <si>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</si>
  <si>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</si>
  <si>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</si>
  <si>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</si>
  <si>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</si>
  <si>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</si>
  <si>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</si>
  <si>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</si>
  <si>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</si>
  <si>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</si>
  <si>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</si>
  <si>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</si>
  <si>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</si>
  <si>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</si>
  <si>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</si>
  <si>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</si>
  <si>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</si>
  <si>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</si>
  <si>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</si>
  <si>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</si>
  <si>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</si>
  <si>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</si>
  <si>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</si>
  <si>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</si>
  <si>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</si>
  <si>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</si>
  <si>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</si>
  <si>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</si>
  <si>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</si>
  <si>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</si>
  <si>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</si>
  <si>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</si>
  <si>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</si>
  <si>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</si>
  <si>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</si>
  <si>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</si>
  <si>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</si>
  <si>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</si>
  <si>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</si>
  <si>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</si>
  <si>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</si>
  <si>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</si>
  <si>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</si>
  <si>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</si>
  <si>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</si>
  <si>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</si>
  <si>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</si>
  <si>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</si>
  <si>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</si>
  <si>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</si>
  <si>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</si>
  <si>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</si>
  <si>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</si>
  <si>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</si>
  <si>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</si>
  <si>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</si>
  <si>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</si>
  <si>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</si>
  <si>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</si>
  <si>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</si>
  <si>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</si>
  <si>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</si>
  <si>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</si>
  <si>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</si>
  <si>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</si>
  <si>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</si>
  <si>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</si>
  <si>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</si>
  <si>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</si>
  <si>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</si>
  <si>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</si>
  <si>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</si>
  <si>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</si>
  <si>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</si>
  <si>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</si>
  <si>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</si>
  <si>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</si>
  <si>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</si>
  <si>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</si>
  <si>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</si>
  <si>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РОЗПОДІЛ
видатків бюджету Сумської міської територіальної громади на 2022 рік за головними розпорядниками бюджетних коштів </t>
  </si>
  <si>
    <t>РОЗПОДІЛ
видатків бюджету Сумської міської територіальної громади на 2022 рік за програмною класифікацією видатків та кредитування місцевого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</si>
  <si>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</si>
  <si>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</si>
  <si>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</si>
  <si>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</si>
  <si>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</si>
  <si>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</si>
  <si>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</si>
  <si>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</si>
  <si>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</si>
  <si>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</si>
  <si>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</si>
  <si>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Управління охорони здоров’я Сумської міської ради</t>
  </si>
  <si>
    <t>Багатопрофільна стаціонарна медична допомога населенню</t>
  </si>
  <si>
    <t>Охорона здоров’я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</si>
  <si>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</si>
  <si>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</si>
  <si>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</si>
  <si>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</si>
  <si>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</si>
  <si>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</si>
  <si>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</si>
  <si>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</si>
  <si>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</si>
  <si>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Внески до статутного капіталу суб'єктів господарювання, у т. ч. за рахунок: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</si>
  <si>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</si>
  <si>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</si>
  <si>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</si>
  <si>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</si>
  <si>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</si>
  <si>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</si>
  <si>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</si>
  <si>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</si>
  <si>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</si>
  <si>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</si>
  <si>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</si>
  <si>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 xml:space="preserve">                          </t>
  </si>
  <si>
    <t>Сумської міської ради від 26 січня 2022 року</t>
  </si>
  <si>
    <t xml:space="preserve">№ 2704 - МР «Про бюджет Сумської міської </t>
  </si>
  <si>
    <t>до       рішення      Сумської    міської     ради</t>
  </si>
  <si>
    <t xml:space="preserve">територіальної     громади     на    2022     рік» </t>
  </si>
  <si>
    <t>«Про          внесення      змін    до       рішення</t>
  </si>
  <si>
    <t xml:space="preserve">                              Додаток 2</t>
  </si>
  <si>
    <t>Виконавець: Співакова Л.І.  ____________</t>
  </si>
  <si>
    <t>Виконавець: Співакова Л.І. ___________</t>
  </si>
  <si>
    <t xml:space="preserve">                            Додаток 5</t>
  </si>
  <si>
    <t>від   16   лютого   2022   року     №  2727 - МР</t>
  </si>
  <si>
    <t>від   16   лютого   2022   року   №  2727 -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</si>
</sst>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3"/>
      <name val="Times New Roman"/>
      <family val="1"/>
      <charset val="204"/>
    </font>
    <font>
      <sz val="23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86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4" fontId="29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2" fontId="37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Border="1" applyAlignment="1" applyProtection="1">
      <alignment horizontal="left" wrapText="1"/>
    </xf>
    <xf numFmtId="2" fontId="37" fillId="0" borderId="0" xfId="0" applyNumberFormat="1" applyFont="1" applyFill="1" applyBorder="1"/>
    <xf numFmtId="2" fontId="23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Alignment="1"/>
    <xf numFmtId="4" fontId="39" fillId="0" borderId="0" xfId="0" applyNumberFormat="1" applyFont="1" applyFill="1" applyAlignment="1">
      <alignment vertical="center"/>
    </xf>
    <xf numFmtId="4" fontId="28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left" wrapText="1"/>
    </xf>
    <xf numFmtId="4" fontId="51" fillId="0" borderId="0" xfId="0" applyNumberFormat="1" applyFont="1" applyFill="1" applyAlignment="1"/>
    <xf numFmtId="4" fontId="51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center"/>
    </xf>
    <xf numFmtId="4" fontId="52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37" fillId="0" borderId="7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 applyProtection="1">
      <alignment horizontal="left" wrapText="1"/>
    </xf>
    <xf numFmtId="4" fontId="52" fillId="0" borderId="0" xfId="0" applyNumberFormat="1" applyFont="1" applyFill="1" applyBorder="1" applyAlignment="1" applyProtection="1"/>
    <xf numFmtId="4" fontId="28" fillId="0" borderId="0" xfId="0" applyNumberFormat="1" applyFont="1" applyFill="1" applyBorder="1" applyAlignment="1" applyProtection="1">
      <alignment horizontal="left" wrapText="1"/>
    </xf>
    <xf numFmtId="4" fontId="28" fillId="0" borderId="0" xfId="0" applyNumberFormat="1" applyFont="1" applyFill="1" applyBorder="1"/>
    <xf numFmtId="4" fontId="54" fillId="0" borderId="0" xfId="0" applyNumberFormat="1" applyFont="1" applyFill="1" applyBorder="1" applyAlignment="1">
      <alignment horizontal="center"/>
    </xf>
    <xf numFmtId="4" fontId="55" fillId="0" borderId="0" xfId="0" applyNumberFormat="1" applyFont="1" applyFill="1" applyAlignment="1"/>
    <xf numFmtId="4" fontId="55" fillId="0" borderId="0" xfId="0" applyNumberFormat="1" applyFont="1" applyFill="1" applyAlignment="1">
      <alignment vertical="center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48" fillId="0" borderId="7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0" fontId="40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14"/>
  <sheetViews>
    <sheetView showGridLines="0" showZeros="0" view="pageBreakPreview" zoomScale="55" zoomScaleNormal="82" zoomScaleSheetLayoutView="55" workbookViewId="0">
      <selection activeCell="J13" sqref="J13:O13"/>
    </sheetView>
  </sheetViews>
  <sheetFormatPr defaultColWidth="9.1640625" defaultRowHeight="15" x14ac:dyDescent="0.25"/>
  <cols>
    <col min="1" max="1" width="16.1640625" style="54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132" customWidth="1"/>
    <col min="6" max="6" width="22.5" style="132" customWidth="1"/>
    <col min="7" max="7" width="23.83203125" style="132" customWidth="1"/>
    <col min="8" max="8" width="21.5" style="132" customWidth="1"/>
    <col min="9" max="9" width="22.1640625" style="132" customWidth="1"/>
    <col min="10" max="10" width="20.5" style="132" customWidth="1"/>
    <col min="11" max="11" width="22.5" style="132" customWidth="1"/>
    <col min="12" max="12" width="20" style="132" customWidth="1"/>
    <col min="13" max="13" width="19.5" style="132" customWidth="1"/>
    <col min="14" max="14" width="18" style="132" customWidth="1"/>
    <col min="15" max="15" width="21.1640625" style="132" customWidth="1"/>
    <col min="16" max="16" width="23" style="158" bestFit="1" customWidth="1"/>
    <col min="17" max="525" width="9.1640625" style="28"/>
    <col min="526" max="16384" width="9.1640625" style="20"/>
  </cols>
  <sheetData>
    <row r="1" spans="1:525" ht="26.25" customHeight="1" x14ac:dyDescent="0.4">
      <c r="K1" s="171" t="s">
        <v>618</v>
      </c>
      <c r="L1" s="171"/>
      <c r="M1" s="171"/>
      <c r="N1" s="171"/>
      <c r="O1" s="171"/>
      <c r="P1" s="171"/>
    </row>
    <row r="2" spans="1:525" ht="26.25" customHeight="1" x14ac:dyDescent="0.25">
      <c r="K2" s="172" t="s">
        <v>615</v>
      </c>
      <c r="L2" s="172"/>
      <c r="M2" s="172"/>
      <c r="N2" s="172"/>
      <c r="O2" s="172"/>
      <c r="P2" s="172"/>
    </row>
    <row r="3" spans="1:525" ht="26.25" customHeight="1" x14ac:dyDescent="0.4">
      <c r="K3" s="171" t="s">
        <v>617</v>
      </c>
      <c r="L3" s="172"/>
      <c r="M3" s="172"/>
      <c r="N3" s="172"/>
      <c r="O3" s="172"/>
      <c r="P3" s="172"/>
    </row>
    <row r="4" spans="1:525" ht="26.25" customHeight="1" x14ac:dyDescent="0.4">
      <c r="K4" s="171" t="s">
        <v>613</v>
      </c>
      <c r="L4" s="172"/>
      <c r="M4" s="172"/>
      <c r="N4" s="172"/>
      <c r="O4" s="172"/>
      <c r="P4" s="172"/>
    </row>
    <row r="5" spans="1:525" ht="26.25" customHeight="1" x14ac:dyDescent="0.4">
      <c r="K5" s="171" t="s">
        <v>614</v>
      </c>
      <c r="L5" s="172"/>
      <c r="M5" s="172"/>
      <c r="N5" s="172"/>
      <c r="O5" s="172"/>
      <c r="P5" s="172"/>
    </row>
    <row r="6" spans="1:525" ht="28.5" customHeight="1" x14ac:dyDescent="0.4">
      <c r="K6" s="171" t="s">
        <v>616</v>
      </c>
      <c r="L6" s="171"/>
      <c r="M6" s="171"/>
      <c r="N6" s="171"/>
      <c r="O6" s="171"/>
      <c r="P6" s="171"/>
    </row>
    <row r="7" spans="1:525" ht="29.25" customHeight="1" x14ac:dyDescent="0.4">
      <c r="K7" s="171" t="s">
        <v>622</v>
      </c>
      <c r="L7" s="171"/>
      <c r="M7" s="171"/>
      <c r="N7" s="171"/>
      <c r="O7" s="171"/>
      <c r="P7" s="171"/>
    </row>
    <row r="8" spans="1:525" ht="26.25" x14ac:dyDescent="0.4">
      <c r="L8" s="135"/>
      <c r="M8" s="135"/>
      <c r="N8" s="135"/>
      <c r="O8" s="135"/>
      <c r="P8" s="135"/>
    </row>
    <row r="9" spans="1:525" s="44" customFormat="1" ht="71.25" customHeight="1" x14ac:dyDescent="0.3">
      <c r="A9" s="176" t="s">
        <v>575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</row>
    <row r="10" spans="1:525" s="44" customFormat="1" ht="23.25" customHeight="1" x14ac:dyDescent="0.35">
      <c r="A10" s="180" t="s">
        <v>552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</row>
    <row r="11" spans="1:525" s="44" customFormat="1" ht="19.5" customHeight="1" x14ac:dyDescent="0.3">
      <c r="A11" s="181" t="s">
        <v>551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</row>
    <row r="12" spans="1:525" s="46" customFormat="1" ht="22.5" customHeight="1" x14ac:dyDescent="0.3">
      <c r="A12" s="52"/>
      <c r="B12" s="48"/>
      <c r="C12" s="48"/>
      <c r="D12" s="19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7" t="s">
        <v>353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</row>
    <row r="13" spans="1:525" s="21" customFormat="1" ht="34.5" customHeight="1" x14ac:dyDescent="0.2">
      <c r="A13" s="177" t="s">
        <v>331</v>
      </c>
      <c r="B13" s="178" t="s">
        <v>332</v>
      </c>
      <c r="C13" s="178" t="s">
        <v>322</v>
      </c>
      <c r="D13" s="178" t="s">
        <v>333</v>
      </c>
      <c r="E13" s="174" t="s">
        <v>221</v>
      </c>
      <c r="F13" s="174"/>
      <c r="G13" s="174"/>
      <c r="H13" s="174"/>
      <c r="I13" s="174"/>
      <c r="J13" s="174" t="s">
        <v>222</v>
      </c>
      <c r="K13" s="174"/>
      <c r="L13" s="174"/>
      <c r="M13" s="174"/>
      <c r="N13" s="174"/>
      <c r="O13" s="174"/>
      <c r="P13" s="174" t="s">
        <v>223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</row>
    <row r="14" spans="1:525" s="21" customFormat="1" ht="19.5" customHeight="1" x14ac:dyDescent="0.2">
      <c r="A14" s="177"/>
      <c r="B14" s="178"/>
      <c r="C14" s="178"/>
      <c r="D14" s="178"/>
      <c r="E14" s="173" t="s">
        <v>323</v>
      </c>
      <c r="F14" s="173" t="s">
        <v>224</v>
      </c>
      <c r="G14" s="179" t="s">
        <v>225</v>
      </c>
      <c r="H14" s="179"/>
      <c r="I14" s="173" t="s">
        <v>226</v>
      </c>
      <c r="J14" s="173" t="s">
        <v>323</v>
      </c>
      <c r="K14" s="173" t="s">
        <v>324</v>
      </c>
      <c r="L14" s="173" t="s">
        <v>224</v>
      </c>
      <c r="M14" s="179" t="s">
        <v>225</v>
      </c>
      <c r="N14" s="179"/>
      <c r="O14" s="173" t="s">
        <v>226</v>
      </c>
      <c r="P14" s="174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</row>
    <row r="15" spans="1:525" s="21" customFormat="1" ht="88.5" customHeight="1" x14ac:dyDescent="0.2">
      <c r="A15" s="177"/>
      <c r="B15" s="178"/>
      <c r="C15" s="178"/>
      <c r="D15" s="178"/>
      <c r="E15" s="173"/>
      <c r="F15" s="173"/>
      <c r="G15" s="138" t="s">
        <v>227</v>
      </c>
      <c r="H15" s="138" t="s">
        <v>228</v>
      </c>
      <c r="I15" s="173"/>
      <c r="J15" s="173"/>
      <c r="K15" s="173"/>
      <c r="L15" s="173"/>
      <c r="M15" s="138" t="s">
        <v>227</v>
      </c>
      <c r="N15" s="138" t="s">
        <v>228</v>
      </c>
      <c r="O15" s="173"/>
      <c r="P15" s="174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</row>
    <row r="16" spans="1:525" s="27" customFormat="1" ht="24" customHeight="1" x14ac:dyDescent="0.25">
      <c r="A16" s="102" t="s">
        <v>146</v>
      </c>
      <c r="B16" s="103"/>
      <c r="C16" s="103"/>
      <c r="D16" s="104" t="s">
        <v>34</v>
      </c>
      <c r="E16" s="139">
        <f>E17</f>
        <v>268949413</v>
      </c>
      <c r="F16" s="139">
        <f t="shared" ref="F16:J16" si="0">F17</f>
        <v>210087267</v>
      </c>
      <c r="G16" s="139">
        <f t="shared" si="0"/>
        <v>107666685</v>
      </c>
      <c r="H16" s="139">
        <f t="shared" si="0"/>
        <v>8880100</v>
      </c>
      <c r="I16" s="139">
        <f t="shared" si="0"/>
        <v>58862146</v>
      </c>
      <c r="J16" s="139">
        <f t="shared" si="0"/>
        <v>35932026</v>
      </c>
      <c r="K16" s="139">
        <f t="shared" ref="K16" si="1">K17</f>
        <v>35200000</v>
      </c>
      <c r="L16" s="139">
        <f t="shared" ref="L16" si="2">L17</f>
        <v>702584</v>
      </c>
      <c r="M16" s="139">
        <f t="shared" ref="M16" si="3">M17</f>
        <v>288239</v>
      </c>
      <c r="N16" s="139">
        <f t="shared" ref="N16" si="4">N17</f>
        <v>109690</v>
      </c>
      <c r="O16" s="139">
        <f t="shared" ref="O16:P16" si="5">O17</f>
        <v>35229442</v>
      </c>
      <c r="P16" s="139">
        <f t="shared" si="5"/>
        <v>304881439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</row>
    <row r="17" spans="1:525" s="34" customFormat="1" ht="36" customHeight="1" x14ac:dyDescent="0.25">
      <c r="A17" s="86" t="s">
        <v>147</v>
      </c>
      <c r="B17" s="87"/>
      <c r="C17" s="87"/>
      <c r="D17" s="70" t="s">
        <v>500</v>
      </c>
      <c r="E17" s="140">
        <f>E20+E21+E22+E23+E25+E26+E27+E28+E30+E31+E32+E33+E34+E35+E36+E37+E38+E39+E40+E41+E43+E44+E45+E47+E49+E50+E51+E52+E53+E54+E55+E56+E57+E59+E60+E61+E46+E48+E63+E62+E42+E29</f>
        <v>268949413</v>
      </c>
      <c r="F17" s="140">
        <f t="shared" ref="F17:P17" si="6">F20+F21+F22+F23+F25+F26+F27+F28+F30+F31+F32+F33+F34+F35+F36+F37+F38+F39+F40+F41+F43+F44+F45+F47+F49+F50+F51+F52+F53+F54+F55+F56+F57+F59+F60+F61+F46+F48+F63+F62+F42+F29</f>
        <v>210087267</v>
      </c>
      <c r="G17" s="140">
        <f t="shared" si="6"/>
        <v>107666685</v>
      </c>
      <c r="H17" s="140">
        <f t="shared" si="6"/>
        <v>8880100</v>
      </c>
      <c r="I17" s="140">
        <f t="shared" si="6"/>
        <v>58862146</v>
      </c>
      <c r="J17" s="140">
        <f t="shared" si="6"/>
        <v>35932026</v>
      </c>
      <c r="K17" s="140">
        <f t="shared" si="6"/>
        <v>35200000</v>
      </c>
      <c r="L17" s="140">
        <f t="shared" si="6"/>
        <v>702584</v>
      </c>
      <c r="M17" s="140">
        <f t="shared" si="6"/>
        <v>288239</v>
      </c>
      <c r="N17" s="140">
        <f t="shared" si="6"/>
        <v>109690</v>
      </c>
      <c r="O17" s="140">
        <f t="shared" si="6"/>
        <v>35229442</v>
      </c>
      <c r="P17" s="140">
        <f t="shared" si="6"/>
        <v>304881439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</row>
    <row r="18" spans="1:525" s="34" customFormat="1" ht="63" x14ac:dyDescent="0.25">
      <c r="A18" s="86"/>
      <c r="B18" s="87"/>
      <c r="C18" s="87"/>
      <c r="D18" s="70" t="s">
        <v>377</v>
      </c>
      <c r="E18" s="140">
        <f>E58</f>
        <v>493540</v>
      </c>
      <c r="F18" s="140">
        <f t="shared" ref="F18:P18" si="7">F58</f>
        <v>493540</v>
      </c>
      <c r="G18" s="140">
        <f t="shared" si="7"/>
        <v>404541</v>
      </c>
      <c r="H18" s="140">
        <f t="shared" si="7"/>
        <v>0</v>
      </c>
      <c r="I18" s="140">
        <f t="shared" si="7"/>
        <v>0</v>
      </c>
      <c r="J18" s="140">
        <f t="shared" si="7"/>
        <v>0</v>
      </c>
      <c r="K18" s="140">
        <f t="shared" si="7"/>
        <v>0</v>
      </c>
      <c r="L18" s="140">
        <f t="shared" si="7"/>
        <v>0</v>
      </c>
      <c r="M18" s="140">
        <f t="shared" si="7"/>
        <v>0</v>
      </c>
      <c r="N18" s="140">
        <f t="shared" si="7"/>
        <v>0</v>
      </c>
      <c r="O18" s="140">
        <f t="shared" si="7"/>
        <v>0</v>
      </c>
      <c r="P18" s="140">
        <f t="shared" si="7"/>
        <v>493540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</row>
    <row r="19" spans="1:525" s="34" customFormat="1" ht="63" hidden="1" customHeight="1" x14ac:dyDescent="0.25">
      <c r="A19" s="86"/>
      <c r="B19" s="87"/>
      <c r="C19" s="87"/>
      <c r="D19" s="70" t="str">
        <f>'дод 5'!C22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140">
        <f>E24</f>
        <v>0</v>
      </c>
      <c r="F19" s="140">
        <f t="shared" ref="F19:P19" si="8">F24</f>
        <v>0</v>
      </c>
      <c r="G19" s="140">
        <f t="shared" si="8"/>
        <v>0</v>
      </c>
      <c r="H19" s="140">
        <f t="shared" si="8"/>
        <v>0</v>
      </c>
      <c r="I19" s="140">
        <f t="shared" si="8"/>
        <v>0</v>
      </c>
      <c r="J19" s="140">
        <f t="shared" si="8"/>
        <v>0</v>
      </c>
      <c r="K19" s="140">
        <f t="shared" si="8"/>
        <v>0</v>
      </c>
      <c r="L19" s="140">
        <f t="shared" si="8"/>
        <v>0</v>
      </c>
      <c r="M19" s="140">
        <f t="shared" si="8"/>
        <v>0</v>
      </c>
      <c r="N19" s="140">
        <f t="shared" si="8"/>
        <v>0</v>
      </c>
      <c r="O19" s="140">
        <f t="shared" si="8"/>
        <v>0</v>
      </c>
      <c r="P19" s="140">
        <f t="shared" si="8"/>
        <v>0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</row>
    <row r="20" spans="1:525" s="22" customFormat="1" ht="46.5" customHeight="1" x14ac:dyDescent="0.25">
      <c r="A20" s="56" t="s">
        <v>148</v>
      </c>
      <c r="B20" s="84" t="str">
        <f>'дод 5'!A18</f>
        <v>0160</v>
      </c>
      <c r="C20" s="84" t="str">
        <f>'дод 5'!B18</f>
        <v>0111</v>
      </c>
      <c r="D20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0" s="141">
        <f t="shared" ref="E20:E63" si="9">F20+I20</f>
        <v>110794200</v>
      </c>
      <c r="F20" s="141">
        <f>119042400-8248200</f>
        <v>110794200</v>
      </c>
      <c r="G20" s="141">
        <f>84423000-6760800</f>
        <v>77662200</v>
      </c>
      <c r="H20" s="141">
        <v>4901000</v>
      </c>
      <c r="I20" s="141"/>
      <c r="J20" s="141">
        <f>L20+O20</f>
        <v>600000</v>
      </c>
      <c r="K20" s="141">
        <f>600000</f>
        <v>600000</v>
      </c>
      <c r="L20" s="141"/>
      <c r="M20" s="141"/>
      <c r="N20" s="141"/>
      <c r="O20" s="141">
        <f>600000</f>
        <v>600000</v>
      </c>
      <c r="P20" s="141">
        <f t="shared" ref="P20:P63" si="10">E20+J20</f>
        <v>111394200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</row>
    <row r="21" spans="1:525" s="22" customFormat="1" ht="35.25" hidden="1" customHeight="1" x14ac:dyDescent="0.25">
      <c r="A21" s="56" t="s">
        <v>439</v>
      </c>
      <c r="B21" s="56" t="s">
        <v>89</v>
      </c>
      <c r="C21" s="56" t="s">
        <v>449</v>
      </c>
      <c r="D21" s="36" t="s">
        <v>440</v>
      </c>
      <c r="E21" s="141">
        <f t="shared" si="9"/>
        <v>0</v>
      </c>
      <c r="F21" s="141"/>
      <c r="G21" s="141"/>
      <c r="H21" s="141"/>
      <c r="I21" s="141"/>
      <c r="J21" s="141">
        <f>L21+O21</f>
        <v>0</v>
      </c>
      <c r="K21" s="141"/>
      <c r="L21" s="141"/>
      <c r="M21" s="141"/>
      <c r="N21" s="141"/>
      <c r="O21" s="141"/>
      <c r="P21" s="141">
        <f t="shared" si="10"/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</row>
    <row r="22" spans="1:525" s="22" customFormat="1" ht="28.5" customHeight="1" x14ac:dyDescent="0.25">
      <c r="A22" s="56" t="s">
        <v>238</v>
      </c>
      <c r="B22" s="84" t="str">
        <f>'дод 5'!A20</f>
        <v>0180</v>
      </c>
      <c r="C22" s="84" t="str">
        <f>'дод 5'!B20</f>
        <v>0133</v>
      </c>
      <c r="D22" s="57" t="str">
        <f>'дод 5'!C20</f>
        <v>Інша діяльність у сфері державного управління</v>
      </c>
      <c r="E22" s="141">
        <f t="shared" si="9"/>
        <v>396000</v>
      </c>
      <c r="F22" s="141">
        <v>396000</v>
      </c>
      <c r="G22" s="141"/>
      <c r="H22" s="141"/>
      <c r="I22" s="141"/>
      <c r="J22" s="141">
        <f t="shared" ref="J22:J24" si="11">L22+O22</f>
        <v>0</v>
      </c>
      <c r="K22" s="141"/>
      <c r="L22" s="141"/>
      <c r="M22" s="141"/>
      <c r="N22" s="141"/>
      <c r="O22" s="141"/>
      <c r="P22" s="141">
        <f t="shared" si="10"/>
        <v>396000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</row>
    <row r="23" spans="1:525" s="22" customFormat="1" ht="15.75" hidden="1" customHeight="1" x14ac:dyDescent="0.25">
      <c r="A23" s="56" t="s">
        <v>424</v>
      </c>
      <c r="B23" s="56" t="s">
        <v>425</v>
      </c>
      <c r="C23" s="56" t="s">
        <v>117</v>
      </c>
      <c r="D23" s="57" t="s">
        <v>426</v>
      </c>
      <c r="E23" s="141">
        <f t="shared" si="9"/>
        <v>0</v>
      </c>
      <c r="F23" s="141"/>
      <c r="G23" s="141"/>
      <c r="H23" s="141"/>
      <c r="I23" s="141"/>
      <c r="J23" s="141">
        <f t="shared" si="11"/>
        <v>0</v>
      </c>
      <c r="K23" s="141"/>
      <c r="L23" s="141"/>
      <c r="M23" s="141"/>
      <c r="N23" s="141"/>
      <c r="O23" s="141"/>
      <c r="P23" s="141">
        <f t="shared" si="10"/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</row>
    <row r="24" spans="1:525" s="24" customFormat="1" ht="60" hidden="1" customHeight="1" x14ac:dyDescent="0.25">
      <c r="A24" s="76"/>
      <c r="B24" s="88"/>
      <c r="C24" s="88"/>
      <c r="D24" s="79" t="str">
        <f>'дод 5'!C22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4" s="142">
        <f t="shared" si="9"/>
        <v>0</v>
      </c>
      <c r="F24" s="142"/>
      <c r="G24" s="142"/>
      <c r="H24" s="142"/>
      <c r="I24" s="142"/>
      <c r="J24" s="142">
        <f t="shared" si="11"/>
        <v>0</v>
      </c>
      <c r="K24" s="142"/>
      <c r="L24" s="142"/>
      <c r="M24" s="142"/>
      <c r="N24" s="142"/>
      <c r="O24" s="142"/>
      <c r="P24" s="142">
        <f t="shared" si="10"/>
        <v>0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</row>
    <row r="25" spans="1:525" s="22" customFormat="1" ht="47.25" customHeight="1" x14ac:dyDescent="0.25">
      <c r="A25" s="56" t="s">
        <v>254</v>
      </c>
      <c r="B25" s="84" t="str">
        <f>'дод 5'!A110</f>
        <v>3033</v>
      </c>
      <c r="C25" s="84" t="str">
        <f>'дод 5'!B110</f>
        <v>1070</v>
      </c>
      <c r="D25" s="57" t="str">
        <f>'дод 5'!C110</f>
        <v>Компенсаційні виплати на пільговий проїзд автомобільним транспортом окремим категоріям громадян</v>
      </c>
      <c r="E25" s="141">
        <f t="shared" si="9"/>
        <v>800400</v>
      </c>
      <c r="F25" s="141">
        <v>800400</v>
      </c>
      <c r="G25" s="141"/>
      <c r="H25" s="141"/>
      <c r="I25" s="141"/>
      <c r="J25" s="141">
        <f t="shared" ref="J25:J63" si="12">L25+O25</f>
        <v>0</v>
      </c>
      <c r="K25" s="141"/>
      <c r="L25" s="141"/>
      <c r="M25" s="141"/>
      <c r="N25" s="141"/>
      <c r="O25" s="141"/>
      <c r="P25" s="141">
        <f t="shared" si="10"/>
        <v>800400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</row>
    <row r="26" spans="1:525" s="22" customFormat="1" ht="31.5" customHeight="1" x14ac:dyDescent="0.25">
      <c r="A26" s="56" t="s">
        <v>149</v>
      </c>
      <c r="B26" s="84" t="str">
        <f>'дод 5'!A113</f>
        <v>3036</v>
      </c>
      <c r="C26" s="84" t="str">
        <f>'дод 5'!B113</f>
        <v>1070</v>
      </c>
      <c r="D26" s="57" t="str">
        <f>'дод 5'!C113</f>
        <v>Компенсаційні виплати на пільговий проїзд електротранспортом окремим категоріям громадян</v>
      </c>
      <c r="E26" s="141">
        <f t="shared" si="9"/>
        <v>1104700</v>
      </c>
      <c r="F26" s="141">
        <v>1104700</v>
      </c>
      <c r="G26" s="141"/>
      <c r="H26" s="141"/>
      <c r="I26" s="141"/>
      <c r="J26" s="141">
        <f t="shared" si="12"/>
        <v>0</v>
      </c>
      <c r="K26" s="141"/>
      <c r="L26" s="141"/>
      <c r="M26" s="141"/>
      <c r="N26" s="141"/>
      <c r="O26" s="141"/>
      <c r="P26" s="141">
        <f t="shared" si="10"/>
        <v>1104700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</row>
    <row r="27" spans="1:525" s="22" customFormat="1" ht="36" customHeight="1" x14ac:dyDescent="0.25">
      <c r="A27" s="56" t="s">
        <v>150</v>
      </c>
      <c r="B27" s="84" t="str">
        <f>'дод 5'!A121</f>
        <v>3121</v>
      </c>
      <c r="C27" s="84" t="str">
        <f>'дод 5'!B121</f>
        <v>1040</v>
      </c>
      <c r="D27" s="57" t="str">
        <f>'дод 5'!C121</f>
        <v>Утримання та забезпечення діяльності центрів соціальних служб</v>
      </c>
      <c r="E27" s="141">
        <f t="shared" si="9"/>
        <v>3552000</v>
      </c>
      <c r="F27" s="141">
        <v>3552000</v>
      </c>
      <c r="G27" s="141">
        <v>2624000</v>
      </c>
      <c r="H27" s="141">
        <v>84700</v>
      </c>
      <c r="I27" s="141"/>
      <c r="J27" s="141">
        <f t="shared" si="12"/>
        <v>200000</v>
      </c>
      <c r="K27" s="141">
        <v>200000</v>
      </c>
      <c r="L27" s="141"/>
      <c r="M27" s="141"/>
      <c r="N27" s="141"/>
      <c r="O27" s="141">
        <v>200000</v>
      </c>
      <c r="P27" s="141">
        <f t="shared" si="10"/>
        <v>3752000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</row>
    <row r="28" spans="1:525" s="22" customFormat="1" ht="48.75" customHeight="1" x14ac:dyDescent="0.25">
      <c r="A28" s="56" t="s">
        <v>151</v>
      </c>
      <c r="B28" s="84" t="str">
        <f>'дод 5'!A122</f>
        <v>3131</v>
      </c>
      <c r="C28" s="84" t="str">
        <f>'дод 5'!B122</f>
        <v>1040</v>
      </c>
      <c r="D28" s="57" t="str">
        <f>'дод 5'!C122</f>
        <v>Здійснення заходів та реалізація проектів на виконання Державної цільової соціальної програми "Молодь України"</v>
      </c>
      <c r="E28" s="141">
        <f t="shared" si="9"/>
        <v>2009310</v>
      </c>
      <c r="F28" s="141">
        <f>684300+1325010-1325010+1325010</f>
        <v>2009310</v>
      </c>
      <c r="G28" s="141"/>
      <c r="H28" s="141"/>
      <c r="I28" s="141"/>
      <c r="J28" s="141">
        <f t="shared" si="12"/>
        <v>0</v>
      </c>
      <c r="K28" s="143"/>
      <c r="L28" s="143"/>
      <c r="M28" s="143"/>
      <c r="N28" s="143"/>
      <c r="O28" s="143"/>
      <c r="P28" s="141">
        <f t="shared" si="10"/>
        <v>2009310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</row>
    <row r="29" spans="1:525" s="22" customFormat="1" ht="27.75" customHeight="1" x14ac:dyDescent="0.25">
      <c r="A29" s="56" t="s">
        <v>579</v>
      </c>
      <c r="B29" s="84">
        <v>3133</v>
      </c>
      <c r="C29" s="84">
        <v>1040</v>
      </c>
      <c r="D29" s="57" t="str">
        <f>'дод 5'!C123</f>
        <v>Інші заходи та заклади молодіжної політики</v>
      </c>
      <c r="E29" s="141">
        <f t="shared" si="9"/>
        <v>5884800</v>
      </c>
      <c r="F29" s="141">
        <f>4240800+1644000-434000+434000</f>
        <v>5884800</v>
      </c>
      <c r="G29" s="141">
        <f>2432700+336000</f>
        <v>2768700</v>
      </c>
      <c r="H29" s="141">
        <v>779400</v>
      </c>
      <c r="I29" s="141"/>
      <c r="J29" s="141">
        <f t="shared" si="12"/>
        <v>1235000</v>
      </c>
      <c r="K29" s="141">
        <f>100000+1000000</f>
        <v>1100000</v>
      </c>
      <c r="L29" s="141">
        <v>105558</v>
      </c>
      <c r="M29" s="141"/>
      <c r="N29" s="141">
        <v>45558</v>
      </c>
      <c r="O29" s="141">
        <f>100000+29442+1000000</f>
        <v>1129442</v>
      </c>
      <c r="P29" s="141">
        <f t="shared" si="10"/>
        <v>7119800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</row>
    <row r="30" spans="1:525" s="22" customFormat="1" ht="78.75" x14ac:dyDescent="0.25">
      <c r="A30" s="56" t="s">
        <v>152</v>
      </c>
      <c r="B30" s="84" t="str">
        <f>'дод 5'!A124</f>
        <v>3140</v>
      </c>
      <c r="C30" s="84" t="str">
        <f>'дод 5'!B124</f>
        <v>1040</v>
      </c>
      <c r="D30" s="57" t="str">
        <f>'дод 5'!C124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0" s="141">
        <f t="shared" si="9"/>
        <v>475000</v>
      </c>
      <c r="F30" s="141">
        <v>475000</v>
      </c>
      <c r="G30" s="141"/>
      <c r="H30" s="141"/>
      <c r="I30" s="141"/>
      <c r="J30" s="141">
        <f t="shared" si="12"/>
        <v>0</v>
      </c>
      <c r="K30" s="141"/>
      <c r="L30" s="141"/>
      <c r="M30" s="141"/>
      <c r="N30" s="141"/>
      <c r="O30" s="141"/>
      <c r="P30" s="141">
        <f t="shared" si="10"/>
        <v>475000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</row>
    <row r="31" spans="1:525" s="22" customFormat="1" ht="32.25" customHeight="1" x14ac:dyDescent="0.25">
      <c r="A31" s="56" t="s">
        <v>300</v>
      </c>
      <c r="B31" s="84" t="str">
        <f>'дод 5'!A141</f>
        <v>3241</v>
      </c>
      <c r="C31" s="84" t="str">
        <f>'дод 5'!B141</f>
        <v>1090</v>
      </c>
      <c r="D31" s="3" t="str">
        <f>'дод 5'!C141</f>
        <v>Забезпечення діяльності інших закладів у сфері соціального захисту і соціального забезпечення</v>
      </c>
      <c r="E31" s="141">
        <f t="shared" si="9"/>
        <v>1731600</v>
      </c>
      <c r="F31" s="141">
        <v>1731600</v>
      </c>
      <c r="G31" s="141">
        <v>1145500</v>
      </c>
      <c r="H31" s="141">
        <v>195700</v>
      </c>
      <c r="I31" s="141"/>
      <c r="J31" s="141">
        <f t="shared" si="12"/>
        <v>0</v>
      </c>
      <c r="K31" s="141"/>
      <c r="L31" s="141"/>
      <c r="M31" s="141"/>
      <c r="N31" s="141"/>
      <c r="O31" s="141"/>
      <c r="P31" s="141">
        <f t="shared" si="10"/>
        <v>1731600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</row>
    <row r="32" spans="1:525" s="22" customFormat="1" ht="33.75" customHeight="1" x14ac:dyDescent="0.25">
      <c r="A32" s="56" t="s">
        <v>301</v>
      </c>
      <c r="B32" s="84" t="str">
        <f>'дод 5'!A142</f>
        <v>3242</v>
      </c>
      <c r="C32" s="84" t="str">
        <f>'дод 5'!B142</f>
        <v>1090</v>
      </c>
      <c r="D32" s="57" t="s">
        <v>406</v>
      </c>
      <c r="E32" s="141">
        <f t="shared" si="9"/>
        <v>249300</v>
      </c>
      <c r="F32" s="141">
        <v>249300</v>
      </c>
      <c r="G32" s="141"/>
      <c r="H32" s="141"/>
      <c r="I32" s="141"/>
      <c r="J32" s="141">
        <f t="shared" si="12"/>
        <v>0</v>
      </c>
      <c r="K32" s="141"/>
      <c r="L32" s="141"/>
      <c r="M32" s="141"/>
      <c r="N32" s="141"/>
      <c r="O32" s="141"/>
      <c r="P32" s="141">
        <f t="shared" si="10"/>
        <v>249300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</row>
    <row r="33" spans="1:525" s="22" customFormat="1" ht="49.5" customHeight="1" x14ac:dyDescent="0.25">
      <c r="A33" s="56" t="s">
        <v>313</v>
      </c>
      <c r="B33" s="84" t="str">
        <f>'дод 5'!A146</f>
        <v>4060</v>
      </c>
      <c r="C33" s="84" t="str">
        <f>'дод 5'!B146</f>
        <v>0828</v>
      </c>
      <c r="D33" s="57" t="str">
        <f>'дод 5'!C146</f>
        <v>Забезпечення діяльності палаців i будинків культури, клубів, центрів дозвілля та iнших клубних закладів</v>
      </c>
      <c r="E33" s="141">
        <f t="shared" si="9"/>
        <v>860438</v>
      </c>
      <c r="F33" s="144">
        <f>622800+237638</f>
        <v>860438</v>
      </c>
      <c r="G33" s="141">
        <f>310000+194785</f>
        <v>504785</v>
      </c>
      <c r="H33" s="141">
        <v>206600</v>
      </c>
      <c r="I33" s="141"/>
      <c r="J33" s="141">
        <f t="shared" si="12"/>
        <v>0</v>
      </c>
      <c r="K33" s="141"/>
      <c r="L33" s="141"/>
      <c r="M33" s="141"/>
      <c r="N33" s="141"/>
      <c r="O33" s="141"/>
      <c r="P33" s="141">
        <f t="shared" si="10"/>
        <v>860438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</row>
    <row r="34" spans="1:525" s="22" customFormat="1" ht="30.75" customHeight="1" x14ac:dyDescent="0.25">
      <c r="A34" s="56" t="s">
        <v>298</v>
      </c>
      <c r="B34" s="84" t="str">
        <f>'дод 5'!A147</f>
        <v>4081</v>
      </c>
      <c r="C34" s="84" t="str">
        <f>'дод 5'!B147</f>
        <v>0829</v>
      </c>
      <c r="D34" s="57" t="str">
        <f>'дод 5'!C147</f>
        <v>Забезпечення діяльності інших закладів в галузі культури і мистецтва</v>
      </c>
      <c r="E34" s="141">
        <f t="shared" si="9"/>
        <v>2913000</v>
      </c>
      <c r="F34" s="141">
        <v>2913000</v>
      </c>
      <c r="G34" s="141">
        <v>1782700</v>
      </c>
      <c r="H34" s="141">
        <v>159400</v>
      </c>
      <c r="I34" s="141"/>
      <c r="J34" s="141">
        <f t="shared" si="12"/>
        <v>0</v>
      </c>
      <c r="K34" s="141"/>
      <c r="L34" s="141"/>
      <c r="M34" s="141"/>
      <c r="N34" s="141"/>
      <c r="O34" s="141"/>
      <c r="P34" s="141">
        <f t="shared" si="10"/>
        <v>2913000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</row>
    <row r="35" spans="1:525" s="22" customFormat="1" ht="25.5" customHeight="1" x14ac:dyDescent="0.25">
      <c r="A35" s="56" t="s">
        <v>299</v>
      </c>
      <c r="B35" s="84">
        <v>4082</v>
      </c>
      <c r="C35" s="84" t="str">
        <f>'дод 5'!B148</f>
        <v>0829</v>
      </c>
      <c r="D35" s="57" t="str">
        <f>'дод 5'!C148</f>
        <v>Інші заходи в галузі культури і мистецтва</v>
      </c>
      <c r="E35" s="141">
        <f t="shared" si="9"/>
        <v>654300</v>
      </c>
      <c r="F35" s="141">
        <v>654300</v>
      </c>
      <c r="G35" s="141"/>
      <c r="H35" s="141"/>
      <c r="I35" s="141"/>
      <c r="J35" s="141">
        <f t="shared" si="12"/>
        <v>0</v>
      </c>
      <c r="K35" s="141"/>
      <c r="L35" s="141"/>
      <c r="M35" s="141"/>
      <c r="N35" s="141"/>
      <c r="O35" s="141"/>
      <c r="P35" s="141">
        <f t="shared" si="10"/>
        <v>654300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</row>
    <row r="36" spans="1:525" s="22" customFormat="1" ht="36.75" customHeight="1" x14ac:dyDescent="0.25">
      <c r="A36" s="89" t="s">
        <v>153</v>
      </c>
      <c r="B36" s="42" t="str">
        <f>'дод 5'!A151</f>
        <v>5011</v>
      </c>
      <c r="C36" s="42" t="str">
        <f>'дод 5'!B151</f>
        <v>0810</v>
      </c>
      <c r="D36" s="36" t="str">
        <f>'дод 5'!C151</f>
        <v>Проведення навчально-тренувальних зборів і змагань з олімпійських видів спорту</v>
      </c>
      <c r="E36" s="141">
        <f t="shared" si="9"/>
        <v>750000</v>
      </c>
      <c r="F36" s="141">
        <f>600000+150000+1000000-650000-350000</f>
        <v>750000</v>
      </c>
      <c r="G36" s="141"/>
      <c r="H36" s="141"/>
      <c r="I36" s="141"/>
      <c r="J36" s="141">
        <f t="shared" si="12"/>
        <v>0</v>
      </c>
      <c r="K36" s="141"/>
      <c r="L36" s="141"/>
      <c r="M36" s="141"/>
      <c r="N36" s="141"/>
      <c r="O36" s="141"/>
      <c r="P36" s="141">
        <f t="shared" si="10"/>
        <v>750000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</row>
    <row r="37" spans="1:525" s="22" customFormat="1" ht="34.5" customHeight="1" x14ac:dyDescent="0.25">
      <c r="A37" s="89" t="s">
        <v>154</v>
      </c>
      <c r="B37" s="42" t="str">
        <f>'дод 5'!A152</f>
        <v>5012</v>
      </c>
      <c r="C37" s="42" t="str">
        <f>'дод 5'!B152</f>
        <v>0810</v>
      </c>
      <c r="D37" s="36" t="str">
        <f>'дод 5'!C152</f>
        <v>Проведення навчально-тренувальних зборів і змагань з неолімпійських видів спорту</v>
      </c>
      <c r="E37" s="141">
        <f t="shared" si="9"/>
        <v>750000</v>
      </c>
      <c r="F37" s="141">
        <f>600000+150000</f>
        <v>750000</v>
      </c>
      <c r="G37" s="141"/>
      <c r="H37" s="141"/>
      <c r="I37" s="141"/>
      <c r="J37" s="141">
        <f t="shared" si="12"/>
        <v>0</v>
      </c>
      <c r="K37" s="141"/>
      <c r="L37" s="141"/>
      <c r="M37" s="141"/>
      <c r="N37" s="141"/>
      <c r="O37" s="141"/>
      <c r="P37" s="141">
        <f t="shared" si="10"/>
        <v>750000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</row>
    <row r="38" spans="1:525" s="22" customFormat="1" ht="31.5" x14ac:dyDescent="0.25">
      <c r="A38" s="89" t="s">
        <v>155</v>
      </c>
      <c r="B38" s="42" t="str">
        <f>'дод 5'!A153</f>
        <v>5031</v>
      </c>
      <c r="C38" s="42" t="str">
        <f>'дод 5'!B153</f>
        <v>0810</v>
      </c>
      <c r="D38" s="36" t="str">
        <f>'дод 5'!C153</f>
        <v>Утримання та навчально-тренувальна робота комунальних дитячо-юнацьких спортивних шкіл</v>
      </c>
      <c r="E38" s="141">
        <f t="shared" si="9"/>
        <v>21682800</v>
      </c>
      <c r="F38" s="141">
        <f>19466705+622395+1000000+40000+553700</f>
        <v>21682800</v>
      </c>
      <c r="G38" s="141">
        <f>14241800+511000+820000+453900</f>
        <v>16026700</v>
      </c>
      <c r="H38" s="141">
        <v>1407700</v>
      </c>
      <c r="I38" s="141"/>
      <c r="J38" s="141">
        <f t="shared" si="12"/>
        <v>350000</v>
      </c>
      <c r="K38" s="141">
        <f>560000-560000+350000</f>
        <v>350000</v>
      </c>
      <c r="L38" s="141"/>
      <c r="M38" s="141"/>
      <c r="N38" s="141"/>
      <c r="O38" s="141">
        <f>560000-560000+350000</f>
        <v>350000</v>
      </c>
      <c r="P38" s="141">
        <f t="shared" si="10"/>
        <v>22032800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</row>
    <row r="39" spans="1:525" s="22" customFormat="1" ht="50.25" customHeight="1" x14ac:dyDescent="0.25">
      <c r="A39" s="89" t="s">
        <v>352</v>
      </c>
      <c r="B39" s="42" t="str">
        <f>'дод 5'!A155</f>
        <v>5032</v>
      </c>
      <c r="C39" s="42" t="str">
        <f>'дод 5'!B155</f>
        <v>0810</v>
      </c>
      <c r="D39" s="36" t="str">
        <f>'дод 5'!C155</f>
        <v>Фінансова підтримка дитячо-юнацьких спортивних шкіл фізкультурно-спортивних товариств</v>
      </c>
      <c r="E39" s="141">
        <f t="shared" si="9"/>
        <v>15560000</v>
      </c>
      <c r="F39" s="141">
        <f>14463700+150000+946300</f>
        <v>15560000</v>
      </c>
      <c r="G39" s="141"/>
      <c r="H39" s="141"/>
      <c r="I39" s="141"/>
      <c r="J39" s="141">
        <f t="shared" si="12"/>
        <v>0</v>
      </c>
      <c r="K39" s="141"/>
      <c r="L39" s="141"/>
      <c r="M39" s="141"/>
      <c r="N39" s="141"/>
      <c r="O39" s="141"/>
      <c r="P39" s="141">
        <f t="shared" si="10"/>
        <v>15560000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</row>
    <row r="40" spans="1:525" s="22" customFormat="1" ht="70.5" customHeight="1" x14ac:dyDescent="0.25">
      <c r="A40" s="89" t="s">
        <v>156</v>
      </c>
      <c r="B40" s="42" t="str">
        <f>'дод 5'!A156</f>
        <v>5061</v>
      </c>
      <c r="C40" s="42" t="str">
        <f>'дод 5'!B156</f>
        <v>0810</v>
      </c>
      <c r="D40" s="36" t="str">
        <f>'дод 5'!C156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141">
        <f t="shared" si="9"/>
        <v>5512100</v>
      </c>
      <c r="F40" s="141">
        <f>5412100+100000</f>
        <v>5512100</v>
      </c>
      <c r="G40" s="141">
        <v>3154100</v>
      </c>
      <c r="H40" s="141">
        <v>630400</v>
      </c>
      <c r="I40" s="141"/>
      <c r="J40" s="141">
        <f t="shared" si="12"/>
        <v>10436660</v>
      </c>
      <c r="K40" s="141">
        <v>10000000</v>
      </c>
      <c r="L40" s="141">
        <v>436660</v>
      </c>
      <c r="M40" s="141">
        <v>288239</v>
      </c>
      <c r="N40" s="141">
        <v>62532</v>
      </c>
      <c r="O40" s="141">
        <v>10000000</v>
      </c>
      <c r="P40" s="141">
        <f t="shared" si="10"/>
        <v>15948760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</row>
    <row r="41" spans="1:525" s="22" customFormat="1" ht="47.25" x14ac:dyDescent="0.25">
      <c r="A41" s="89" t="s">
        <v>344</v>
      </c>
      <c r="B41" s="42" t="str">
        <f>'дод 5'!A157</f>
        <v>5062</v>
      </c>
      <c r="C41" s="42" t="str">
        <f>'дод 5'!B157</f>
        <v>0810</v>
      </c>
      <c r="D41" s="36" t="str">
        <f>'дод 5'!C157</f>
        <v>Підтримка спорту вищих досягнень та організацій, які здійснюють фізкультурно-спортивну діяльність в регіоні</v>
      </c>
      <c r="E41" s="141">
        <f t="shared" si="9"/>
        <v>17912700</v>
      </c>
      <c r="F41" s="141">
        <f>16012700+500000+700000+700000</f>
        <v>17912700</v>
      </c>
      <c r="G41" s="141"/>
      <c r="H41" s="141"/>
      <c r="I41" s="141"/>
      <c r="J41" s="141">
        <f t="shared" si="12"/>
        <v>0</v>
      </c>
      <c r="K41" s="141"/>
      <c r="L41" s="141"/>
      <c r="M41" s="141"/>
      <c r="N41" s="141"/>
      <c r="O41" s="141"/>
      <c r="P41" s="141">
        <f t="shared" si="10"/>
        <v>17912700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</row>
    <row r="42" spans="1:525" s="22" customFormat="1" ht="37.5" hidden="1" customHeight="1" x14ac:dyDescent="0.25">
      <c r="A42" s="89" t="s">
        <v>578</v>
      </c>
      <c r="B42" s="42">
        <v>7323</v>
      </c>
      <c r="C42" s="89" t="s">
        <v>110</v>
      </c>
      <c r="D42" s="36" t="str">
        <f>'дод 5'!C185</f>
        <v>Будівництво1 установ та закладів соціальної сфери</v>
      </c>
      <c r="E42" s="141"/>
      <c r="F42" s="141"/>
      <c r="G42" s="141"/>
      <c r="H42" s="141"/>
      <c r="I42" s="141"/>
      <c r="J42" s="141">
        <f t="shared" si="12"/>
        <v>0</v>
      </c>
      <c r="K42" s="141"/>
      <c r="L42" s="141"/>
      <c r="M42" s="141"/>
      <c r="N42" s="141"/>
      <c r="O42" s="141"/>
      <c r="P42" s="141">
        <f t="shared" si="10"/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</row>
    <row r="43" spans="1:525" s="22" customFormat="1" ht="31.5" hidden="1" customHeight="1" x14ac:dyDescent="0.25">
      <c r="A43" s="89" t="s">
        <v>408</v>
      </c>
      <c r="B43" s="42">
        <v>7325</v>
      </c>
      <c r="C43" s="67" t="s">
        <v>110</v>
      </c>
      <c r="D43" s="6" t="str">
        <f>'дод 5'!C187</f>
        <v>Будівництво1 споруд, установ та закладів фізичної культури і спорту</v>
      </c>
      <c r="E43" s="141">
        <f t="shared" si="9"/>
        <v>0</v>
      </c>
      <c r="F43" s="141"/>
      <c r="G43" s="141"/>
      <c r="H43" s="141"/>
      <c r="I43" s="141"/>
      <c r="J43" s="141">
        <f t="shared" si="12"/>
        <v>0</v>
      </c>
      <c r="K43" s="141"/>
      <c r="L43" s="141"/>
      <c r="M43" s="141"/>
      <c r="N43" s="141"/>
      <c r="O43" s="141"/>
      <c r="P43" s="141">
        <f t="shared" si="10"/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</row>
    <row r="44" spans="1:525" s="22" customFormat="1" ht="15.75" hidden="1" customHeight="1" x14ac:dyDescent="0.25">
      <c r="A44" s="89" t="s">
        <v>409</v>
      </c>
      <c r="B44" s="42">
        <v>7330</v>
      </c>
      <c r="C44" s="67" t="s">
        <v>110</v>
      </c>
      <c r="D44" s="6" t="str">
        <f>'дод 5'!C188</f>
        <v>Будівництво1 інших об'єктів комунальної власності</v>
      </c>
      <c r="E44" s="141">
        <f t="shared" si="9"/>
        <v>0</v>
      </c>
      <c r="F44" s="141"/>
      <c r="G44" s="141"/>
      <c r="H44" s="141"/>
      <c r="I44" s="141"/>
      <c r="J44" s="141">
        <f t="shared" si="12"/>
        <v>0</v>
      </c>
      <c r="K44" s="141"/>
      <c r="L44" s="141"/>
      <c r="M44" s="141"/>
      <c r="N44" s="141"/>
      <c r="O44" s="141"/>
      <c r="P44" s="141">
        <f t="shared" si="10"/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</row>
    <row r="45" spans="1:525" s="22" customFormat="1" ht="31.5" x14ac:dyDescent="0.25">
      <c r="A45" s="89" t="s">
        <v>157</v>
      </c>
      <c r="B45" s="42" t="str">
        <f>'дод 5'!A202</f>
        <v>7412</v>
      </c>
      <c r="C45" s="42" t="str">
        <f>'дод 5'!B202</f>
        <v>0451</v>
      </c>
      <c r="D45" s="36" t="str">
        <f>'дод 5'!C202</f>
        <v>Регулювання цін на послуги місцевого автотранспорту</v>
      </c>
      <c r="E45" s="141">
        <f t="shared" si="9"/>
        <v>17594929</v>
      </c>
      <c r="F45" s="141"/>
      <c r="G45" s="141"/>
      <c r="H45" s="141"/>
      <c r="I45" s="141">
        <v>17594929</v>
      </c>
      <c r="J45" s="141">
        <f t="shared" si="12"/>
        <v>0</v>
      </c>
      <c r="K45" s="141"/>
      <c r="L45" s="141"/>
      <c r="M45" s="141"/>
      <c r="N45" s="141"/>
      <c r="O45" s="141"/>
      <c r="P45" s="141">
        <f t="shared" si="10"/>
        <v>17594929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</row>
    <row r="46" spans="1:525" s="22" customFormat="1" ht="24" hidden="1" customHeight="1" x14ac:dyDescent="0.25">
      <c r="A46" s="89" t="s">
        <v>372</v>
      </c>
      <c r="B46" s="42">
        <f>'дод 5'!A203</f>
        <v>7413</v>
      </c>
      <c r="C46" s="42" t="str">
        <f>'дод 5'!B203</f>
        <v>0451</v>
      </c>
      <c r="D46" s="90" t="str">
        <f>'дод 5'!C203</f>
        <v>Інші заходи у сфері автотранспорту</v>
      </c>
      <c r="E46" s="141">
        <f t="shared" si="9"/>
        <v>0</v>
      </c>
      <c r="F46" s="141"/>
      <c r="G46" s="141"/>
      <c r="H46" s="141"/>
      <c r="I46" s="141"/>
      <c r="J46" s="141">
        <f t="shared" si="12"/>
        <v>0</v>
      </c>
      <c r="K46" s="141"/>
      <c r="L46" s="141"/>
      <c r="M46" s="141"/>
      <c r="N46" s="141"/>
      <c r="O46" s="141"/>
      <c r="P46" s="141">
        <f t="shared" si="10"/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</row>
    <row r="47" spans="1:525" s="22" customFormat="1" ht="33" customHeight="1" x14ac:dyDescent="0.25">
      <c r="A47" s="89" t="s">
        <v>540</v>
      </c>
      <c r="B47" s="42">
        <v>7422</v>
      </c>
      <c r="C47" s="89" t="s">
        <v>407</v>
      </c>
      <c r="D47" s="90" t="str">
        <f>'дод 5'!C204</f>
        <v>Регулювання цін на послуги місцевого наземного електротранспорту</v>
      </c>
      <c r="E47" s="141">
        <f t="shared" si="9"/>
        <v>41267217</v>
      </c>
      <c r="F47" s="141"/>
      <c r="G47" s="141"/>
      <c r="H47" s="141"/>
      <c r="I47" s="141">
        <f>39414871+1852346</f>
        <v>41267217</v>
      </c>
      <c r="J47" s="141">
        <f t="shared" si="12"/>
        <v>0</v>
      </c>
      <c r="K47" s="141"/>
      <c r="L47" s="141"/>
      <c r="M47" s="141"/>
      <c r="N47" s="141"/>
      <c r="O47" s="141"/>
      <c r="P47" s="141">
        <f t="shared" si="10"/>
        <v>41267217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</row>
    <row r="48" spans="1:525" s="22" customFormat="1" ht="24" hidden="1" customHeight="1" x14ac:dyDescent="0.25">
      <c r="A48" s="89" t="s">
        <v>373</v>
      </c>
      <c r="B48" s="42">
        <f>'дод 5'!A205</f>
        <v>7426</v>
      </c>
      <c r="C48" s="89" t="s">
        <v>407</v>
      </c>
      <c r="D48" s="90" t="str">
        <f>'дод 5'!C205</f>
        <v>Інші заходи у сфері електротранспорту</v>
      </c>
      <c r="E48" s="141">
        <f t="shared" si="9"/>
        <v>0</v>
      </c>
      <c r="F48" s="141"/>
      <c r="G48" s="141"/>
      <c r="H48" s="141"/>
      <c r="I48" s="141"/>
      <c r="J48" s="141">
        <f t="shared" si="12"/>
        <v>0</v>
      </c>
      <c r="K48" s="141"/>
      <c r="L48" s="141"/>
      <c r="M48" s="141"/>
      <c r="N48" s="141"/>
      <c r="O48" s="141"/>
      <c r="P48" s="141">
        <f t="shared" si="10"/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</row>
    <row r="49" spans="1:525" s="22" customFormat="1" ht="24" customHeight="1" x14ac:dyDescent="0.25">
      <c r="A49" s="89" t="s">
        <v>441</v>
      </c>
      <c r="B49" s="89" t="s">
        <v>442</v>
      </c>
      <c r="C49" s="89" t="s">
        <v>394</v>
      </c>
      <c r="D49" s="90" t="str">
        <f>'дод 5'!C209</f>
        <v>Інша діяльність у сфері транспорту</v>
      </c>
      <c r="E49" s="141">
        <f t="shared" si="9"/>
        <v>2585480</v>
      </c>
      <c r="F49" s="141">
        <v>2585480</v>
      </c>
      <c r="G49" s="141"/>
      <c r="H49" s="141"/>
      <c r="I49" s="141"/>
      <c r="J49" s="141">
        <f t="shared" si="12"/>
        <v>0</v>
      </c>
      <c r="K49" s="141"/>
      <c r="L49" s="141"/>
      <c r="M49" s="141"/>
      <c r="N49" s="141"/>
      <c r="O49" s="141"/>
      <c r="P49" s="141">
        <f t="shared" si="10"/>
        <v>2585480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</row>
    <row r="50" spans="1:525" s="22" customFormat="1" ht="30.75" customHeight="1" x14ac:dyDescent="0.25">
      <c r="A50" s="89" t="s">
        <v>230</v>
      </c>
      <c r="B50" s="42" t="str">
        <f>'дод 5'!A215</f>
        <v>7530</v>
      </c>
      <c r="C50" s="42" t="str">
        <f>'дод 5'!B215</f>
        <v>0460</v>
      </c>
      <c r="D50" s="36" t="str">
        <f>'дод 5'!C215</f>
        <v>Інші заходи у сфері зв'язку, телекомунікації та інформатики</v>
      </c>
      <c r="E50" s="141">
        <f t="shared" si="9"/>
        <v>7850000</v>
      </c>
      <c r="F50" s="141">
        <v>7850000</v>
      </c>
      <c r="G50" s="141"/>
      <c r="H50" s="141"/>
      <c r="I50" s="141"/>
      <c r="J50" s="141">
        <f t="shared" si="12"/>
        <v>3150000</v>
      </c>
      <c r="K50" s="141">
        <v>3150000</v>
      </c>
      <c r="L50" s="141"/>
      <c r="M50" s="141"/>
      <c r="N50" s="141"/>
      <c r="O50" s="141">
        <v>3150000</v>
      </c>
      <c r="P50" s="141">
        <f t="shared" si="10"/>
        <v>11000000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</row>
    <row r="51" spans="1:525" s="22" customFormat="1" ht="31.5" customHeight="1" x14ac:dyDescent="0.25">
      <c r="A51" s="89" t="s">
        <v>158</v>
      </c>
      <c r="B51" s="42" t="str">
        <f>'дод 5'!A218</f>
        <v>7610</v>
      </c>
      <c r="C51" s="42" t="str">
        <f>'дод 5'!B218</f>
        <v>0411</v>
      </c>
      <c r="D51" s="36" t="str">
        <f>'дод 5'!C218</f>
        <v>Сприяння розвитку малого та середнього підприємництва</v>
      </c>
      <c r="E51" s="141">
        <f t="shared" si="9"/>
        <v>60000</v>
      </c>
      <c r="F51" s="141">
        <v>60000</v>
      </c>
      <c r="G51" s="141"/>
      <c r="H51" s="141"/>
      <c r="I51" s="141"/>
      <c r="J51" s="141">
        <f t="shared" si="12"/>
        <v>0</v>
      </c>
      <c r="K51" s="141"/>
      <c r="L51" s="141"/>
      <c r="M51" s="141"/>
      <c r="N51" s="141"/>
      <c r="O51" s="141"/>
      <c r="P51" s="141">
        <f t="shared" si="10"/>
        <v>60000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</row>
    <row r="52" spans="1:525" s="22" customFormat="1" ht="33.75" customHeight="1" x14ac:dyDescent="0.25">
      <c r="A52" s="89" t="s">
        <v>159</v>
      </c>
      <c r="B52" s="42" t="str">
        <f>'дод 5'!A223</f>
        <v>7670</v>
      </c>
      <c r="C52" s="42" t="str">
        <f>'дод 5'!B223</f>
        <v>0490</v>
      </c>
      <c r="D52" s="36" t="str">
        <f>'дод 5'!C223</f>
        <v>Внески до статутного капіталу суб'єктів господарювання, у т. ч. за рахунок:</v>
      </c>
      <c r="E52" s="141">
        <f t="shared" si="9"/>
        <v>0</v>
      </c>
      <c r="F52" s="141"/>
      <c r="G52" s="141"/>
      <c r="H52" s="141"/>
      <c r="I52" s="141"/>
      <c r="J52" s="141">
        <f t="shared" si="12"/>
        <v>19800000</v>
      </c>
      <c r="K52" s="141">
        <v>19800000</v>
      </c>
      <c r="L52" s="141"/>
      <c r="M52" s="141"/>
      <c r="N52" s="141"/>
      <c r="O52" s="141">
        <f>19800000</f>
        <v>19800000</v>
      </c>
      <c r="P52" s="141">
        <f t="shared" si="10"/>
        <v>19800000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</row>
    <row r="53" spans="1:525" s="22" customFormat="1" ht="36.75" customHeight="1" x14ac:dyDescent="0.25">
      <c r="A53" s="89" t="s">
        <v>244</v>
      </c>
      <c r="B53" s="42" t="str">
        <f>'дод 5'!A225</f>
        <v>7680</v>
      </c>
      <c r="C53" s="42" t="str">
        <f>'дод 5'!B225</f>
        <v>0490</v>
      </c>
      <c r="D53" s="36" t="str">
        <f>'дод 5'!C225</f>
        <v>Членські внески до асоціацій органів місцевого самоврядування</v>
      </c>
      <c r="E53" s="141">
        <f t="shared" si="9"/>
        <v>366939</v>
      </c>
      <c r="F53" s="141">
        <v>366939</v>
      </c>
      <c r="G53" s="141"/>
      <c r="H53" s="141"/>
      <c r="I53" s="141"/>
      <c r="J53" s="141">
        <f t="shared" si="12"/>
        <v>0</v>
      </c>
      <c r="K53" s="141"/>
      <c r="L53" s="141"/>
      <c r="M53" s="141"/>
      <c r="N53" s="141"/>
      <c r="O53" s="141"/>
      <c r="P53" s="141">
        <f t="shared" si="10"/>
        <v>366939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</row>
    <row r="54" spans="1:525" s="22" customFormat="1" ht="120.75" customHeight="1" x14ac:dyDescent="0.25">
      <c r="A54" s="89" t="s">
        <v>296</v>
      </c>
      <c r="B54" s="42" t="str">
        <f>'дод 5'!A226</f>
        <v>7691</v>
      </c>
      <c r="C54" s="42" t="str">
        <f>'дод 5'!B226</f>
        <v>0490</v>
      </c>
      <c r="D54" s="36" t="str">
        <f>'дод 5'!C226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4" s="141">
        <f t="shared" si="9"/>
        <v>0</v>
      </c>
      <c r="F54" s="141"/>
      <c r="G54" s="141"/>
      <c r="H54" s="141"/>
      <c r="I54" s="141"/>
      <c r="J54" s="141">
        <f t="shared" si="12"/>
        <v>54466</v>
      </c>
      <c r="K54" s="141"/>
      <c r="L54" s="141">
        <v>54466</v>
      </c>
      <c r="M54" s="141"/>
      <c r="N54" s="141"/>
      <c r="O54" s="141"/>
      <c r="P54" s="141">
        <f t="shared" si="10"/>
        <v>54466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</row>
    <row r="55" spans="1:525" s="22" customFormat="1" ht="23.25" customHeight="1" x14ac:dyDescent="0.25">
      <c r="A55" s="89" t="s">
        <v>237</v>
      </c>
      <c r="B55" s="42" t="str">
        <f>'дод 5'!A227</f>
        <v>7693</v>
      </c>
      <c r="C55" s="42" t="str">
        <f>'дод 5'!B227</f>
        <v>0490</v>
      </c>
      <c r="D55" s="36" t="str">
        <f>'дод 5'!C227</f>
        <v>Інші заходи, пов'язані з економічною діяльністю</v>
      </c>
      <c r="E55" s="141">
        <f t="shared" si="9"/>
        <v>1450000</v>
      </c>
      <c r="F55" s="141">
        <v>1450000</v>
      </c>
      <c r="G55" s="141"/>
      <c r="H55" s="141"/>
      <c r="I55" s="141"/>
      <c r="J55" s="141">
        <f t="shared" si="12"/>
        <v>0</v>
      </c>
      <c r="K55" s="141"/>
      <c r="L55" s="141"/>
      <c r="M55" s="141"/>
      <c r="N55" s="141"/>
      <c r="O55" s="141"/>
      <c r="P55" s="141">
        <f t="shared" si="10"/>
        <v>1450000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</row>
    <row r="56" spans="1:525" s="22" customFormat="1" ht="34.5" customHeight="1" x14ac:dyDescent="0.25">
      <c r="A56" s="89" t="s">
        <v>160</v>
      </c>
      <c r="B56" s="42" t="str">
        <f>'дод 5'!A234</f>
        <v>8110</v>
      </c>
      <c r="C56" s="42" t="str">
        <f>'дод 5'!B234</f>
        <v>0320</v>
      </c>
      <c r="D56" s="36" t="str">
        <f>'дод 5'!C234</f>
        <v>Заходи із запобігання та ліквідації надзвичайних ситуацій та наслідків стихійного лиха</v>
      </c>
      <c r="E56" s="141">
        <f t="shared" si="9"/>
        <v>282100</v>
      </c>
      <c r="F56" s="141">
        <v>282100</v>
      </c>
      <c r="G56" s="141"/>
      <c r="H56" s="141">
        <f>8600-100</f>
        <v>8500</v>
      </c>
      <c r="I56" s="141"/>
      <c r="J56" s="141">
        <f t="shared" si="12"/>
        <v>0</v>
      </c>
      <c r="K56" s="141"/>
      <c r="L56" s="141"/>
      <c r="M56" s="141"/>
      <c r="N56" s="141"/>
      <c r="O56" s="141"/>
      <c r="P56" s="141">
        <f t="shared" si="10"/>
        <v>282100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</row>
    <row r="57" spans="1:525" s="22" customFormat="1" ht="30.75" customHeight="1" x14ac:dyDescent="0.25">
      <c r="A57" s="89" t="s">
        <v>220</v>
      </c>
      <c r="B57" s="42" t="str">
        <f>'дод 5'!A235</f>
        <v>8120</v>
      </c>
      <c r="C57" s="42" t="str">
        <f>'дод 5'!B235</f>
        <v>0320</v>
      </c>
      <c r="D57" s="36" t="str">
        <f>'дод 5'!C235</f>
        <v>Заходи з організації рятування на водах, у т.ч. за рахунок:</v>
      </c>
      <c r="E57" s="141">
        <f t="shared" si="9"/>
        <v>2599200</v>
      </c>
      <c r="F57" s="141">
        <v>2599200</v>
      </c>
      <c r="G57" s="141">
        <v>1998000</v>
      </c>
      <c r="H57" s="141">
        <v>79800</v>
      </c>
      <c r="I57" s="141"/>
      <c r="J57" s="141">
        <f t="shared" si="12"/>
        <v>5900</v>
      </c>
      <c r="K57" s="141"/>
      <c r="L57" s="141">
        <v>5900</v>
      </c>
      <c r="M57" s="141"/>
      <c r="N57" s="141">
        <v>1600</v>
      </c>
      <c r="O57" s="141"/>
      <c r="P57" s="141">
        <f t="shared" si="10"/>
        <v>2605100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</row>
    <row r="58" spans="1:525" s="24" customFormat="1" ht="69.75" customHeight="1" x14ac:dyDescent="0.25">
      <c r="A58" s="91"/>
      <c r="B58" s="80"/>
      <c r="C58" s="80"/>
      <c r="D58" s="79" t="str">
        <f>'дод 5'!C236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8" s="142">
        <f t="shared" si="9"/>
        <v>493540</v>
      </c>
      <c r="F58" s="142">
        <f>475205+18335</f>
        <v>493540</v>
      </c>
      <c r="G58" s="142">
        <f>389512+15029</f>
        <v>404541</v>
      </c>
      <c r="H58" s="142"/>
      <c r="I58" s="142"/>
      <c r="J58" s="142">
        <f t="shared" si="12"/>
        <v>0</v>
      </c>
      <c r="K58" s="142"/>
      <c r="L58" s="142"/>
      <c r="M58" s="142"/>
      <c r="N58" s="142"/>
      <c r="O58" s="142"/>
      <c r="P58" s="142">
        <f t="shared" si="10"/>
        <v>493540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0"/>
      <c r="NR58" s="30"/>
      <c r="NS58" s="30"/>
      <c r="NT58" s="30"/>
      <c r="NU58" s="30"/>
      <c r="NV58" s="30"/>
      <c r="NW58" s="30"/>
      <c r="NX58" s="30"/>
      <c r="NY58" s="30"/>
      <c r="NZ58" s="30"/>
      <c r="OA58" s="30"/>
      <c r="OB58" s="30"/>
      <c r="OC58" s="30"/>
      <c r="OD58" s="30"/>
      <c r="OE58" s="30"/>
      <c r="OF58" s="30"/>
      <c r="OG58" s="30"/>
      <c r="OH58" s="30"/>
      <c r="OI58" s="30"/>
      <c r="OJ58" s="30"/>
      <c r="OK58" s="30"/>
      <c r="OL58" s="30"/>
      <c r="OM58" s="30"/>
      <c r="ON58" s="30"/>
      <c r="OO58" s="30"/>
      <c r="OP58" s="30"/>
      <c r="OQ58" s="30"/>
      <c r="OR58" s="30"/>
      <c r="OS58" s="30"/>
      <c r="OT58" s="30"/>
      <c r="OU58" s="30"/>
      <c r="OV58" s="30"/>
      <c r="OW58" s="30"/>
      <c r="OX58" s="30"/>
      <c r="OY58" s="30"/>
      <c r="OZ58" s="30"/>
      <c r="PA58" s="30"/>
      <c r="PB58" s="30"/>
      <c r="PC58" s="30"/>
      <c r="PD58" s="30"/>
      <c r="PE58" s="30"/>
      <c r="PF58" s="30"/>
      <c r="PG58" s="30"/>
      <c r="PH58" s="30"/>
      <c r="PI58" s="30"/>
      <c r="PJ58" s="30"/>
      <c r="PK58" s="30"/>
      <c r="PL58" s="30"/>
      <c r="PM58" s="30"/>
      <c r="PN58" s="30"/>
      <c r="PO58" s="30"/>
      <c r="PP58" s="30"/>
      <c r="PQ58" s="30"/>
      <c r="PR58" s="30"/>
      <c r="PS58" s="30"/>
      <c r="PT58" s="30"/>
      <c r="PU58" s="30"/>
      <c r="PV58" s="30"/>
      <c r="PW58" s="30"/>
      <c r="PX58" s="30"/>
      <c r="PY58" s="30"/>
      <c r="PZ58" s="30"/>
      <c r="QA58" s="30"/>
      <c r="QB58" s="30"/>
      <c r="QC58" s="30"/>
      <c r="QD58" s="30"/>
      <c r="QE58" s="30"/>
      <c r="QF58" s="30"/>
      <c r="QG58" s="30"/>
      <c r="QH58" s="30"/>
      <c r="QI58" s="30"/>
      <c r="QJ58" s="30"/>
      <c r="QK58" s="30"/>
      <c r="QL58" s="30"/>
      <c r="QM58" s="30"/>
      <c r="QN58" s="30"/>
      <c r="QO58" s="30"/>
      <c r="QP58" s="30"/>
      <c r="QQ58" s="30"/>
      <c r="QR58" s="30"/>
      <c r="QS58" s="30"/>
      <c r="QT58" s="30"/>
      <c r="QU58" s="30"/>
      <c r="QV58" s="30"/>
      <c r="QW58" s="30"/>
      <c r="QX58" s="30"/>
      <c r="QY58" s="30"/>
      <c r="QZ58" s="30"/>
      <c r="RA58" s="30"/>
      <c r="RB58" s="30"/>
      <c r="RC58" s="30"/>
      <c r="RD58" s="30"/>
      <c r="RE58" s="30"/>
      <c r="RF58" s="30"/>
      <c r="RG58" s="30"/>
      <c r="RH58" s="30"/>
      <c r="RI58" s="30"/>
      <c r="RJ58" s="30"/>
      <c r="RK58" s="30"/>
      <c r="RL58" s="30"/>
      <c r="RM58" s="30"/>
      <c r="RN58" s="30"/>
      <c r="RO58" s="30"/>
      <c r="RP58" s="30"/>
      <c r="RQ58" s="30"/>
      <c r="RR58" s="30"/>
      <c r="RS58" s="30"/>
      <c r="RT58" s="30"/>
      <c r="RU58" s="30"/>
      <c r="RV58" s="30"/>
      <c r="RW58" s="30"/>
      <c r="RX58" s="30"/>
      <c r="RY58" s="30"/>
      <c r="RZ58" s="30"/>
      <c r="SA58" s="30"/>
      <c r="SB58" s="30"/>
      <c r="SC58" s="30"/>
      <c r="SD58" s="30"/>
      <c r="SE58" s="30"/>
      <c r="SF58" s="30"/>
      <c r="SG58" s="30"/>
      <c r="SH58" s="30"/>
      <c r="SI58" s="30"/>
      <c r="SJ58" s="30"/>
      <c r="SK58" s="30"/>
      <c r="SL58" s="30"/>
      <c r="SM58" s="30"/>
      <c r="SN58" s="30"/>
      <c r="SO58" s="30"/>
      <c r="SP58" s="30"/>
      <c r="SQ58" s="30"/>
      <c r="SR58" s="30"/>
      <c r="SS58" s="30"/>
      <c r="ST58" s="30"/>
      <c r="SU58" s="30"/>
      <c r="SV58" s="30"/>
      <c r="SW58" s="30"/>
      <c r="SX58" s="30"/>
      <c r="SY58" s="30"/>
      <c r="SZ58" s="30"/>
      <c r="TA58" s="30"/>
      <c r="TB58" s="30"/>
      <c r="TC58" s="30"/>
      <c r="TD58" s="30"/>
      <c r="TE58" s="30"/>
    </row>
    <row r="59" spans="1:525" s="22" customFormat="1" ht="27" customHeight="1" x14ac:dyDescent="0.25">
      <c r="A59" s="89" t="s">
        <v>240</v>
      </c>
      <c r="B59" s="42" t="str">
        <f>'дод 5'!A238</f>
        <v>8230</v>
      </c>
      <c r="C59" s="42" t="str">
        <f>'дод 5'!B238</f>
        <v>0380</v>
      </c>
      <c r="D59" s="36" t="str">
        <f>'дод 5'!C238</f>
        <v>Інші заходи громадського порядку та безпеки</v>
      </c>
      <c r="E59" s="141">
        <f t="shared" si="9"/>
        <v>589100</v>
      </c>
      <c r="F59" s="141">
        <v>589100</v>
      </c>
      <c r="G59" s="141"/>
      <c r="H59" s="141">
        <v>426900</v>
      </c>
      <c r="I59" s="141"/>
      <c r="J59" s="141">
        <f t="shared" si="12"/>
        <v>0</v>
      </c>
      <c r="K59" s="141"/>
      <c r="L59" s="141"/>
      <c r="M59" s="141"/>
      <c r="N59" s="141"/>
      <c r="O59" s="141"/>
      <c r="P59" s="141">
        <f t="shared" si="10"/>
        <v>589100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</row>
    <row r="60" spans="1:525" s="22" customFormat="1" ht="36" customHeight="1" x14ac:dyDescent="0.25">
      <c r="A60" s="56" t="s">
        <v>161</v>
      </c>
      <c r="B60" s="84" t="str">
        <f>'дод 5'!A241</f>
        <v>8340</v>
      </c>
      <c r="C60" s="84" t="str">
        <f>'дод 5'!B241</f>
        <v>0540</v>
      </c>
      <c r="D60" s="57" t="str">
        <f>'дод 5'!C241</f>
        <v>Природоохоронні заходи за рахунок цільових фондів</v>
      </c>
      <c r="E60" s="141">
        <f t="shared" si="9"/>
        <v>0</v>
      </c>
      <c r="F60" s="141"/>
      <c r="G60" s="141"/>
      <c r="H60" s="141"/>
      <c r="I60" s="141"/>
      <c r="J60" s="141">
        <f t="shared" si="12"/>
        <v>100000</v>
      </c>
      <c r="K60" s="141"/>
      <c r="L60" s="141">
        <v>100000</v>
      </c>
      <c r="M60" s="141"/>
      <c r="N60" s="141"/>
      <c r="O60" s="141"/>
      <c r="P60" s="141">
        <f t="shared" si="10"/>
        <v>100000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</row>
    <row r="61" spans="1:525" s="22" customFormat="1" ht="26.25" hidden="1" customHeight="1" x14ac:dyDescent="0.25">
      <c r="A61" s="89" t="s">
        <v>251</v>
      </c>
      <c r="B61" s="42" t="str">
        <f>'дод 5'!A243</f>
        <v>8420</v>
      </c>
      <c r="C61" s="42" t="str">
        <f>'дод 5'!B243</f>
        <v>0830</v>
      </c>
      <c r="D61" s="36" t="str">
        <f>'дод 5'!C243</f>
        <v>Інші заходи у сфері засобів масової інформації</v>
      </c>
      <c r="E61" s="141">
        <f t="shared" si="9"/>
        <v>0</v>
      </c>
      <c r="F61" s="141"/>
      <c r="G61" s="141"/>
      <c r="H61" s="141"/>
      <c r="I61" s="141"/>
      <c r="J61" s="141">
        <f t="shared" si="12"/>
        <v>0</v>
      </c>
      <c r="K61" s="141"/>
      <c r="L61" s="141"/>
      <c r="M61" s="141"/>
      <c r="N61" s="141"/>
      <c r="O61" s="141"/>
      <c r="P61" s="141">
        <f t="shared" si="10"/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</row>
    <row r="62" spans="1:525" s="22" customFormat="1" ht="26.25" hidden="1" customHeight="1" x14ac:dyDescent="0.25">
      <c r="A62" s="89" t="s">
        <v>570</v>
      </c>
      <c r="B62" s="42">
        <v>9770</v>
      </c>
      <c r="C62" s="89" t="s">
        <v>44</v>
      </c>
      <c r="D62" s="36" t="s">
        <v>351</v>
      </c>
      <c r="E62" s="141">
        <f t="shared" si="9"/>
        <v>0</v>
      </c>
      <c r="F62" s="141"/>
      <c r="G62" s="141"/>
      <c r="H62" s="141"/>
      <c r="I62" s="141"/>
      <c r="J62" s="141">
        <f t="shared" si="12"/>
        <v>0</v>
      </c>
      <c r="K62" s="141"/>
      <c r="L62" s="141"/>
      <c r="M62" s="141"/>
      <c r="N62" s="141"/>
      <c r="O62" s="141"/>
      <c r="P62" s="141">
        <f t="shared" si="10"/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</row>
    <row r="63" spans="1:525" s="22" customFormat="1" ht="47.25" customHeight="1" x14ac:dyDescent="0.25">
      <c r="A63" s="89" t="s">
        <v>376</v>
      </c>
      <c r="B63" s="42">
        <v>9800</v>
      </c>
      <c r="C63" s="89" t="s">
        <v>44</v>
      </c>
      <c r="D63" s="36" t="s">
        <v>362</v>
      </c>
      <c r="E63" s="141">
        <f t="shared" si="9"/>
        <v>711800</v>
      </c>
      <c r="F63" s="141">
        <v>711800</v>
      </c>
      <c r="G63" s="141"/>
      <c r="H63" s="141"/>
      <c r="I63" s="141"/>
      <c r="J63" s="141">
        <f t="shared" si="12"/>
        <v>0</v>
      </c>
      <c r="K63" s="141"/>
      <c r="L63" s="141"/>
      <c r="M63" s="141"/>
      <c r="N63" s="141"/>
      <c r="O63" s="141"/>
      <c r="P63" s="141">
        <f t="shared" si="10"/>
        <v>711800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</row>
    <row r="64" spans="1:525" s="27" customFormat="1" ht="36" customHeight="1" x14ac:dyDescent="0.25">
      <c r="A64" s="92" t="s">
        <v>162</v>
      </c>
      <c r="B64" s="39"/>
      <c r="C64" s="39"/>
      <c r="D64" s="93" t="s">
        <v>24</v>
      </c>
      <c r="E64" s="139">
        <f>E65</f>
        <v>1459377840</v>
      </c>
      <c r="F64" s="139">
        <f t="shared" ref="F64:J64" si="13">F65</f>
        <v>1459377840</v>
      </c>
      <c r="G64" s="139">
        <f t="shared" si="13"/>
        <v>973347220</v>
      </c>
      <c r="H64" s="139">
        <f t="shared" si="13"/>
        <v>157483550</v>
      </c>
      <c r="I64" s="139">
        <f t="shared" si="13"/>
        <v>0</v>
      </c>
      <c r="J64" s="139">
        <f t="shared" si="13"/>
        <v>113881599</v>
      </c>
      <c r="K64" s="139">
        <f t="shared" ref="K64" si="14">K65</f>
        <v>19030000</v>
      </c>
      <c r="L64" s="139">
        <f t="shared" ref="L64" si="15">L65</f>
        <v>94698909</v>
      </c>
      <c r="M64" s="139">
        <f t="shared" ref="M64" si="16">M65</f>
        <v>6034696</v>
      </c>
      <c r="N64" s="139">
        <f t="shared" ref="N64" si="17">N65</f>
        <v>5238893</v>
      </c>
      <c r="O64" s="139">
        <f t="shared" ref="O64:P64" si="18">O65</f>
        <v>19182690</v>
      </c>
      <c r="P64" s="139">
        <f t="shared" si="18"/>
        <v>1573259439</v>
      </c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2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2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32"/>
      <c r="QX64" s="32"/>
      <c r="QY64" s="32"/>
      <c r="QZ64" s="32"/>
      <c r="RA64" s="32"/>
      <c r="RB64" s="32"/>
      <c r="RC64" s="32"/>
      <c r="RD64" s="32"/>
      <c r="RE64" s="32"/>
      <c r="RF64" s="32"/>
      <c r="RG64" s="32"/>
      <c r="RH64" s="32"/>
      <c r="RI64" s="32"/>
      <c r="RJ64" s="32"/>
      <c r="RK64" s="32"/>
      <c r="RL64" s="32"/>
      <c r="RM64" s="32"/>
      <c r="RN64" s="32"/>
      <c r="RO64" s="32"/>
      <c r="RP64" s="32"/>
      <c r="RQ64" s="32"/>
      <c r="RR64" s="32"/>
      <c r="RS64" s="32"/>
      <c r="RT64" s="32"/>
      <c r="RU64" s="32"/>
      <c r="RV64" s="32"/>
      <c r="RW64" s="32"/>
      <c r="RX64" s="32"/>
      <c r="RY64" s="32"/>
      <c r="RZ64" s="32"/>
      <c r="SA64" s="32"/>
      <c r="SB64" s="32"/>
      <c r="SC64" s="32"/>
      <c r="SD64" s="32"/>
      <c r="SE64" s="32"/>
      <c r="SF64" s="32"/>
      <c r="SG64" s="32"/>
      <c r="SH64" s="32"/>
      <c r="SI64" s="32"/>
      <c r="SJ64" s="32"/>
      <c r="SK64" s="32"/>
      <c r="SL64" s="32"/>
      <c r="SM64" s="32"/>
      <c r="SN64" s="32"/>
      <c r="SO64" s="32"/>
      <c r="SP64" s="32"/>
      <c r="SQ64" s="32"/>
      <c r="SR64" s="32"/>
      <c r="SS64" s="32"/>
      <c r="ST64" s="32"/>
      <c r="SU64" s="32"/>
      <c r="SV64" s="32"/>
      <c r="SW64" s="32"/>
      <c r="SX64" s="32"/>
      <c r="SY64" s="32"/>
      <c r="SZ64" s="32"/>
      <c r="TA64" s="32"/>
      <c r="TB64" s="32"/>
      <c r="TC64" s="32"/>
      <c r="TD64" s="32"/>
      <c r="TE64" s="32"/>
    </row>
    <row r="65" spans="1:525" s="34" customFormat="1" ht="38.25" customHeight="1" x14ac:dyDescent="0.25">
      <c r="A65" s="94" t="s">
        <v>163</v>
      </c>
      <c r="B65" s="68"/>
      <c r="C65" s="68"/>
      <c r="D65" s="70" t="s">
        <v>490</v>
      </c>
      <c r="E65" s="140">
        <f>E78+E79+E80+E81+E82+E83+E86+E88+E90+E93+E95+E99+E100+E101+E102+E104+E105+E106+E108+E110+E112+E114+E116+E117+E118+E120+E122+E124+E125+E126+E127+E129+E130+E96+E97</f>
        <v>1459377840</v>
      </c>
      <c r="F65" s="140">
        <f t="shared" ref="F65:P65" si="19">F78+F79+F80+F81+F82+F83+F86+F88+F90+F93+F95+F99+F100+F101+F102+F104+F105+F106+F108+F110+F112+F114+F116+F117+F118+F120+F122+F124+F125+F126+F127+F129+F130+F96+F97</f>
        <v>1459377840</v>
      </c>
      <c r="G65" s="140">
        <f t="shared" si="19"/>
        <v>973347220</v>
      </c>
      <c r="H65" s="140">
        <f t="shared" si="19"/>
        <v>157483550</v>
      </c>
      <c r="I65" s="140">
        <f t="shared" si="19"/>
        <v>0</v>
      </c>
      <c r="J65" s="140">
        <f t="shared" si="19"/>
        <v>113881599</v>
      </c>
      <c r="K65" s="140">
        <f t="shared" si="19"/>
        <v>19030000</v>
      </c>
      <c r="L65" s="140">
        <f t="shared" si="19"/>
        <v>94698909</v>
      </c>
      <c r="M65" s="140">
        <f t="shared" si="19"/>
        <v>6034696</v>
      </c>
      <c r="N65" s="140">
        <f t="shared" si="19"/>
        <v>5238893</v>
      </c>
      <c r="O65" s="140">
        <f t="shared" si="19"/>
        <v>19182690</v>
      </c>
      <c r="P65" s="140">
        <f t="shared" si="19"/>
        <v>1573259439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</row>
    <row r="66" spans="1:525" s="34" customFormat="1" ht="31.5" x14ac:dyDescent="0.25">
      <c r="A66" s="94"/>
      <c r="B66" s="68"/>
      <c r="C66" s="68"/>
      <c r="D66" s="70" t="s">
        <v>384</v>
      </c>
      <c r="E66" s="140">
        <f>E84+E87+E89+E98</f>
        <v>571788600</v>
      </c>
      <c r="F66" s="140">
        <f t="shared" ref="F66:P66" si="20">F84+F87+F89+F98</f>
        <v>571788600</v>
      </c>
      <c r="G66" s="140">
        <f t="shared" si="20"/>
        <v>469390600</v>
      </c>
      <c r="H66" s="140">
        <f t="shared" si="20"/>
        <v>0</v>
      </c>
      <c r="I66" s="140">
        <f t="shared" si="20"/>
        <v>0</v>
      </c>
      <c r="J66" s="140">
        <f t="shared" si="20"/>
        <v>0</v>
      </c>
      <c r="K66" s="140">
        <f t="shared" si="20"/>
        <v>0</v>
      </c>
      <c r="L66" s="140">
        <f t="shared" si="20"/>
        <v>0</v>
      </c>
      <c r="M66" s="140">
        <f t="shared" si="20"/>
        <v>0</v>
      </c>
      <c r="N66" s="140">
        <f t="shared" si="20"/>
        <v>0</v>
      </c>
      <c r="O66" s="140">
        <f t="shared" si="20"/>
        <v>0</v>
      </c>
      <c r="P66" s="140">
        <f t="shared" si="20"/>
        <v>571788600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</row>
    <row r="67" spans="1:525" s="34" customFormat="1" ht="63" hidden="1" customHeight="1" x14ac:dyDescent="0.25">
      <c r="A67" s="94"/>
      <c r="B67" s="68"/>
      <c r="C67" s="68"/>
      <c r="D67" s="70" t="s">
        <v>383</v>
      </c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</row>
    <row r="68" spans="1:525" s="34" customFormat="1" ht="47.25" hidden="1" customHeight="1" x14ac:dyDescent="0.25">
      <c r="A68" s="94"/>
      <c r="B68" s="68"/>
      <c r="C68" s="68"/>
      <c r="D68" s="70" t="s">
        <v>521</v>
      </c>
      <c r="E68" s="140">
        <f>E91</f>
        <v>0</v>
      </c>
      <c r="F68" s="140">
        <f t="shared" ref="F68:P68" si="21">F91</f>
        <v>0</v>
      </c>
      <c r="G68" s="140">
        <f t="shared" si="21"/>
        <v>0</v>
      </c>
      <c r="H68" s="140">
        <f t="shared" si="21"/>
        <v>0</v>
      </c>
      <c r="I68" s="140">
        <f t="shared" si="21"/>
        <v>0</v>
      </c>
      <c r="J68" s="140">
        <f t="shared" si="21"/>
        <v>0</v>
      </c>
      <c r="K68" s="140">
        <f t="shared" si="21"/>
        <v>0</v>
      </c>
      <c r="L68" s="140">
        <f t="shared" si="21"/>
        <v>0</v>
      </c>
      <c r="M68" s="140">
        <f t="shared" si="21"/>
        <v>0</v>
      </c>
      <c r="N68" s="140">
        <f t="shared" si="21"/>
        <v>0</v>
      </c>
      <c r="O68" s="140">
        <f t="shared" si="21"/>
        <v>0</v>
      </c>
      <c r="P68" s="140">
        <f t="shared" si="21"/>
        <v>0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</row>
    <row r="69" spans="1:525" s="34" customFormat="1" ht="47.25" x14ac:dyDescent="0.25">
      <c r="A69" s="94"/>
      <c r="B69" s="68"/>
      <c r="C69" s="68"/>
      <c r="D69" s="70" t="s">
        <v>379</v>
      </c>
      <c r="E69" s="140">
        <f t="shared" ref="E69:P69" si="22">E85+E103</f>
        <v>4465990</v>
      </c>
      <c r="F69" s="140">
        <f t="shared" si="22"/>
        <v>4465990</v>
      </c>
      <c r="G69" s="140">
        <f t="shared" si="22"/>
        <v>1600020</v>
      </c>
      <c r="H69" s="140">
        <f t="shared" si="22"/>
        <v>0</v>
      </c>
      <c r="I69" s="140">
        <f t="shared" si="22"/>
        <v>0</v>
      </c>
      <c r="J69" s="140">
        <f t="shared" si="22"/>
        <v>0</v>
      </c>
      <c r="K69" s="140">
        <f t="shared" si="22"/>
        <v>0</v>
      </c>
      <c r="L69" s="140">
        <f t="shared" si="22"/>
        <v>0</v>
      </c>
      <c r="M69" s="140">
        <f t="shared" si="22"/>
        <v>0</v>
      </c>
      <c r="N69" s="140">
        <f t="shared" si="22"/>
        <v>0</v>
      </c>
      <c r="O69" s="140">
        <f t="shared" si="22"/>
        <v>0</v>
      </c>
      <c r="P69" s="140">
        <f t="shared" si="22"/>
        <v>4465990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</row>
    <row r="70" spans="1:525" s="34" customFormat="1" ht="45" hidden="1" customHeight="1" x14ac:dyDescent="0.25">
      <c r="A70" s="94"/>
      <c r="B70" s="68"/>
      <c r="C70" s="68"/>
      <c r="D70" s="70" t="s">
        <v>381</v>
      </c>
      <c r="E70" s="140" t="e">
        <f>#REF!+E100</f>
        <v>#REF!</v>
      </c>
      <c r="F70" s="140" t="e">
        <f>#REF!+F100</f>
        <v>#REF!</v>
      </c>
      <c r="G70" s="140" t="e">
        <f>#REF!+G100</f>
        <v>#REF!</v>
      </c>
      <c r="H70" s="140" t="e">
        <f>#REF!+H100</f>
        <v>#REF!</v>
      </c>
      <c r="I70" s="140" t="e">
        <f>#REF!+I100</f>
        <v>#REF!</v>
      </c>
      <c r="J70" s="140" t="e">
        <f>#REF!+J100</f>
        <v>#REF!</v>
      </c>
      <c r="K70" s="140" t="e">
        <f>#REF!+K100</f>
        <v>#REF!</v>
      </c>
      <c r="L70" s="140" t="e">
        <f>#REF!+L100</f>
        <v>#REF!</v>
      </c>
      <c r="M70" s="140" t="e">
        <f>#REF!+M100</f>
        <v>#REF!</v>
      </c>
      <c r="N70" s="140" t="e">
        <f>#REF!+N100</f>
        <v>#REF!</v>
      </c>
      <c r="O70" s="140" t="e">
        <f>#REF!+O100</f>
        <v>#REF!</v>
      </c>
      <c r="P70" s="140" t="e">
        <f>#REF!+P100</f>
        <v>#REF!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</row>
    <row r="71" spans="1:525" s="34" customFormat="1" ht="63" hidden="1" customHeight="1" x14ac:dyDescent="0.25">
      <c r="A71" s="94"/>
      <c r="B71" s="68"/>
      <c r="C71" s="68"/>
      <c r="D71" s="70" t="s">
        <v>378</v>
      </c>
      <c r="E71" s="140">
        <f>E113</f>
        <v>0</v>
      </c>
      <c r="F71" s="140">
        <f t="shared" ref="F71:P71" si="23">F113</f>
        <v>0</v>
      </c>
      <c r="G71" s="140">
        <f t="shared" si="23"/>
        <v>0</v>
      </c>
      <c r="H71" s="140">
        <f t="shared" si="23"/>
        <v>0</v>
      </c>
      <c r="I71" s="140">
        <f t="shared" si="23"/>
        <v>0</v>
      </c>
      <c r="J71" s="140">
        <f t="shared" si="23"/>
        <v>0</v>
      </c>
      <c r="K71" s="140">
        <f t="shared" si="23"/>
        <v>0</v>
      </c>
      <c r="L71" s="140">
        <f t="shared" si="23"/>
        <v>0</v>
      </c>
      <c r="M71" s="140">
        <f t="shared" si="23"/>
        <v>0</v>
      </c>
      <c r="N71" s="140">
        <f t="shared" si="23"/>
        <v>0</v>
      </c>
      <c r="O71" s="140">
        <f t="shared" si="23"/>
        <v>0</v>
      </c>
      <c r="P71" s="140">
        <f t="shared" si="23"/>
        <v>0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</row>
    <row r="72" spans="1:525" s="34" customFormat="1" ht="80.25" hidden="1" customHeight="1" x14ac:dyDescent="0.25">
      <c r="A72" s="94"/>
      <c r="B72" s="123"/>
      <c r="C72" s="68"/>
      <c r="D72" s="70" t="s">
        <v>504</v>
      </c>
      <c r="E72" s="140">
        <f>E115</f>
        <v>0</v>
      </c>
      <c r="F72" s="140">
        <f t="shared" ref="F72:P72" si="24">F115</f>
        <v>0</v>
      </c>
      <c r="G72" s="140">
        <f t="shared" si="24"/>
        <v>0</v>
      </c>
      <c r="H72" s="140">
        <f t="shared" si="24"/>
        <v>0</v>
      </c>
      <c r="I72" s="140">
        <f t="shared" si="24"/>
        <v>0</v>
      </c>
      <c r="J72" s="140">
        <f t="shared" si="24"/>
        <v>0</v>
      </c>
      <c r="K72" s="140">
        <f t="shared" si="24"/>
        <v>0</v>
      </c>
      <c r="L72" s="140">
        <f t="shared" si="24"/>
        <v>0</v>
      </c>
      <c r="M72" s="140">
        <f t="shared" si="24"/>
        <v>0</v>
      </c>
      <c r="N72" s="140">
        <f t="shared" si="24"/>
        <v>0</v>
      </c>
      <c r="O72" s="140">
        <f t="shared" si="24"/>
        <v>0</v>
      </c>
      <c r="P72" s="140">
        <f t="shared" si="24"/>
        <v>0</v>
      </c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</row>
    <row r="73" spans="1:525" s="34" customFormat="1" ht="31.5" hidden="1" customHeight="1" x14ac:dyDescent="0.25">
      <c r="A73" s="94"/>
      <c r="B73" s="68"/>
      <c r="C73" s="68"/>
      <c r="D73" s="70" t="s">
        <v>518</v>
      </c>
      <c r="E73" s="140">
        <f t="shared" ref="E73:P73" si="25">E92+E94+E128</f>
        <v>0</v>
      </c>
      <c r="F73" s="140">
        <f t="shared" si="25"/>
        <v>0</v>
      </c>
      <c r="G73" s="140">
        <f t="shared" si="25"/>
        <v>0</v>
      </c>
      <c r="H73" s="140">
        <f t="shared" si="25"/>
        <v>0</v>
      </c>
      <c r="I73" s="140">
        <f t="shared" si="25"/>
        <v>0</v>
      </c>
      <c r="J73" s="140">
        <f t="shared" si="25"/>
        <v>0</v>
      </c>
      <c r="K73" s="140">
        <f t="shared" si="25"/>
        <v>0</v>
      </c>
      <c r="L73" s="140">
        <f t="shared" si="25"/>
        <v>0</v>
      </c>
      <c r="M73" s="140">
        <f t="shared" si="25"/>
        <v>0</v>
      </c>
      <c r="N73" s="140">
        <f t="shared" si="25"/>
        <v>0</v>
      </c>
      <c r="O73" s="140">
        <f t="shared" si="25"/>
        <v>0</v>
      </c>
      <c r="P73" s="140">
        <f t="shared" si="25"/>
        <v>0</v>
      </c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</row>
    <row r="74" spans="1:525" s="34" customFormat="1" ht="78.75" hidden="1" customHeight="1" x14ac:dyDescent="0.25">
      <c r="A74" s="94"/>
      <c r="B74" s="68"/>
      <c r="C74" s="68"/>
      <c r="D74" s="70" t="s">
        <v>536</v>
      </c>
      <c r="E74" s="140">
        <f>E111</f>
        <v>0</v>
      </c>
      <c r="F74" s="140">
        <f t="shared" ref="F74:P74" si="26">F111</f>
        <v>0</v>
      </c>
      <c r="G74" s="140">
        <f t="shared" si="26"/>
        <v>0</v>
      </c>
      <c r="H74" s="140">
        <f t="shared" si="26"/>
        <v>0</v>
      </c>
      <c r="I74" s="140">
        <f t="shared" si="26"/>
        <v>0</v>
      </c>
      <c r="J74" s="140">
        <f t="shared" si="26"/>
        <v>0</v>
      </c>
      <c r="K74" s="140">
        <f t="shared" si="26"/>
        <v>0</v>
      </c>
      <c r="L74" s="140">
        <f t="shared" si="26"/>
        <v>0</v>
      </c>
      <c r="M74" s="140">
        <f t="shared" si="26"/>
        <v>0</v>
      </c>
      <c r="N74" s="140">
        <f t="shared" si="26"/>
        <v>0</v>
      </c>
      <c r="O74" s="140">
        <f t="shared" si="26"/>
        <v>0</v>
      </c>
      <c r="P74" s="140">
        <f t="shared" si="26"/>
        <v>0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</row>
    <row r="75" spans="1:525" s="34" customFormat="1" ht="51.75" hidden="1" customHeight="1" x14ac:dyDescent="0.25">
      <c r="A75" s="86"/>
      <c r="B75" s="95"/>
      <c r="C75" s="96"/>
      <c r="D75" s="70" t="s">
        <v>564</v>
      </c>
      <c r="E75" s="140">
        <f>E107</f>
        <v>0</v>
      </c>
      <c r="F75" s="140">
        <f t="shared" ref="F75:P75" si="27">F107</f>
        <v>0</v>
      </c>
      <c r="G75" s="140">
        <f t="shared" si="27"/>
        <v>0</v>
      </c>
      <c r="H75" s="140">
        <f t="shared" si="27"/>
        <v>0</v>
      </c>
      <c r="I75" s="140">
        <f t="shared" si="27"/>
        <v>0</v>
      </c>
      <c r="J75" s="140">
        <f t="shared" si="27"/>
        <v>0</v>
      </c>
      <c r="K75" s="140">
        <f t="shared" si="27"/>
        <v>0</v>
      </c>
      <c r="L75" s="140">
        <f t="shared" si="27"/>
        <v>0</v>
      </c>
      <c r="M75" s="140">
        <f t="shared" si="27"/>
        <v>0</v>
      </c>
      <c r="N75" s="140">
        <f t="shared" si="27"/>
        <v>0</v>
      </c>
      <c r="O75" s="140">
        <f t="shared" si="27"/>
        <v>0</v>
      </c>
      <c r="P75" s="140">
        <f t="shared" si="27"/>
        <v>0</v>
      </c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</row>
    <row r="76" spans="1:525" s="34" customFormat="1" ht="62.25" hidden="1" customHeight="1" x14ac:dyDescent="0.25">
      <c r="A76" s="94"/>
      <c r="B76" s="68"/>
      <c r="C76" s="68"/>
      <c r="D76" s="117" t="s">
        <v>383</v>
      </c>
      <c r="E76" s="140">
        <f>E123</f>
        <v>0</v>
      </c>
      <c r="F76" s="140">
        <f t="shared" ref="F76:P76" si="28">F123</f>
        <v>0</v>
      </c>
      <c r="G76" s="140">
        <f t="shared" si="28"/>
        <v>0</v>
      </c>
      <c r="H76" s="140">
        <f t="shared" si="28"/>
        <v>0</v>
      </c>
      <c r="I76" s="140">
        <f t="shared" si="28"/>
        <v>0</v>
      </c>
      <c r="J76" s="140">
        <f t="shared" si="28"/>
        <v>0</v>
      </c>
      <c r="K76" s="140">
        <f t="shared" si="28"/>
        <v>0</v>
      </c>
      <c r="L76" s="140">
        <f t="shared" si="28"/>
        <v>0</v>
      </c>
      <c r="M76" s="140">
        <f t="shared" si="28"/>
        <v>0</v>
      </c>
      <c r="N76" s="140">
        <f t="shared" si="28"/>
        <v>0</v>
      </c>
      <c r="O76" s="140">
        <f t="shared" si="28"/>
        <v>0</v>
      </c>
      <c r="P76" s="140">
        <f t="shared" si="28"/>
        <v>0</v>
      </c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</row>
    <row r="77" spans="1:525" s="34" customFormat="1" ht="22.5" hidden="1" customHeight="1" x14ac:dyDescent="0.25">
      <c r="A77" s="94"/>
      <c r="B77" s="68"/>
      <c r="C77" s="68"/>
      <c r="D77" s="70" t="s">
        <v>390</v>
      </c>
      <c r="E77" s="140">
        <f>E109+E119+E121</f>
        <v>0</v>
      </c>
      <c r="F77" s="140">
        <f t="shared" ref="F77:P77" si="29">F109+F119+F121</f>
        <v>0</v>
      </c>
      <c r="G77" s="140">
        <f t="shared" si="29"/>
        <v>0</v>
      </c>
      <c r="H77" s="140">
        <f t="shared" si="29"/>
        <v>0</v>
      </c>
      <c r="I77" s="140">
        <f t="shared" si="29"/>
        <v>0</v>
      </c>
      <c r="J77" s="140">
        <f t="shared" si="29"/>
        <v>0</v>
      </c>
      <c r="K77" s="140">
        <f t="shared" si="29"/>
        <v>0</v>
      </c>
      <c r="L77" s="140">
        <f t="shared" si="29"/>
        <v>0</v>
      </c>
      <c r="M77" s="140">
        <f t="shared" si="29"/>
        <v>0</v>
      </c>
      <c r="N77" s="140">
        <f t="shared" si="29"/>
        <v>0</v>
      </c>
      <c r="O77" s="140">
        <f t="shared" si="29"/>
        <v>0</v>
      </c>
      <c r="P77" s="140">
        <f t="shared" si="29"/>
        <v>0</v>
      </c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</row>
    <row r="78" spans="1:525" s="22" customFormat="1" ht="45.75" customHeight="1" x14ac:dyDescent="0.25">
      <c r="A78" s="56" t="s">
        <v>164</v>
      </c>
      <c r="B78" s="84" t="str">
        <f>'дод 5'!A18</f>
        <v>0160</v>
      </c>
      <c r="C78" s="84" t="str">
        <f>'дод 5'!B18</f>
        <v>0111</v>
      </c>
      <c r="D78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78" s="141">
        <f t="shared" ref="E78:E130" si="30">F78+I78</f>
        <v>3683200</v>
      </c>
      <c r="F78" s="141">
        <f>3979800-296600</f>
        <v>3683200</v>
      </c>
      <c r="G78" s="141">
        <f>3039200-243100</f>
        <v>2796100</v>
      </c>
      <c r="H78" s="141">
        <v>80000</v>
      </c>
      <c r="I78" s="141"/>
      <c r="J78" s="141">
        <f>L78+O78</f>
        <v>0</v>
      </c>
      <c r="K78" s="141">
        <v>0</v>
      </c>
      <c r="L78" s="141"/>
      <c r="M78" s="141"/>
      <c r="N78" s="141"/>
      <c r="O78" s="141">
        <v>0</v>
      </c>
      <c r="P78" s="141">
        <f t="shared" ref="P78:P130" si="31">E78+J78</f>
        <v>3683200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</row>
    <row r="79" spans="1:525" s="22" customFormat="1" ht="21.75" customHeight="1" x14ac:dyDescent="0.25">
      <c r="A79" s="56" t="s">
        <v>165</v>
      </c>
      <c r="B79" s="84" t="str">
        <f>'дод 5'!A35</f>
        <v>1010</v>
      </c>
      <c r="C79" s="84" t="str">
        <f>'дод 5'!B35</f>
        <v>0910</v>
      </c>
      <c r="D79" s="57" t="str">
        <f>'дод 5'!C35</f>
        <v>Надання дошкільної освіти</v>
      </c>
      <c r="E79" s="141">
        <f t="shared" si="30"/>
        <v>359431200</v>
      </c>
      <c r="F79" s="141">
        <f>358226300-1199300+819200+720000+165000+700000</f>
        <v>359431200</v>
      </c>
      <c r="G79" s="141">
        <f>227266400+672200</f>
        <v>227938600</v>
      </c>
      <c r="H79" s="141">
        <f>54382900-1199300</f>
        <v>53183600</v>
      </c>
      <c r="I79" s="141"/>
      <c r="J79" s="141">
        <f>L79+O79</f>
        <v>29806100</v>
      </c>
      <c r="K79" s="141">
        <f>7717769+5115036-4915036+80000-1918400-454283-1845086</f>
        <v>3780000</v>
      </c>
      <c r="L79" s="141">
        <v>26026100</v>
      </c>
      <c r="M79" s="141"/>
      <c r="N79" s="141"/>
      <c r="O79" s="141">
        <f>7717769+5115036-4915036+80000-1918400-454283-1845086</f>
        <v>3780000</v>
      </c>
      <c r="P79" s="141">
        <f t="shared" si="31"/>
        <v>389237300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</row>
    <row r="80" spans="1:525" s="22" customFormat="1" ht="37.5" customHeight="1" x14ac:dyDescent="0.25">
      <c r="A80" s="56" t="s">
        <v>454</v>
      </c>
      <c r="B80" s="56">
        <f>'дод 5'!A37</f>
        <v>1021</v>
      </c>
      <c r="C80" s="84" t="str">
        <f>'дод 5'!B37</f>
        <v>0921</v>
      </c>
      <c r="D80" s="57" t="str">
        <f>'дод 5'!C37</f>
        <v>Надання загальної середньої освіти закладами загальної середньої освіти</v>
      </c>
      <c r="E80" s="141">
        <f t="shared" si="30"/>
        <v>262316300</v>
      </c>
      <c r="F80" s="141">
        <f>260738300-1664900+2182900-120000+650000-120000+120000+80000+450000</f>
        <v>262316300</v>
      </c>
      <c r="G80" s="141">
        <f>123498700+1789300+82000</f>
        <v>125370000</v>
      </c>
      <c r="H80" s="141">
        <f>73552100-1664900-120000</f>
        <v>71767200</v>
      </c>
      <c r="I80" s="141"/>
      <c r="J80" s="141">
        <f t="shared" ref="J80:J130" si="32">L80+O80</f>
        <v>66742060</v>
      </c>
      <c r="K80" s="141">
        <f>12824767+200000-427846+4080000+680000+70000-6050000-2200000-796921+892240</f>
        <v>9272240</v>
      </c>
      <c r="L80" s="141">
        <v>57469820</v>
      </c>
      <c r="M80" s="141">
        <v>3254108</v>
      </c>
      <c r="N80" s="141">
        <v>349209</v>
      </c>
      <c r="O80" s="141">
        <f>12824767+200000-427846+4080000+680000+70000-6050000-2200000-796921+892240</f>
        <v>9272240</v>
      </c>
      <c r="P80" s="141">
        <f t="shared" si="31"/>
        <v>329058360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</row>
    <row r="81" spans="1:525" s="22" customFormat="1" ht="63" x14ac:dyDescent="0.25">
      <c r="A81" s="56" t="s">
        <v>456</v>
      </c>
      <c r="B81" s="84">
        <v>1022</v>
      </c>
      <c r="C81" s="56" t="s">
        <v>54</v>
      </c>
      <c r="D81" s="36" t="str">
        <f>'дод 5'!C44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81" s="141">
        <f t="shared" si="30"/>
        <v>17867500</v>
      </c>
      <c r="F81" s="141">
        <f>17764300+103200</f>
        <v>17867500</v>
      </c>
      <c r="G81" s="141">
        <f>9714400+84600</f>
        <v>9799000</v>
      </c>
      <c r="H81" s="141">
        <v>3121200</v>
      </c>
      <c r="I81" s="141"/>
      <c r="J81" s="141">
        <f t="shared" si="32"/>
        <v>507760</v>
      </c>
      <c r="K81" s="141">
        <f>1131600+100000-831600+107760</f>
        <v>507760</v>
      </c>
      <c r="L81" s="141"/>
      <c r="M81" s="141"/>
      <c r="N81" s="141"/>
      <c r="O81" s="141">
        <f>1131600+100000-831600+107760</f>
        <v>507760</v>
      </c>
      <c r="P81" s="141">
        <f t="shared" si="31"/>
        <v>18375260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</row>
    <row r="82" spans="1:525" s="22" customFormat="1" ht="68.25" customHeight="1" x14ac:dyDescent="0.25">
      <c r="A82" s="56" t="s">
        <v>559</v>
      </c>
      <c r="B82" s="84">
        <v>1025</v>
      </c>
      <c r="C82" s="56" t="s">
        <v>54</v>
      </c>
      <c r="D82" s="36" t="str">
        <f>'дод 5'!C46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v>
      </c>
      <c r="E82" s="141">
        <f t="shared" si="30"/>
        <v>12183400</v>
      </c>
      <c r="F82" s="141">
        <f>12008200+55200+120000</f>
        <v>12183400</v>
      </c>
      <c r="G82" s="141">
        <f>8024400+45300</f>
        <v>8069700</v>
      </c>
      <c r="H82" s="141">
        <v>1445800</v>
      </c>
      <c r="I82" s="141"/>
      <c r="J82" s="141">
        <f t="shared" si="32"/>
        <v>200000</v>
      </c>
      <c r="K82" s="141">
        <f>100000+100000</f>
        <v>200000</v>
      </c>
      <c r="L82" s="141"/>
      <c r="M82" s="141"/>
      <c r="N82" s="141"/>
      <c r="O82" s="141">
        <v>200000</v>
      </c>
      <c r="P82" s="141">
        <f t="shared" si="31"/>
        <v>12383400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</row>
    <row r="83" spans="1:525" s="22" customFormat="1" ht="31.5" x14ac:dyDescent="0.25">
      <c r="A83" s="56" t="s">
        <v>458</v>
      </c>
      <c r="B83" s="84">
        <v>1031</v>
      </c>
      <c r="C83" s="56" t="s">
        <v>50</v>
      </c>
      <c r="D83" s="57" t="str">
        <f>'дод 5'!C47</f>
        <v xml:space="preserve">Надання загальної середньої освіти закладами загальної середньої освіти, у т.ч. за рахунок: </v>
      </c>
      <c r="E83" s="141">
        <f t="shared" si="30"/>
        <v>530977270</v>
      </c>
      <c r="F83" s="141">
        <f>528463300+2513970</f>
        <v>530977270</v>
      </c>
      <c r="G83" s="141">
        <v>433878000</v>
      </c>
      <c r="H83" s="141"/>
      <c r="I83" s="141"/>
      <c r="J83" s="141">
        <f t="shared" si="32"/>
        <v>0</v>
      </c>
      <c r="K83" s="141"/>
      <c r="L83" s="141"/>
      <c r="M83" s="141"/>
      <c r="N83" s="141"/>
      <c r="O83" s="141"/>
      <c r="P83" s="141">
        <f t="shared" si="31"/>
        <v>530977270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</row>
    <row r="84" spans="1:525" s="24" customFormat="1" ht="31.5" x14ac:dyDescent="0.25">
      <c r="A84" s="76"/>
      <c r="B84" s="97"/>
      <c r="C84" s="97"/>
      <c r="D84" s="79" t="s">
        <v>384</v>
      </c>
      <c r="E84" s="142">
        <f t="shared" si="30"/>
        <v>528463300</v>
      </c>
      <c r="F84" s="142">
        <v>528463300</v>
      </c>
      <c r="G84" s="142">
        <v>433878000</v>
      </c>
      <c r="H84" s="142"/>
      <c r="I84" s="142"/>
      <c r="J84" s="142">
        <f t="shared" si="32"/>
        <v>0</v>
      </c>
      <c r="K84" s="142"/>
      <c r="L84" s="142"/>
      <c r="M84" s="142"/>
      <c r="N84" s="142"/>
      <c r="O84" s="142"/>
      <c r="P84" s="142">
        <f t="shared" si="31"/>
        <v>528463300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</row>
    <row r="85" spans="1:525" s="24" customFormat="1" ht="47.25" x14ac:dyDescent="0.25">
      <c r="A85" s="76"/>
      <c r="B85" s="97"/>
      <c r="C85" s="97"/>
      <c r="D85" s="79" t="s">
        <v>379</v>
      </c>
      <c r="E85" s="142">
        <f t="shared" si="30"/>
        <v>2513970</v>
      </c>
      <c r="F85" s="142">
        <v>2513970</v>
      </c>
      <c r="G85" s="142"/>
      <c r="H85" s="142"/>
      <c r="I85" s="142"/>
      <c r="J85" s="142">
        <f t="shared" si="32"/>
        <v>0</v>
      </c>
      <c r="K85" s="142"/>
      <c r="L85" s="142"/>
      <c r="M85" s="142"/>
      <c r="N85" s="142"/>
      <c r="O85" s="142"/>
      <c r="P85" s="142">
        <f t="shared" si="31"/>
        <v>2513970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</row>
    <row r="86" spans="1:525" s="22" customFormat="1" ht="65.25" customHeight="1" x14ac:dyDescent="0.25">
      <c r="A86" s="56" t="s">
        <v>459</v>
      </c>
      <c r="B86" s="56" t="s">
        <v>460</v>
      </c>
      <c r="C86" s="56" t="s">
        <v>54</v>
      </c>
      <c r="D86" s="57" t="str">
        <f>'дод 5'!C50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v>
      </c>
      <c r="E86" s="141">
        <f t="shared" si="30"/>
        <v>17946200</v>
      </c>
      <c r="F86" s="141">
        <v>17946200</v>
      </c>
      <c r="G86" s="141">
        <v>14710000</v>
      </c>
      <c r="H86" s="141"/>
      <c r="I86" s="141"/>
      <c r="J86" s="141">
        <f t="shared" si="32"/>
        <v>0</v>
      </c>
      <c r="K86" s="141"/>
      <c r="L86" s="141"/>
      <c r="M86" s="141"/>
      <c r="N86" s="141"/>
      <c r="O86" s="141"/>
      <c r="P86" s="141">
        <f t="shared" si="31"/>
        <v>17946200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</row>
    <row r="87" spans="1:525" s="24" customFormat="1" ht="31.5" x14ac:dyDescent="0.25">
      <c r="A87" s="76"/>
      <c r="B87" s="97"/>
      <c r="C87" s="97"/>
      <c r="D87" s="79" t="s">
        <v>384</v>
      </c>
      <c r="E87" s="142">
        <f t="shared" ref="E87:E93" si="33">F87+I87</f>
        <v>17946200</v>
      </c>
      <c r="F87" s="142">
        <v>17946200</v>
      </c>
      <c r="G87" s="142">
        <v>14710000</v>
      </c>
      <c r="H87" s="142"/>
      <c r="I87" s="142"/>
      <c r="J87" s="142">
        <f t="shared" ref="J87:J89" si="34">L87+O87</f>
        <v>0</v>
      </c>
      <c r="K87" s="142"/>
      <c r="L87" s="142"/>
      <c r="M87" s="142"/>
      <c r="N87" s="142"/>
      <c r="O87" s="142"/>
      <c r="P87" s="142">
        <f t="shared" ref="P87:P89" si="35">E87+J87</f>
        <v>17946200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</row>
    <row r="88" spans="1:525" s="22" customFormat="1" ht="69" customHeight="1" x14ac:dyDescent="0.25">
      <c r="A88" s="56" t="s">
        <v>561</v>
      </c>
      <c r="B88" s="84">
        <v>1035</v>
      </c>
      <c r="C88" s="56" t="s">
        <v>54</v>
      </c>
      <c r="D88" s="36" t="str">
        <f>'дод 5'!C52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v>
      </c>
      <c r="E88" s="141">
        <f t="shared" si="30"/>
        <v>1301700</v>
      </c>
      <c r="F88" s="141">
        <v>1301700</v>
      </c>
      <c r="G88" s="141">
        <v>1067000</v>
      </c>
      <c r="H88" s="141"/>
      <c r="I88" s="141"/>
      <c r="J88" s="141">
        <f t="shared" si="32"/>
        <v>0</v>
      </c>
      <c r="K88" s="141"/>
      <c r="L88" s="141"/>
      <c r="M88" s="141"/>
      <c r="N88" s="141"/>
      <c r="O88" s="141"/>
      <c r="P88" s="141">
        <f t="shared" si="31"/>
        <v>1301700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</row>
    <row r="89" spans="1:525" s="24" customFormat="1" ht="31.5" x14ac:dyDescent="0.25">
      <c r="A89" s="76"/>
      <c r="B89" s="97"/>
      <c r="C89" s="76"/>
      <c r="D89" s="79" t="s">
        <v>384</v>
      </c>
      <c r="E89" s="142">
        <f t="shared" si="33"/>
        <v>1301700</v>
      </c>
      <c r="F89" s="142">
        <v>1301700</v>
      </c>
      <c r="G89" s="142">
        <v>1067000</v>
      </c>
      <c r="H89" s="142"/>
      <c r="I89" s="142"/>
      <c r="J89" s="142">
        <f t="shared" si="34"/>
        <v>0</v>
      </c>
      <c r="K89" s="142"/>
      <c r="L89" s="142"/>
      <c r="M89" s="142"/>
      <c r="N89" s="142"/>
      <c r="O89" s="142"/>
      <c r="P89" s="142">
        <f t="shared" si="35"/>
        <v>1301700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</row>
    <row r="90" spans="1:525" s="24" customFormat="1" ht="31.5" hidden="1" customHeight="1" x14ac:dyDescent="0.25">
      <c r="A90" s="56" t="s">
        <v>509</v>
      </c>
      <c r="B90" s="84">
        <v>1061</v>
      </c>
      <c r="C90" s="56" t="s">
        <v>50</v>
      </c>
      <c r="D90" s="36" t="s">
        <v>487</v>
      </c>
      <c r="E90" s="141">
        <f t="shared" si="33"/>
        <v>0</v>
      </c>
      <c r="F90" s="141"/>
      <c r="G90" s="142"/>
      <c r="H90" s="142"/>
      <c r="I90" s="142"/>
      <c r="J90" s="141">
        <f t="shared" si="32"/>
        <v>0</v>
      </c>
      <c r="K90" s="141"/>
      <c r="L90" s="141"/>
      <c r="M90" s="141"/>
      <c r="N90" s="141"/>
      <c r="O90" s="141"/>
      <c r="P90" s="141">
        <f t="shared" si="31"/>
        <v>0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</row>
    <row r="91" spans="1:525" s="24" customFormat="1" ht="46.5" hidden="1" customHeight="1" x14ac:dyDescent="0.25">
      <c r="A91" s="76"/>
      <c r="B91" s="97"/>
      <c r="C91" s="76"/>
      <c r="D91" s="79" t="s">
        <v>521</v>
      </c>
      <c r="E91" s="142">
        <f>F91+I91</f>
        <v>0</v>
      </c>
      <c r="F91" s="142"/>
      <c r="G91" s="142"/>
      <c r="H91" s="142"/>
      <c r="I91" s="142"/>
      <c r="J91" s="142">
        <f>L91+O91</f>
        <v>0</v>
      </c>
      <c r="K91" s="142"/>
      <c r="L91" s="142"/>
      <c r="M91" s="142"/>
      <c r="N91" s="142"/>
      <c r="O91" s="142"/>
      <c r="P91" s="142">
        <f t="shared" si="31"/>
        <v>0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</row>
    <row r="92" spans="1:525" s="24" customFormat="1" ht="31.5" hidden="1" customHeight="1" x14ac:dyDescent="0.25">
      <c r="A92" s="76"/>
      <c r="B92" s="97"/>
      <c r="C92" s="76"/>
      <c r="D92" s="79" t="s">
        <v>518</v>
      </c>
      <c r="E92" s="142">
        <f t="shared" ref="E92:E94" si="36">F92+I92</f>
        <v>0</v>
      </c>
      <c r="F92" s="142"/>
      <c r="G92" s="142"/>
      <c r="H92" s="142"/>
      <c r="I92" s="142"/>
      <c r="J92" s="142">
        <f t="shared" ref="J92" si="37">L92+O92</f>
        <v>0</v>
      </c>
      <c r="K92" s="142"/>
      <c r="L92" s="142"/>
      <c r="M92" s="142"/>
      <c r="N92" s="142"/>
      <c r="O92" s="142"/>
      <c r="P92" s="142">
        <f t="shared" si="31"/>
        <v>0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</row>
    <row r="93" spans="1:525" s="24" customFormat="1" ht="63" hidden="1" customHeight="1" x14ac:dyDescent="0.25">
      <c r="A93" s="56" t="s">
        <v>513</v>
      </c>
      <c r="B93" s="84">
        <v>1062</v>
      </c>
      <c r="C93" s="56" t="s">
        <v>54</v>
      </c>
      <c r="D93" s="57" t="s">
        <v>488</v>
      </c>
      <c r="E93" s="141">
        <f t="shared" si="33"/>
        <v>0</v>
      </c>
      <c r="F93" s="141"/>
      <c r="G93" s="142"/>
      <c r="H93" s="142"/>
      <c r="I93" s="142"/>
      <c r="J93" s="141">
        <f>L93+O93</f>
        <v>0</v>
      </c>
      <c r="K93" s="142"/>
      <c r="L93" s="142"/>
      <c r="M93" s="142"/>
      <c r="N93" s="142"/>
      <c r="O93" s="142"/>
      <c r="P93" s="141">
        <f t="shared" si="31"/>
        <v>0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</row>
    <row r="94" spans="1:525" s="24" customFormat="1" ht="31.5" hidden="1" customHeight="1" x14ac:dyDescent="0.25">
      <c r="A94" s="76"/>
      <c r="B94" s="97"/>
      <c r="C94" s="76"/>
      <c r="D94" s="79" t="s">
        <v>518</v>
      </c>
      <c r="E94" s="142">
        <f t="shared" si="36"/>
        <v>0</v>
      </c>
      <c r="F94" s="142"/>
      <c r="G94" s="142"/>
      <c r="H94" s="142"/>
      <c r="I94" s="142"/>
      <c r="J94" s="142">
        <f>L94+O94</f>
        <v>0</v>
      </c>
      <c r="K94" s="142"/>
      <c r="L94" s="142"/>
      <c r="M94" s="142"/>
      <c r="N94" s="142"/>
      <c r="O94" s="142"/>
      <c r="P94" s="142">
        <f t="shared" si="31"/>
        <v>0</v>
      </c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</row>
    <row r="95" spans="1:525" s="22" customFormat="1" ht="47.25" x14ac:dyDescent="0.25">
      <c r="A95" s="56" t="s">
        <v>461</v>
      </c>
      <c r="B95" s="56" t="s">
        <v>53</v>
      </c>
      <c r="C95" s="56" t="s">
        <v>56</v>
      </c>
      <c r="D95" s="57" t="str">
        <f>'дод 5'!C59</f>
        <v>Надання позашкільної освіти закладами позашкільної освіти, заходи із позашкільної роботи з дітьми</v>
      </c>
      <c r="E95" s="141">
        <f t="shared" si="30"/>
        <v>43917700</v>
      </c>
      <c r="F95" s="141">
        <f>43546200+7300+364200</f>
        <v>43917700</v>
      </c>
      <c r="G95" s="141">
        <f>30072000+6000+157200</f>
        <v>30235200</v>
      </c>
      <c r="H95" s="141">
        <v>5804900</v>
      </c>
      <c r="I95" s="141"/>
      <c r="J95" s="141">
        <f t="shared" si="32"/>
        <v>400000</v>
      </c>
      <c r="K95" s="141">
        <f>731964-331964</f>
        <v>400000</v>
      </c>
      <c r="L95" s="141"/>
      <c r="M95" s="141"/>
      <c r="N95" s="141"/>
      <c r="O95" s="141">
        <f>731964-331964</f>
        <v>400000</v>
      </c>
      <c r="P95" s="141">
        <f t="shared" si="31"/>
        <v>44317700</v>
      </c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</row>
    <row r="96" spans="1:525" s="22" customFormat="1" ht="47.25" x14ac:dyDescent="0.25">
      <c r="A96" s="56" t="s">
        <v>601</v>
      </c>
      <c r="B96" s="84">
        <v>1091</v>
      </c>
      <c r="C96" s="56" t="s">
        <v>602</v>
      </c>
      <c r="D96" s="36" t="str">
        <f>'дод 5'!C61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6" s="141">
        <f t="shared" si="30"/>
        <v>149164200</v>
      </c>
      <c r="F96" s="141">
        <f>146300000+2864200</f>
        <v>149164200</v>
      </c>
      <c r="G96" s="141">
        <v>78676200</v>
      </c>
      <c r="H96" s="141">
        <v>20084950</v>
      </c>
      <c r="I96" s="141"/>
      <c r="J96" s="141">
        <f t="shared" si="32"/>
        <v>10665879</v>
      </c>
      <c r="K96" s="141"/>
      <c r="L96" s="141">
        <v>10583189</v>
      </c>
      <c r="M96" s="141">
        <v>2780588</v>
      </c>
      <c r="N96" s="141">
        <v>4889684</v>
      </c>
      <c r="O96" s="141">
        <v>82690</v>
      </c>
      <c r="P96" s="141">
        <f t="shared" si="31"/>
        <v>159830079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</row>
    <row r="97" spans="1:525" s="22" customFormat="1" ht="63" x14ac:dyDescent="0.25">
      <c r="A97" s="56" t="s">
        <v>604</v>
      </c>
      <c r="B97" s="84">
        <v>1092</v>
      </c>
      <c r="C97" s="56" t="s">
        <v>602</v>
      </c>
      <c r="D97" s="36" t="str">
        <f>'дод 5'!C62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97" s="141">
        <f t="shared" si="30"/>
        <v>24077400</v>
      </c>
      <c r="F97" s="141">
        <v>24077400</v>
      </c>
      <c r="G97" s="141">
        <v>19735600</v>
      </c>
      <c r="H97" s="141"/>
      <c r="I97" s="141"/>
      <c r="J97" s="141">
        <f t="shared" si="32"/>
        <v>0</v>
      </c>
      <c r="K97" s="141"/>
      <c r="L97" s="141"/>
      <c r="M97" s="141"/>
      <c r="N97" s="141"/>
      <c r="O97" s="141"/>
      <c r="P97" s="141">
        <f t="shared" si="31"/>
        <v>24077400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</row>
    <row r="98" spans="1:525" s="24" customFormat="1" ht="31.5" x14ac:dyDescent="0.25">
      <c r="A98" s="76"/>
      <c r="B98" s="97"/>
      <c r="C98" s="76"/>
      <c r="D98" s="79" t="s">
        <v>384</v>
      </c>
      <c r="E98" s="142">
        <f t="shared" si="30"/>
        <v>24077400</v>
      </c>
      <c r="F98" s="142">
        <v>24077400</v>
      </c>
      <c r="G98" s="142">
        <v>19735600</v>
      </c>
      <c r="H98" s="142"/>
      <c r="I98" s="142"/>
      <c r="J98" s="142">
        <f t="shared" si="32"/>
        <v>0</v>
      </c>
      <c r="K98" s="142"/>
      <c r="L98" s="142"/>
      <c r="M98" s="142"/>
      <c r="N98" s="142"/>
      <c r="O98" s="142"/>
      <c r="P98" s="142">
        <f t="shared" si="31"/>
        <v>24077400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</row>
    <row r="99" spans="1:525" s="22" customFormat="1" ht="31.5" x14ac:dyDescent="0.25">
      <c r="A99" s="56" t="s">
        <v>462</v>
      </c>
      <c r="B99" s="56" t="s">
        <v>463</v>
      </c>
      <c r="C99" s="56" t="s">
        <v>57</v>
      </c>
      <c r="D99" s="36" t="str">
        <f>'дод 5'!C64</f>
        <v>Забезпечення діяльності інших закладів у сфері освіти</v>
      </c>
      <c r="E99" s="141">
        <f t="shared" si="30"/>
        <v>13057600</v>
      </c>
      <c r="F99" s="141">
        <v>13057600</v>
      </c>
      <c r="G99" s="141">
        <v>9323800</v>
      </c>
      <c r="H99" s="141">
        <v>1054400</v>
      </c>
      <c r="I99" s="141"/>
      <c r="J99" s="141">
        <f t="shared" si="32"/>
        <v>100000</v>
      </c>
      <c r="K99" s="141">
        <v>100000</v>
      </c>
      <c r="L99" s="141"/>
      <c r="M99" s="141"/>
      <c r="N99" s="141"/>
      <c r="O99" s="141">
        <v>100000</v>
      </c>
      <c r="P99" s="141">
        <f t="shared" si="31"/>
        <v>13157600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  <c r="SQ99" s="23"/>
      <c r="SR99" s="23"/>
      <c r="SS99" s="23"/>
      <c r="ST99" s="23"/>
      <c r="SU99" s="23"/>
      <c r="SV99" s="23"/>
      <c r="SW99" s="23"/>
      <c r="SX99" s="23"/>
      <c r="SY99" s="23"/>
      <c r="SZ99" s="23"/>
      <c r="TA99" s="23"/>
      <c r="TB99" s="23"/>
      <c r="TC99" s="23"/>
      <c r="TD99" s="23"/>
      <c r="TE99" s="23"/>
    </row>
    <row r="100" spans="1:525" s="22" customFormat="1" ht="18" customHeight="1" x14ac:dyDescent="0.25">
      <c r="A100" s="56" t="s">
        <v>464</v>
      </c>
      <c r="B100" s="56" t="s">
        <v>465</v>
      </c>
      <c r="C100" s="56" t="s">
        <v>57</v>
      </c>
      <c r="D100" s="36" t="str">
        <f>'дод 5'!C65</f>
        <v>Інші програми та заходи у сфері освіти</v>
      </c>
      <c r="E100" s="141">
        <f t="shared" si="30"/>
        <v>1124100</v>
      </c>
      <c r="F100" s="141">
        <v>1124100</v>
      </c>
      <c r="G100" s="141"/>
      <c r="H100" s="141"/>
      <c r="I100" s="141"/>
      <c r="J100" s="141">
        <f t="shared" ref="J100" si="38">L100+O100</f>
        <v>0</v>
      </c>
      <c r="K100" s="141"/>
      <c r="L100" s="141"/>
      <c r="M100" s="141"/>
      <c r="N100" s="141"/>
      <c r="O100" s="141"/>
      <c r="P100" s="141">
        <f t="shared" ref="P100" si="39">E100+J100</f>
        <v>1124100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</row>
    <row r="101" spans="1:525" s="22" customFormat="1" ht="31.5" x14ac:dyDescent="0.25">
      <c r="A101" s="56" t="s">
        <v>466</v>
      </c>
      <c r="B101" s="56" t="s">
        <v>467</v>
      </c>
      <c r="C101" s="56" t="s">
        <v>57</v>
      </c>
      <c r="D101" s="57" t="str">
        <f>'дод 5'!C66</f>
        <v>Забезпечення діяльності інклюзивно-ресурсних центрів за рахунок коштів місцевого бюджету</v>
      </c>
      <c r="E101" s="141">
        <f t="shared" si="30"/>
        <v>556800</v>
      </c>
      <c r="F101" s="141">
        <v>556800</v>
      </c>
      <c r="G101" s="141">
        <v>312400</v>
      </c>
      <c r="H101" s="141">
        <v>118400</v>
      </c>
      <c r="I101" s="141"/>
      <c r="J101" s="141">
        <f t="shared" si="32"/>
        <v>0</v>
      </c>
      <c r="K101" s="141"/>
      <c r="L101" s="141"/>
      <c r="M101" s="141"/>
      <c r="N101" s="141"/>
      <c r="O101" s="141"/>
      <c r="P101" s="141">
        <f t="shared" si="31"/>
        <v>556800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</row>
    <row r="102" spans="1:525" s="22" customFormat="1" ht="45.75" customHeight="1" x14ac:dyDescent="0.25">
      <c r="A102" s="56" t="s">
        <v>469</v>
      </c>
      <c r="B102" s="56" t="s">
        <v>470</v>
      </c>
      <c r="C102" s="56" t="str">
        <f>'дод 5'!B66</f>
        <v>0990</v>
      </c>
      <c r="D102" s="57" t="str">
        <f>'дод 5'!C67</f>
        <v>Забезпечення діяльності інклюзивно-ресурсних центрів за рахунок освітньої субвенції, у т.ч. за рахунок:</v>
      </c>
      <c r="E102" s="141">
        <f t="shared" si="30"/>
        <v>1952020</v>
      </c>
      <c r="F102" s="141">
        <v>1952020</v>
      </c>
      <c r="G102" s="141">
        <v>1600020</v>
      </c>
      <c r="H102" s="141"/>
      <c r="I102" s="141"/>
      <c r="J102" s="141">
        <f t="shared" si="32"/>
        <v>0</v>
      </c>
      <c r="K102" s="141"/>
      <c r="L102" s="141"/>
      <c r="M102" s="141"/>
      <c r="N102" s="141"/>
      <c r="O102" s="141"/>
      <c r="P102" s="141">
        <f t="shared" si="31"/>
        <v>1952020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</row>
    <row r="103" spans="1:525" s="24" customFormat="1" ht="45.75" customHeight="1" x14ac:dyDescent="0.25">
      <c r="A103" s="76"/>
      <c r="B103" s="76"/>
      <c r="C103" s="76"/>
      <c r="D103" s="79" t="s">
        <v>379</v>
      </c>
      <c r="E103" s="142">
        <f t="shared" si="30"/>
        <v>1952020</v>
      </c>
      <c r="F103" s="142">
        <v>1952020</v>
      </c>
      <c r="G103" s="142">
        <v>1600020</v>
      </c>
      <c r="H103" s="142"/>
      <c r="I103" s="142"/>
      <c r="J103" s="142">
        <f t="shared" si="32"/>
        <v>0</v>
      </c>
      <c r="K103" s="142"/>
      <c r="L103" s="142"/>
      <c r="M103" s="142"/>
      <c r="N103" s="142"/>
      <c r="O103" s="142"/>
      <c r="P103" s="142">
        <f t="shared" si="31"/>
        <v>1952020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</row>
    <row r="104" spans="1:525" s="22" customFormat="1" ht="36" customHeight="1" x14ac:dyDescent="0.25">
      <c r="A104" s="56" t="s">
        <v>471</v>
      </c>
      <c r="B104" s="56" t="s">
        <v>472</v>
      </c>
      <c r="C104" s="56" t="str">
        <f>'дод 5'!B67</f>
        <v>0990</v>
      </c>
      <c r="D104" s="57" t="str">
        <f>'дод 5'!C69</f>
        <v>Забезпечення діяльності центрів професійного розвитку педагогічних працівників</v>
      </c>
      <c r="E104" s="141">
        <f t="shared" si="30"/>
        <v>3137600</v>
      </c>
      <c r="F104" s="141">
        <f>3017600+120000</f>
        <v>3137600</v>
      </c>
      <c r="G104" s="141">
        <v>2115300</v>
      </c>
      <c r="H104" s="141">
        <f>258300+120000</f>
        <v>378300</v>
      </c>
      <c r="I104" s="141"/>
      <c r="J104" s="141">
        <f t="shared" si="32"/>
        <v>0</v>
      </c>
      <c r="K104" s="141"/>
      <c r="L104" s="141"/>
      <c r="M104" s="141"/>
      <c r="N104" s="141"/>
      <c r="O104" s="141"/>
      <c r="P104" s="141">
        <f t="shared" si="31"/>
        <v>3137600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</row>
    <row r="105" spans="1:525" s="22" customFormat="1" ht="66" customHeight="1" x14ac:dyDescent="0.25">
      <c r="A105" s="56" t="s">
        <v>542</v>
      </c>
      <c r="B105" s="56" t="s">
        <v>543</v>
      </c>
      <c r="C105" s="56" t="s">
        <v>57</v>
      </c>
      <c r="D105" s="57" t="str">
        <f>'дод 5'!C70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5" s="141">
        <f t="shared" si="30"/>
        <v>0</v>
      </c>
      <c r="F105" s="141"/>
      <c r="G105" s="141"/>
      <c r="H105" s="141"/>
      <c r="I105" s="141"/>
      <c r="J105" s="141">
        <f t="shared" si="32"/>
        <v>2000000</v>
      </c>
      <c r="K105" s="141">
        <v>2000000</v>
      </c>
      <c r="L105" s="141"/>
      <c r="M105" s="141"/>
      <c r="N105" s="141"/>
      <c r="O105" s="141">
        <v>2000000</v>
      </c>
      <c r="P105" s="141">
        <f t="shared" si="31"/>
        <v>2000000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</row>
    <row r="106" spans="1:525" s="22" customFormat="1" ht="63" hidden="1" customHeight="1" x14ac:dyDescent="0.25">
      <c r="A106" s="56" t="s">
        <v>532</v>
      </c>
      <c r="B106" s="56" t="s">
        <v>534</v>
      </c>
      <c r="C106" s="56" t="s">
        <v>57</v>
      </c>
      <c r="D106" s="57" t="s">
        <v>572</v>
      </c>
      <c r="E106" s="141">
        <f t="shared" si="30"/>
        <v>0</v>
      </c>
      <c r="F106" s="141"/>
      <c r="G106" s="141"/>
      <c r="H106" s="141"/>
      <c r="I106" s="141"/>
      <c r="J106" s="141">
        <f t="shared" si="32"/>
        <v>0</v>
      </c>
      <c r="K106" s="141"/>
      <c r="L106" s="141"/>
      <c r="M106" s="141"/>
      <c r="N106" s="141"/>
      <c r="O106" s="141"/>
      <c r="P106" s="141">
        <f t="shared" si="31"/>
        <v>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</row>
    <row r="107" spans="1:525" s="24" customFormat="1" ht="52.5" hidden="1" customHeight="1" x14ac:dyDescent="0.25">
      <c r="A107" s="76"/>
      <c r="B107" s="76"/>
      <c r="C107" s="76"/>
      <c r="D107" s="79" t="s">
        <v>564</v>
      </c>
      <c r="E107" s="142">
        <f t="shared" si="30"/>
        <v>0</v>
      </c>
      <c r="F107" s="142"/>
      <c r="G107" s="142"/>
      <c r="H107" s="142"/>
      <c r="I107" s="142"/>
      <c r="J107" s="142">
        <f t="shared" si="32"/>
        <v>0</v>
      </c>
      <c r="K107" s="142"/>
      <c r="L107" s="142"/>
      <c r="M107" s="142"/>
      <c r="N107" s="142"/>
      <c r="O107" s="142"/>
      <c r="P107" s="142">
        <f t="shared" si="31"/>
        <v>0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</row>
    <row r="108" spans="1:525" s="22" customFormat="1" ht="78.75" x14ac:dyDescent="0.25">
      <c r="A108" s="56" t="s">
        <v>544</v>
      </c>
      <c r="B108" s="56" t="s">
        <v>545</v>
      </c>
      <c r="C108" s="56" t="s">
        <v>57</v>
      </c>
      <c r="D108" s="57" t="str">
        <f>'дод 5'!C73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08" s="141">
        <f t="shared" si="30"/>
        <v>3000000</v>
      </c>
      <c r="F108" s="141">
        <v>3000000</v>
      </c>
      <c r="G108" s="141"/>
      <c r="H108" s="141"/>
      <c r="I108" s="141"/>
      <c r="J108" s="141">
        <f t="shared" si="32"/>
        <v>0</v>
      </c>
      <c r="K108" s="141"/>
      <c r="L108" s="141"/>
      <c r="M108" s="141"/>
      <c r="N108" s="141"/>
      <c r="O108" s="141"/>
      <c r="P108" s="141">
        <f t="shared" si="31"/>
        <v>3000000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</row>
    <row r="109" spans="1:525" s="22" customFormat="1" ht="15.75" hidden="1" customHeight="1" x14ac:dyDescent="0.25">
      <c r="A109" s="56"/>
      <c r="B109" s="56"/>
      <c r="C109" s="56"/>
      <c r="D109" s="79" t="s">
        <v>390</v>
      </c>
      <c r="E109" s="142">
        <f t="shared" si="30"/>
        <v>0</v>
      </c>
      <c r="F109" s="142"/>
      <c r="G109" s="141"/>
      <c r="H109" s="141"/>
      <c r="I109" s="141"/>
      <c r="J109" s="142">
        <f t="shared" si="32"/>
        <v>0</v>
      </c>
      <c r="K109" s="141"/>
      <c r="L109" s="141"/>
      <c r="M109" s="141"/>
      <c r="N109" s="141"/>
      <c r="O109" s="141"/>
      <c r="P109" s="142">
        <f t="shared" si="31"/>
        <v>0</v>
      </c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  <c r="SQ109" s="23"/>
      <c r="SR109" s="23"/>
      <c r="SS109" s="23"/>
      <c r="ST109" s="23"/>
      <c r="SU109" s="23"/>
      <c r="SV109" s="23"/>
      <c r="SW109" s="23"/>
      <c r="SX109" s="23"/>
      <c r="SY109" s="23"/>
      <c r="SZ109" s="23"/>
      <c r="TA109" s="23"/>
      <c r="TB109" s="23"/>
      <c r="TC109" s="23"/>
      <c r="TD109" s="23"/>
      <c r="TE109" s="23"/>
    </row>
    <row r="110" spans="1:525" s="22" customFormat="1" ht="78.75" hidden="1" customHeight="1" x14ac:dyDescent="0.25">
      <c r="A110" s="56" t="s">
        <v>533</v>
      </c>
      <c r="B110" s="56" t="s">
        <v>535</v>
      </c>
      <c r="C110" s="56" t="s">
        <v>57</v>
      </c>
      <c r="D110" s="57" t="s">
        <v>565</v>
      </c>
      <c r="E110" s="141">
        <f t="shared" si="30"/>
        <v>0</v>
      </c>
      <c r="F110" s="141"/>
      <c r="G110" s="141"/>
      <c r="H110" s="141"/>
      <c r="I110" s="141"/>
      <c r="J110" s="141">
        <f t="shared" si="32"/>
        <v>0</v>
      </c>
      <c r="K110" s="141"/>
      <c r="L110" s="141"/>
      <c r="M110" s="141"/>
      <c r="N110" s="141"/>
      <c r="O110" s="141"/>
      <c r="P110" s="141">
        <f t="shared" si="31"/>
        <v>0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</row>
    <row r="111" spans="1:525" s="24" customFormat="1" ht="79.5" hidden="1" customHeight="1" x14ac:dyDescent="0.25">
      <c r="A111" s="76"/>
      <c r="B111" s="76"/>
      <c r="C111" s="76"/>
      <c r="D111" s="79" t="s">
        <v>536</v>
      </c>
      <c r="E111" s="142">
        <f t="shared" si="30"/>
        <v>0</v>
      </c>
      <c r="F111" s="142"/>
      <c r="G111" s="142"/>
      <c r="H111" s="142"/>
      <c r="I111" s="142"/>
      <c r="J111" s="142">
        <f t="shared" si="32"/>
        <v>0</v>
      </c>
      <c r="K111" s="142"/>
      <c r="L111" s="142"/>
      <c r="M111" s="142"/>
      <c r="N111" s="142"/>
      <c r="O111" s="142"/>
      <c r="P111" s="142">
        <f t="shared" si="31"/>
        <v>0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</row>
    <row r="112" spans="1:525" s="22" customFormat="1" ht="65.25" hidden="1" customHeight="1" x14ac:dyDescent="0.25">
      <c r="A112" s="56" t="s">
        <v>474</v>
      </c>
      <c r="B112" s="56" t="s">
        <v>475</v>
      </c>
      <c r="C112" s="56" t="s">
        <v>57</v>
      </c>
      <c r="D112" s="85" t="s">
        <v>489</v>
      </c>
      <c r="E112" s="141">
        <f t="shared" si="30"/>
        <v>0</v>
      </c>
      <c r="F112" s="141"/>
      <c r="G112" s="141"/>
      <c r="H112" s="141"/>
      <c r="I112" s="141"/>
      <c r="J112" s="141">
        <f t="shared" si="32"/>
        <v>0</v>
      </c>
      <c r="K112" s="141"/>
      <c r="L112" s="141"/>
      <c r="M112" s="141"/>
      <c r="N112" s="141"/>
      <c r="O112" s="141"/>
      <c r="P112" s="141">
        <f t="shared" si="31"/>
        <v>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N112" s="23"/>
      <c r="MO112" s="23"/>
      <c r="MP112" s="23"/>
      <c r="MQ112" s="23"/>
      <c r="MR112" s="23"/>
      <c r="MS112" s="23"/>
      <c r="MT112" s="23"/>
      <c r="MU112" s="23"/>
      <c r="MV112" s="23"/>
      <c r="MW112" s="23"/>
      <c r="MX112" s="23"/>
      <c r="MY112" s="23"/>
      <c r="MZ112" s="23"/>
      <c r="NA112" s="23"/>
      <c r="NB112" s="23"/>
      <c r="NC112" s="23"/>
      <c r="ND112" s="23"/>
      <c r="NE112" s="23"/>
      <c r="NF112" s="23"/>
      <c r="NG112" s="23"/>
      <c r="NH112" s="23"/>
      <c r="NI112" s="23"/>
      <c r="NJ112" s="23"/>
      <c r="NK112" s="23"/>
      <c r="NL112" s="23"/>
      <c r="NM112" s="23"/>
      <c r="NN112" s="23"/>
      <c r="NO112" s="23"/>
      <c r="NP112" s="23"/>
      <c r="NQ112" s="23"/>
      <c r="NR112" s="23"/>
      <c r="NS112" s="23"/>
      <c r="NT112" s="23"/>
      <c r="NU112" s="23"/>
      <c r="NV112" s="23"/>
      <c r="NW112" s="23"/>
      <c r="NX112" s="23"/>
      <c r="NY112" s="23"/>
      <c r="NZ112" s="23"/>
      <c r="OA112" s="23"/>
      <c r="OB112" s="23"/>
      <c r="OC112" s="23"/>
      <c r="OD112" s="23"/>
      <c r="OE112" s="23"/>
      <c r="OF112" s="23"/>
      <c r="OG112" s="23"/>
      <c r="OH112" s="23"/>
      <c r="OI112" s="23"/>
      <c r="OJ112" s="23"/>
      <c r="OK112" s="23"/>
      <c r="OL112" s="23"/>
      <c r="OM112" s="23"/>
      <c r="ON112" s="23"/>
      <c r="OO112" s="23"/>
      <c r="OP112" s="23"/>
      <c r="OQ112" s="23"/>
      <c r="OR112" s="23"/>
      <c r="OS112" s="23"/>
      <c r="OT112" s="23"/>
      <c r="OU112" s="23"/>
      <c r="OV112" s="23"/>
      <c r="OW112" s="23"/>
      <c r="OX112" s="23"/>
      <c r="OY112" s="23"/>
      <c r="OZ112" s="23"/>
      <c r="PA112" s="23"/>
      <c r="PB112" s="23"/>
      <c r="PC112" s="23"/>
      <c r="PD112" s="23"/>
      <c r="PE112" s="23"/>
      <c r="PF112" s="23"/>
      <c r="PG112" s="23"/>
      <c r="PH112" s="23"/>
      <c r="PI112" s="23"/>
      <c r="PJ112" s="23"/>
      <c r="PK112" s="23"/>
      <c r="PL112" s="23"/>
      <c r="PM112" s="23"/>
      <c r="PN112" s="23"/>
      <c r="PO112" s="23"/>
      <c r="PP112" s="23"/>
      <c r="PQ112" s="23"/>
      <c r="PR112" s="23"/>
      <c r="PS112" s="23"/>
      <c r="PT112" s="23"/>
      <c r="PU112" s="23"/>
      <c r="PV112" s="23"/>
      <c r="PW112" s="23"/>
      <c r="PX112" s="23"/>
      <c r="PY112" s="23"/>
      <c r="PZ112" s="23"/>
      <c r="QA112" s="23"/>
      <c r="QB112" s="23"/>
      <c r="QC112" s="23"/>
      <c r="QD112" s="23"/>
      <c r="QE112" s="23"/>
      <c r="QF112" s="23"/>
      <c r="QG112" s="23"/>
      <c r="QH112" s="23"/>
      <c r="QI112" s="23"/>
      <c r="QJ112" s="23"/>
      <c r="QK112" s="23"/>
      <c r="QL112" s="23"/>
      <c r="QM112" s="23"/>
      <c r="QN112" s="23"/>
      <c r="QO112" s="23"/>
      <c r="QP112" s="23"/>
      <c r="QQ112" s="23"/>
      <c r="QR112" s="23"/>
      <c r="QS112" s="23"/>
      <c r="QT112" s="23"/>
      <c r="QU112" s="23"/>
      <c r="QV112" s="23"/>
      <c r="QW112" s="23"/>
      <c r="QX112" s="23"/>
      <c r="QY112" s="23"/>
      <c r="QZ112" s="23"/>
      <c r="RA112" s="23"/>
      <c r="RB112" s="23"/>
      <c r="RC112" s="23"/>
      <c r="RD112" s="23"/>
      <c r="RE112" s="23"/>
      <c r="RF112" s="23"/>
      <c r="RG112" s="23"/>
      <c r="RH112" s="23"/>
      <c r="RI112" s="23"/>
      <c r="RJ112" s="23"/>
      <c r="RK112" s="23"/>
      <c r="RL112" s="23"/>
      <c r="RM112" s="23"/>
      <c r="RN112" s="23"/>
      <c r="RO112" s="23"/>
      <c r="RP112" s="23"/>
      <c r="RQ112" s="23"/>
      <c r="RR112" s="23"/>
      <c r="RS112" s="23"/>
      <c r="RT112" s="23"/>
      <c r="RU112" s="23"/>
      <c r="RV112" s="23"/>
      <c r="RW112" s="23"/>
      <c r="RX112" s="23"/>
      <c r="RY112" s="23"/>
      <c r="RZ112" s="23"/>
      <c r="SA112" s="23"/>
      <c r="SB112" s="23"/>
      <c r="SC112" s="23"/>
      <c r="SD112" s="23"/>
      <c r="SE112" s="23"/>
      <c r="SF112" s="23"/>
      <c r="SG112" s="23"/>
      <c r="SH112" s="23"/>
      <c r="SI112" s="23"/>
      <c r="SJ112" s="23"/>
      <c r="SK112" s="23"/>
      <c r="SL112" s="23"/>
      <c r="SM112" s="23"/>
      <c r="SN112" s="23"/>
      <c r="SO112" s="23"/>
      <c r="SP112" s="23"/>
      <c r="SQ112" s="23"/>
      <c r="SR112" s="23"/>
      <c r="SS112" s="23"/>
      <c r="ST112" s="23"/>
      <c r="SU112" s="23"/>
      <c r="SV112" s="23"/>
      <c r="SW112" s="23"/>
      <c r="SX112" s="23"/>
      <c r="SY112" s="23"/>
      <c r="SZ112" s="23"/>
      <c r="TA112" s="23"/>
      <c r="TB112" s="23"/>
      <c r="TC112" s="23"/>
      <c r="TD112" s="23"/>
      <c r="TE112" s="23"/>
    </row>
    <row r="113" spans="1:525" s="24" customFormat="1" ht="63" hidden="1" customHeight="1" x14ac:dyDescent="0.25">
      <c r="A113" s="76"/>
      <c r="B113" s="97"/>
      <c r="C113" s="97"/>
      <c r="D113" s="79" t="s">
        <v>378</v>
      </c>
      <c r="E113" s="142">
        <f t="shared" si="30"/>
        <v>0</v>
      </c>
      <c r="F113" s="142"/>
      <c r="G113" s="142"/>
      <c r="H113" s="142"/>
      <c r="I113" s="142"/>
      <c r="J113" s="142">
        <f t="shared" si="32"/>
        <v>0</v>
      </c>
      <c r="K113" s="142"/>
      <c r="L113" s="142"/>
      <c r="M113" s="142"/>
      <c r="N113" s="142"/>
      <c r="O113" s="142"/>
      <c r="P113" s="142">
        <f t="shared" si="31"/>
        <v>0</v>
      </c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</row>
    <row r="114" spans="1:525" s="24" customFormat="1" ht="78.75" hidden="1" customHeight="1" x14ac:dyDescent="0.25">
      <c r="A114" s="56" t="s">
        <v>502</v>
      </c>
      <c r="B114" s="84">
        <v>1210</v>
      </c>
      <c r="C114" s="56" t="s">
        <v>57</v>
      </c>
      <c r="D114" s="36" t="s">
        <v>503</v>
      </c>
      <c r="E114" s="141">
        <f t="shared" si="30"/>
        <v>0</v>
      </c>
      <c r="F114" s="141"/>
      <c r="G114" s="141"/>
      <c r="H114" s="142"/>
      <c r="I114" s="142"/>
      <c r="J114" s="141">
        <f t="shared" si="32"/>
        <v>0</v>
      </c>
      <c r="K114" s="142"/>
      <c r="L114" s="142"/>
      <c r="M114" s="142"/>
      <c r="N114" s="142"/>
      <c r="O114" s="142"/>
      <c r="P114" s="141">
        <f t="shared" si="31"/>
        <v>0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</row>
    <row r="115" spans="1:525" s="24" customFormat="1" ht="75.75" hidden="1" customHeight="1" x14ac:dyDescent="0.25">
      <c r="A115" s="76"/>
      <c r="B115" s="97"/>
      <c r="C115" s="97"/>
      <c r="D115" s="79" t="s">
        <v>504</v>
      </c>
      <c r="E115" s="142">
        <f t="shared" si="30"/>
        <v>0</v>
      </c>
      <c r="F115" s="142"/>
      <c r="G115" s="142"/>
      <c r="H115" s="142"/>
      <c r="I115" s="142"/>
      <c r="J115" s="142">
        <f t="shared" si="32"/>
        <v>0</v>
      </c>
      <c r="K115" s="142"/>
      <c r="L115" s="142"/>
      <c r="M115" s="142"/>
      <c r="N115" s="142"/>
      <c r="O115" s="142"/>
      <c r="P115" s="142">
        <f t="shared" si="31"/>
        <v>0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</row>
    <row r="116" spans="1:525" s="24" customFormat="1" ht="64.5" customHeight="1" x14ac:dyDescent="0.25">
      <c r="A116" s="56" t="s">
        <v>476</v>
      </c>
      <c r="B116" s="84">
        <v>3140</v>
      </c>
      <c r="C116" s="84">
        <v>1040</v>
      </c>
      <c r="D116" s="6" t="str">
        <f>'дод 5'!C124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6" s="141">
        <f t="shared" si="30"/>
        <v>1946900</v>
      </c>
      <c r="F116" s="141">
        <v>1946900</v>
      </c>
      <c r="G116" s="141"/>
      <c r="H116" s="141"/>
      <c r="I116" s="141"/>
      <c r="J116" s="141">
        <f t="shared" si="32"/>
        <v>0</v>
      </c>
      <c r="K116" s="142"/>
      <c r="L116" s="142"/>
      <c r="M116" s="142"/>
      <c r="N116" s="142"/>
      <c r="O116" s="142"/>
      <c r="P116" s="141">
        <f t="shared" si="31"/>
        <v>1946900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</row>
    <row r="117" spans="1:525" s="24" customFormat="1" ht="31.5" x14ac:dyDescent="0.25">
      <c r="A117" s="56" t="s">
        <v>477</v>
      </c>
      <c r="B117" s="84">
        <v>3242</v>
      </c>
      <c r="C117" s="84">
        <v>1090</v>
      </c>
      <c r="D117" s="36" t="s">
        <v>406</v>
      </c>
      <c r="E117" s="141">
        <f>F117+I117</f>
        <v>63350</v>
      </c>
      <c r="F117" s="141">
        <v>63350</v>
      </c>
      <c r="G117" s="141"/>
      <c r="H117" s="141"/>
      <c r="I117" s="141"/>
      <c r="J117" s="141">
        <f t="shared" si="32"/>
        <v>0</v>
      </c>
      <c r="K117" s="142"/>
      <c r="L117" s="142"/>
      <c r="M117" s="142"/>
      <c r="N117" s="142"/>
      <c r="O117" s="142"/>
      <c r="P117" s="141">
        <f t="shared" si="31"/>
        <v>63350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</row>
    <row r="118" spans="1:525" s="24" customFormat="1" ht="31.5" x14ac:dyDescent="0.25">
      <c r="A118" s="56" t="s">
        <v>479</v>
      </c>
      <c r="B118" s="84">
        <v>5031</v>
      </c>
      <c r="C118" s="56" t="s">
        <v>79</v>
      </c>
      <c r="D118" s="3" t="str">
        <f>'дод 5'!C153</f>
        <v>Утримання та навчально-тренувальна робота комунальних дитячо-юнацьких спортивних шкіл</v>
      </c>
      <c r="E118" s="141">
        <f t="shared" si="30"/>
        <v>10721400</v>
      </c>
      <c r="F118" s="141">
        <f>9648000+323400+750000</f>
        <v>10721400</v>
      </c>
      <c r="G118" s="141">
        <f>6839800+265500+615000</f>
        <v>7720300</v>
      </c>
      <c r="H118" s="141">
        <v>444800</v>
      </c>
      <c r="I118" s="141"/>
      <c r="J118" s="141">
        <f t="shared" si="32"/>
        <v>0</v>
      </c>
      <c r="K118" s="142"/>
      <c r="L118" s="142"/>
      <c r="M118" s="142"/>
      <c r="N118" s="142"/>
      <c r="O118" s="142"/>
      <c r="P118" s="141">
        <f t="shared" si="31"/>
        <v>10721400</v>
      </c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</row>
    <row r="119" spans="1:525" s="24" customFormat="1" ht="23.25" hidden="1" customHeight="1" x14ac:dyDescent="0.25">
      <c r="A119" s="76"/>
      <c r="B119" s="97"/>
      <c r="C119" s="76"/>
      <c r="D119" s="79" t="s">
        <v>390</v>
      </c>
      <c r="E119" s="142">
        <f t="shared" si="30"/>
        <v>0</v>
      </c>
      <c r="F119" s="142"/>
      <c r="G119" s="142"/>
      <c r="H119" s="142"/>
      <c r="I119" s="142"/>
      <c r="J119" s="142">
        <f t="shared" si="32"/>
        <v>0</v>
      </c>
      <c r="K119" s="142"/>
      <c r="L119" s="142"/>
      <c r="M119" s="142"/>
      <c r="N119" s="142"/>
      <c r="O119" s="142"/>
      <c r="P119" s="142">
        <f t="shared" si="31"/>
        <v>0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</row>
    <row r="120" spans="1:525" s="24" customFormat="1" ht="42" hidden="1" customHeight="1" x14ac:dyDescent="0.25">
      <c r="A120" s="56" t="s">
        <v>480</v>
      </c>
      <c r="B120" s="84">
        <v>7321</v>
      </c>
      <c r="C120" s="56" t="s">
        <v>110</v>
      </c>
      <c r="D120" s="6" t="str">
        <f>'дод 5'!C182</f>
        <v>Будівництво1 освітніх установ та закладів</v>
      </c>
      <c r="E120" s="141">
        <f t="shared" si="30"/>
        <v>0</v>
      </c>
      <c r="F120" s="141"/>
      <c r="G120" s="141"/>
      <c r="H120" s="141"/>
      <c r="I120" s="141"/>
      <c r="J120" s="141">
        <f t="shared" si="32"/>
        <v>0</v>
      </c>
      <c r="K120" s="141"/>
      <c r="L120" s="141"/>
      <c r="M120" s="141"/>
      <c r="N120" s="141"/>
      <c r="O120" s="141"/>
      <c r="P120" s="141">
        <f t="shared" si="31"/>
        <v>0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</row>
    <row r="121" spans="1:525" s="24" customFormat="1" ht="21" hidden="1" customHeight="1" x14ac:dyDescent="0.25">
      <c r="A121" s="56"/>
      <c r="B121" s="84"/>
      <c r="C121" s="56"/>
      <c r="D121" s="79" t="s">
        <v>390</v>
      </c>
      <c r="E121" s="142">
        <f t="shared" si="30"/>
        <v>0</v>
      </c>
      <c r="F121" s="141"/>
      <c r="G121" s="141"/>
      <c r="H121" s="141"/>
      <c r="I121" s="141"/>
      <c r="J121" s="142">
        <f t="shared" si="32"/>
        <v>0</v>
      </c>
      <c r="K121" s="142"/>
      <c r="L121" s="141"/>
      <c r="M121" s="141"/>
      <c r="N121" s="141"/>
      <c r="O121" s="142"/>
      <c r="P121" s="142">
        <f t="shared" si="31"/>
        <v>0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</row>
    <row r="122" spans="1:525" s="24" customFormat="1" ht="53.25" hidden="1" customHeight="1" x14ac:dyDescent="0.25">
      <c r="A122" s="56" t="s">
        <v>529</v>
      </c>
      <c r="B122" s="84">
        <v>7363</v>
      </c>
      <c r="C122" s="56" t="s">
        <v>81</v>
      </c>
      <c r="D122" s="6" t="s">
        <v>392</v>
      </c>
      <c r="E122" s="141">
        <f t="shared" si="30"/>
        <v>0</v>
      </c>
      <c r="F122" s="141"/>
      <c r="G122" s="141"/>
      <c r="H122" s="141"/>
      <c r="I122" s="141"/>
      <c r="J122" s="141">
        <f t="shared" si="32"/>
        <v>0</v>
      </c>
      <c r="K122" s="141"/>
      <c r="L122" s="141"/>
      <c r="M122" s="141"/>
      <c r="N122" s="141"/>
      <c r="O122" s="141"/>
      <c r="P122" s="141">
        <f t="shared" si="31"/>
        <v>0</v>
      </c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</row>
    <row r="123" spans="1:525" s="24" customFormat="1" ht="63" hidden="1" customHeight="1" x14ac:dyDescent="0.25">
      <c r="A123" s="76"/>
      <c r="B123" s="97"/>
      <c r="C123" s="76"/>
      <c r="D123" s="73" t="s">
        <v>539</v>
      </c>
      <c r="E123" s="142">
        <f t="shared" si="30"/>
        <v>0</v>
      </c>
      <c r="F123" s="142"/>
      <c r="G123" s="142"/>
      <c r="H123" s="142"/>
      <c r="I123" s="142"/>
      <c r="J123" s="142">
        <f t="shared" si="32"/>
        <v>0</v>
      </c>
      <c r="K123" s="142"/>
      <c r="L123" s="142"/>
      <c r="M123" s="142"/>
      <c r="N123" s="142"/>
      <c r="O123" s="142"/>
      <c r="P123" s="142">
        <f t="shared" si="31"/>
        <v>0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</row>
    <row r="124" spans="1:525" s="24" customFormat="1" ht="15.75" x14ac:dyDescent="0.25">
      <c r="A124" s="56" t="s">
        <v>481</v>
      </c>
      <c r="B124" s="84">
        <v>7640</v>
      </c>
      <c r="C124" s="56" t="s">
        <v>85</v>
      </c>
      <c r="D124" s="3" t="s">
        <v>416</v>
      </c>
      <c r="E124" s="141">
        <f t="shared" si="30"/>
        <v>952000</v>
      </c>
      <c r="F124" s="141">
        <v>952000</v>
      </c>
      <c r="G124" s="141"/>
      <c r="H124" s="141"/>
      <c r="I124" s="141"/>
      <c r="J124" s="141">
        <f t="shared" si="32"/>
        <v>2770000</v>
      </c>
      <c r="K124" s="141">
        <f>12910000+3316100-2640000-5316100+5315954-5315954+1759010-1759010-5000000-500000</f>
        <v>2770000</v>
      </c>
      <c r="L124" s="141"/>
      <c r="M124" s="141"/>
      <c r="N124" s="141"/>
      <c r="O124" s="141">
        <f>12910000+3316100-2640000-5316100+5315954-5315954+1759010-1759010-5000000-500000</f>
        <v>2770000</v>
      </c>
      <c r="P124" s="141">
        <f t="shared" si="31"/>
        <v>3722000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</row>
    <row r="125" spans="1:525" s="24" customFormat="1" ht="47.25" hidden="1" customHeight="1" x14ac:dyDescent="0.25">
      <c r="A125" s="56" t="s">
        <v>484</v>
      </c>
      <c r="B125" s="84">
        <v>7700</v>
      </c>
      <c r="C125" s="56" t="s">
        <v>92</v>
      </c>
      <c r="D125" s="3" t="s">
        <v>357</v>
      </c>
      <c r="E125" s="141">
        <f t="shared" si="30"/>
        <v>0</v>
      </c>
      <c r="F125" s="141"/>
      <c r="G125" s="141"/>
      <c r="H125" s="141"/>
      <c r="I125" s="141"/>
      <c r="J125" s="141">
        <f t="shared" si="32"/>
        <v>0</v>
      </c>
      <c r="K125" s="141"/>
      <c r="L125" s="141"/>
      <c r="M125" s="141"/>
      <c r="N125" s="141"/>
      <c r="O125" s="141"/>
      <c r="P125" s="141">
        <f t="shared" si="31"/>
        <v>0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</row>
    <row r="126" spans="1:525" s="24" customFormat="1" ht="37.5" customHeight="1" x14ac:dyDescent="0.25">
      <c r="A126" s="56" t="s">
        <v>482</v>
      </c>
      <c r="B126" s="84">
        <v>8340</v>
      </c>
      <c r="C126" s="56" t="s">
        <v>91</v>
      </c>
      <c r="D126" s="3" t="str">
        <f>'дод 5'!C241</f>
        <v>Природоохоронні заходи за рахунок цільових фондів</v>
      </c>
      <c r="E126" s="141">
        <f t="shared" si="30"/>
        <v>0</v>
      </c>
      <c r="F126" s="141"/>
      <c r="G126" s="141"/>
      <c r="H126" s="141"/>
      <c r="I126" s="141"/>
      <c r="J126" s="141">
        <f t="shared" si="32"/>
        <v>689800</v>
      </c>
      <c r="K126" s="141"/>
      <c r="L126" s="141">
        <f>689800-70000</f>
        <v>619800</v>
      </c>
      <c r="M126" s="141"/>
      <c r="N126" s="141"/>
      <c r="O126" s="141">
        <v>70000</v>
      </c>
      <c r="P126" s="141">
        <f t="shared" si="31"/>
        <v>689800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</row>
    <row r="127" spans="1:525" s="24" customFormat="1" ht="47.25" hidden="1" customHeight="1" x14ac:dyDescent="0.25">
      <c r="A127" s="56" t="s">
        <v>514</v>
      </c>
      <c r="B127" s="84">
        <v>9320</v>
      </c>
      <c r="C127" s="56" t="s">
        <v>44</v>
      </c>
      <c r="D127" s="6" t="s">
        <v>567</v>
      </c>
      <c r="E127" s="141">
        <f t="shared" si="30"/>
        <v>0</v>
      </c>
      <c r="F127" s="141"/>
      <c r="G127" s="141"/>
      <c r="H127" s="141"/>
      <c r="I127" s="141"/>
      <c r="J127" s="141">
        <f t="shared" si="32"/>
        <v>0</v>
      </c>
      <c r="K127" s="141"/>
      <c r="L127" s="141"/>
      <c r="M127" s="141"/>
      <c r="N127" s="141"/>
      <c r="O127" s="141"/>
      <c r="P127" s="141">
        <f t="shared" si="31"/>
        <v>0</v>
      </c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</row>
    <row r="128" spans="1:525" s="24" customFormat="1" ht="31.5" hidden="1" customHeight="1" x14ac:dyDescent="0.25">
      <c r="A128" s="76"/>
      <c r="B128" s="97"/>
      <c r="C128" s="76"/>
      <c r="D128" s="79" t="s">
        <v>510</v>
      </c>
      <c r="E128" s="142">
        <f t="shared" si="30"/>
        <v>0</v>
      </c>
      <c r="F128" s="142"/>
      <c r="G128" s="142"/>
      <c r="H128" s="142"/>
      <c r="I128" s="142"/>
      <c r="J128" s="142">
        <f t="shared" si="32"/>
        <v>0</v>
      </c>
      <c r="K128" s="142"/>
      <c r="L128" s="142"/>
      <c r="M128" s="142"/>
      <c r="N128" s="142"/>
      <c r="O128" s="142"/>
      <c r="P128" s="142">
        <f t="shared" si="31"/>
        <v>0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</row>
    <row r="129" spans="1:525" s="24" customFormat="1" ht="22.5" hidden="1" customHeight="1" x14ac:dyDescent="0.25">
      <c r="A129" s="56" t="s">
        <v>483</v>
      </c>
      <c r="B129" s="84">
        <v>9770</v>
      </c>
      <c r="C129" s="56" t="s">
        <v>44</v>
      </c>
      <c r="D129" s="6" t="str">
        <f>'дод 5'!C257</f>
        <v>Інші субвенції з місцевого бюджету</v>
      </c>
      <c r="E129" s="141">
        <f t="shared" ref="E129" si="40">F129+I129</f>
        <v>0</v>
      </c>
      <c r="F129" s="141"/>
      <c r="G129" s="141"/>
      <c r="H129" s="141"/>
      <c r="I129" s="141"/>
      <c r="J129" s="141">
        <f t="shared" ref="J129" si="41">L129+O129</f>
        <v>0</v>
      </c>
      <c r="K129" s="141"/>
      <c r="L129" s="141"/>
      <c r="M129" s="141"/>
      <c r="N129" s="141"/>
      <c r="O129" s="141"/>
      <c r="P129" s="141">
        <f t="shared" ref="P129" si="42">E129+J129</f>
        <v>0</v>
      </c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</row>
    <row r="130" spans="1:525" s="24" customFormat="1" ht="48.75" hidden="1" customHeight="1" x14ac:dyDescent="0.25">
      <c r="A130" s="56" t="s">
        <v>506</v>
      </c>
      <c r="B130" s="84">
        <v>9800</v>
      </c>
      <c r="C130" s="56" t="s">
        <v>44</v>
      </c>
      <c r="D130" s="6" t="s">
        <v>362</v>
      </c>
      <c r="E130" s="141">
        <f t="shared" si="30"/>
        <v>0</v>
      </c>
      <c r="F130" s="141"/>
      <c r="G130" s="141"/>
      <c r="H130" s="141"/>
      <c r="I130" s="141"/>
      <c r="J130" s="141">
        <f t="shared" si="32"/>
        <v>0</v>
      </c>
      <c r="K130" s="141"/>
      <c r="L130" s="141"/>
      <c r="M130" s="141"/>
      <c r="N130" s="141"/>
      <c r="O130" s="141"/>
      <c r="P130" s="141">
        <f t="shared" si="31"/>
        <v>0</v>
      </c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</row>
    <row r="131" spans="1:525" s="27" customFormat="1" ht="33.75" customHeight="1" x14ac:dyDescent="0.25">
      <c r="A131" s="96" t="s">
        <v>166</v>
      </c>
      <c r="B131" s="98"/>
      <c r="C131" s="98"/>
      <c r="D131" s="93" t="s">
        <v>450</v>
      </c>
      <c r="E131" s="139">
        <f>E132</f>
        <v>103570400</v>
      </c>
      <c r="F131" s="139">
        <f t="shared" ref="F131:P131" si="43">F132</f>
        <v>103570400</v>
      </c>
      <c r="G131" s="139">
        <f t="shared" si="43"/>
        <v>4570300</v>
      </c>
      <c r="H131" s="139">
        <f t="shared" si="43"/>
        <v>215900</v>
      </c>
      <c r="I131" s="139">
        <f t="shared" si="43"/>
        <v>0</v>
      </c>
      <c r="J131" s="139">
        <f t="shared" si="43"/>
        <v>87507200</v>
      </c>
      <c r="K131" s="139">
        <f t="shared" si="43"/>
        <v>87507200</v>
      </c>
      <c r="L131" s="139">
        <f t="shared" si="43"/>
        <v>0</v>
      </c>
      <c r="M131" s="139">
        <f t="shared" si="43"/>
        <v>0</v>
      </c>
      <c r="N131" s="139">
        <f t="shared" si="43"/>
        <v>0</v>
      </c>
      <c r="O131" s="139">
        <f t="shared" si="43"/>
        <v>87507200</v>
      </c>
      <c r="P131" s="139">
        <f t="shared" si="43"/>
        <v>191077600</v>
      </c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  <c r="IS131" s="32"/>
      <c r="IT131" s="32"/>
      <c r="IU131" s="32"/>
      <c r="IV131" s="32"/>
      <c r="IW131" s="32"/>
      <c r="IX131" s="32"/>
      <c r="IY131" s="32"/>
      <c r="IZ131" s="32"/>
      <c r="JA131" s="32"/>
      <c r="JB131" s="32"/>
      <c r="JC131" s="32"/>
      <c r="JD131" s="32"/>
      <c r="JE131" s="32"/>
      <c r="JF131" s="32"/>
      <c r="JG131" s="32"/>
      <c r="JH131" s="32"/>
      <c r="JI131" s="32"/>
      <c r="JJ131" s="32"/>
      <c r="JK131" s="32"/>
      <c r="JL131" s="32"/>
      <c r="JM131" s="32"/>
      <c r="JN131" s="32"/>
      <c r="JO131" s="32"/>
      <c r="JP131" s="32"/>
      <c r="JQ131" s="32"/>
      <c r="JR131" s="32"/>
      <c r="JS131" s="32"/>
      <c r="JT131" s="32"/>
      <c r="JU131" s="32"/>
      <c r="JV131" s="32"/>
      <c r="JW131" s="32"/>
      <c r="JX131" s="32"/>
      <c r="JY131" s="32"/>
      <c r="JZ131" s="32"/>
      <c r="KA131" s="32"/>
      <c r="KB131" s="32"/>
      <c r="KC131" s="32"/>
      <c r="KD131" s="32"/>
      <c r="KE131" s="32"/>
      <c r="KF131" s="32"/>
      <c r="KG131" s="32"/>
      <c r="KH131" s="32"/>
      <c r="KI131" s="32"/>
      <c r="KJ131" s="32"/>
      <c r="KK131" s="32"/>
      <c r="KL131" s="32"/>
      <c r="KM131" s="32"/>
      <c r="KN131" s="32"/>
      <c r="KO131" s="32"/>
      <c r="KP131" s="32"/>
      <c r="KQ131" s="32"/>
      <c r="KR131" s="32"/>
      <c r="KS131" s="32"/>
      <c r="KT131" s="32"/>
      <c r="KU131" s="32"/>
      <c r="KV131" s="32"/>
      <c r="KW131" s="32"/>
      <c r="KX131" s="32"/>
      <c r="KY131" s="32"/>
      <c r="KZ131" s="32"/>
      <c r="LA131" s="32"/>
      <c r="LB131" s="32"/>
      <c r="LC131" s="32"/>
      <c r="LD131" s="32"/>
      <c r="LE131" s="32"/>
      <c r="LF131" s="32"/>
      <c r="LG131" s="32"/>
      <c r="LH131" s="32"/>
      <c r="LI131" s="32"/>
      <c r="LJ131" s="32"/>
      <c r="LK131" s="32"/>
      <c r="LL131" s="32"/>
      <c r="LM131" s="32"/>
      <c r="LN131" s="32"/>
      <c r="LO131" s="32"/>
      <c r="LP131" s="32"/>
      <c r="LQ131" s="32"/>
      <c r="LR131" s="32"/>
      <c r="LS131" s="32"/>
      <c r="LT131" s="32"/>
      <c r="LU131" s="32"/>
      <c r="LV131" s="32"/>
      <c r="LW131" s="32"/>
      <c r="LX131" s="32"/>
      <c r="LY131" s="32"/>
      <c r="LZ131" s="32"/>
      <c r="MA131" s="32"/>
      <c r="MB131" s="32"/>
      <c r="MC131" s="32"/>
      <c r="MD131" s="32"/>
      <c r="ME131" s="32"/>
      <c r="MF131" s="32"/>
      <c r="MG131" s="32"/>
      <c r="MH131" s="32"/>
      <c r="MI131" s="32"/>
      <c r="MJ131" s="32"/>
      <c r="MK131" s="32"/>
      <c r="ML131" s="32"/>
      <c r="MM131" s="32"/>
      <c r="MN131" s="32"/>
      <c r="MO131" s="32"/>
      <c r="MP131" s="32"/>
      <c r="MQ131" s="32"/>
      <c r="MR131" s="32"/>
      <c r="MS131" s="32"/>
      <c r="MT131" s="32"/>
      <c r="MU131" s="32"/>
      <c r="MV131" s="32"/>
      <c r="MW131" s="32"/>
      <c r="MX131" s="32"/>
      <c r="MY131" s="32"/>
      <c r="MZ131" s="32"/>
      <c r="NA131" s="32"/>
      <c r="NB131" s="32"/>
      <c r="NC131" s="32"/>
      <c r="ND131" s="32"/>
      <c r="NE131" s="32"/>
      <c r="NF131" s="32"/>
      <c r="NG131" s="32"/>
      <c r="NH131" s="32"/>
      <c r="NI131" s="32"/>
      <c r="NJ131" s="32"/>
      <c r="NK131" s="32"/>
      <c r="NL131" s="32"/>
      <c r="NM131" s="32"/>
      <c r="NN131" s="32"/>
      <c r="NO131" s="32"/>
      <c r="NP131" s="32"/>
      <c r="NQ131" s="32"/>
      <c r="NR131" s="32"/>
      <c r="NS131" s="32"/>
      <c r="NT131" s="32"/>
      <c r="NU131" s="32"/>
      <c r="NV131" s="32"/>
      <c r="NW131" s="32"/>
      <c r="NX131" s="32"/>
      <c r="NY131" s="32"/>
      <c r="NZ131" s="32"/>
      <c r="OA131" s="32"/>
      <c r="OB131" s="32"/>
      <c r="OC131" s="32"/>
      <c r="OD131" s="32"/>
      <c r="OE131" s="32"/>
      <c r="OF131" s="32"/>
      <c r="OG131" s="32"/>
      <c r="OH131" s="32"/>
      <c r="OI131" s="32"/>
      <c r="OJ131" s="32"/>
      <c r="OK131" s="32"/>
      <c r="OL131" s="32"/>
      <c r="OM131" s="32"/>
      <c r="ON131" s="32"/>
      <c r="OO131" s="32"/>
      <c r="OP131" s="32"/>
      <c r="OQ131" s="32"/>
      <c r="OR131" s="32"/>
      <c r="OS131" s="32"/>
      <c r="OT131" s="32"/>
      <c r="OU131" s="32"/>
      <c r="OV131" s="32"/>
      <c r="OW131" s="32"/>
      <c r="OX131" s="32"/>
      <c r="OY131" s="32"/>
      <c r="OZ131" s="32"/>
      <c r="PA131" s="32"/>
      <c r="PB131" s="32"/>
      <c r="PC131" s="32"/>
      <c r="PD131" s="32"/>
      <c r="PE131" s="32"/>
      <c r="PF131" s="32"/>
      <c r="PG131" s="32"/>
      <c r="PH131" s="32"/>
      <c r="PI131" s="32"/>
      <c r="PJ131" s="32"/>
      <c r="PK131" s="32"/>
      <c r="PL131" s="32"/>
      <c r="PM131" s="32"/>
      <c r="PN131" s="32"/>
      <c r="PO131" s="32"/>
      <c r="PP131" s="32"/>
      <c r="PQ131" s="32"/>
      <c r="PR131" s="32"/>
      <c r="PS131" s="32"/>
      <c r="PT131" s="32"/>
      <c r="PU131" s="32"/>
      <c r="PV131" s="32"/>
      <c r="PW131" s="32"/>
      <c r="PX131" s="32"/>
      <c r="PY131" s="32"/>
      <c r="PZ131" s="32"/>
      <c r="QA131" s="32"/>
      <c r="QB131" s="32"/>
      <c r="QC131" s="32"/>
      <c r="QD131" s="32"/>
      <c r="QE131" s="32"/>
      <c r="QF131" s="32"/>
      <c r="QG131" s="32"/>
      <c r="QH131" s="32"/>
      <c r="QI131" s="32"/>
      <c r="QJ131" s="32"/>
      <c r="QK131" s="32"/>
      <c r="QL131" s="32"/>
      <c r="QM131" s="32"/>
      <c r="QN131" s="32"/>
      <c r="QO131" s="32"/>
      <c r="QP131" s="32"/>
      <c r="QQ131" s="32"/>
      <c r="QR131" s="32"/>
      <c r="QS131" s="32"/>
      <c r="QT131" s="32"/>
      <c r="QU131" s="32"/>
      <c r="QV131" s="32"/>
      <c r="QW131" s="32"/>
      <c r="QX131" s="32"/>
      <c r="QY131" s="32"/>
      <c r="QZ131" s="32"/>
      <c r="RA131" s="32"/>
      <c r="RB131" s="32"/>
      <c r="RC131" s="32"/>
      <c r="RD131" s="32"/>
      <c r="RE131" s="32"/>
      <c r="RF131" s="32"/>
      <c r="RG131" s="32"/>
      <c r="RH131" s="32"/>
      <c r="RI131" s="32"/>
      <c r="RJ131" s="32"/>
      <c r="RK131" s="32"/>
      <c r="RL131" s="32"/>
      <c r="RM131" s="32"/>
      <c r="RN131" s="32"/>
      <c r="RO131" s="32"/>
      <c r="RP131" s="32"/>
      <c r="RQ131" s="32"/>
      <c r="RR131" s="32"/>
      <c r="RS131" s="32"/>
      <c r="RT131" s="32"/>
      <c r="RU131" s="32"/>
      <c r="RV131" s="32"/>
      <c r="RW131" s="32"/>
      <c r="RX131" s="32"/>
      <c r="RY131" s="32"/>
      <c r="RZ131" s="32"/>
      <c r="SA131" s="32"/>
      <c r="SB131" s="32"/>
      <c r="SC131" s="32"/>
      <c r="SD131" s="32"/>
      <c r="SE131" s="32"/>
      <c r="SF131" s="32"/>
      <c r="SG131" s="32"/>
      <c r="SH131" s="32"/>
      <c r="SI131" s="32"/>
      <c r="SJ131" s="32"/>
      <c r="SK131" s="32"/>
      <c r="SL131" s="32"/>
      <c r="SM131" s="32"/>
      <c r="SN131" s="32"/>
      <c r="SO131" s="32"/>
      <c r="SP131" s="32"/>
      <c r="SQ131" s="32"/>
      <c r="SR131" s="32"/>
      <c r="SS131" s="32"/>
      <c r="ST131" s="32"/>
      <c r="SU131" s="32"/>
      <c r="SV131" s="32"/>
      <c r="SW131" s="32"/>
      <c r="SX131" s="32"/>
      <c r="SY131" s="32"/>
      <c r="SZ131" s="32"/>
      <c r="TA131" s="32"/>
      <c r="TB131" s="32"/>
      <c r="TC131" s="32"/>
      <c r="TD131" s="32"/>
      <c r="TE131" s="32"/>
    </row>
    <row r="132" spans="1:525" s="34" customFormat="1" ht="33" customHeight="1" x14ac:dyDescent="0.25">
      <c r="A132" s="86" t="s">
        <v>167</v>
      </c>
      <c r="B132" s="95"/>
      <c r="C132" s="95"/>
      <c r="D132" s="70" t="s">
        <v>588</v>
      </c>
      <c r="E132" s="140">
        <f>E140+E141+E146+E148+E150+E152+E155+E156+E157+E158+E159+E161+E163+E164+E145</f>
        <v>103570400</v>
      </c>
      <c r="F132" s="140">
        <f t="shared" ref="F132:P132" si="44">F140+F141+F146+F148+F150+F152+F155+F156+F157+F158+F159+F161+F163+F164+F145</f>
        <v>103570400</v>
      </c>
      <c r="G132" s="140">
        <f t="shared" si="44"/>
        <v>4570300</v>
      </c>
      <c r="H132" s="140">
        <f t="shared" si="44"/>
        <v>215900</v>
      </c>
      <c r="I132" s="140">
        <f t="shared" si="44"/>
        <v>0</v>
      </c>
      <c r="J132" s="140">
        <f t="shared" si="44"/>
        <v>87507200</v>
      </c>
      <c r="K132" s="140">
        <f>K140+K141+K146+K148+K150+K152+K155+K156+K157+K158+K159+K161+K163+K164+K145</f>
        <v>87507200</v>
      </c>
      <c r="L132" s="140">
        <f t="shared" si="44"/>
        <v>0</v>
      </c>
      <c r="M132" s="140">
        <f t="shared" si="44"/>
        <v>0</v>
      </c>
      <c r="N132" s="140">
        <f t="shared" si="44"/>
        <v>0</v>
      </c>
      <c r="O132" s="140">
        <f t="shared" si="44"/>
        <v>87507200</v>
      </c>
      <c r="P132" s="140">
        <f t="shared" si="44"/>
        <v>191077600</v>
      </c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</row>
    <row r="133" spans="1:525" s="34" customFormat="1" ht="31.5" hidden="1" customHeight="1" x14ac:dyDescent="0.25">
      <c r="A133" s="86"/>
      <c r="B133" s="95"/>
      <c r="C133" s="95"/>
      <c r="D133" s="70" t="s">
        <v>385</v>
      </c>
      <c r="E133" s="140">
        <f>E142+E147+E149</f>
        <v>0</v>
      </c>
      <c r="F133" s="140">
        <f t="shared" ref="F133:P133" si="45">F142+F147+F149</f>
        <v>0</v>
      </c>
      <c r="G133" s="140">
        <f t="shared" si="45"/>
        <v>0</v>
      </c>
      <c r="H133" s="140">
        <f t="shared" si="45"/>
        <v>0</v>
      </c>
      <c r="I133" s="140">
        <f t="shared" si="45"/>
        <v>0</v>
      </c>
      <c r="J133" s="140">
        <f t="shared" si="45"/>
        <v>0</v>
      </c>
      <c r="K133" s="140">
        <f t="shared" si="45"/>
        <v>0</v>
      </c>
      <c r="L133" s="140">
        <f t="shared" si="45"/>
        <v>0</v>
      </c>
      <c r="M133" s="140">
        <f t="shared" si="45"/>
        <v>0</v>
      </c>
      <c r="N133" s="140">
        <f t="shared" si="45"/>
        <v>0</v>
      </c>
      <c r="O133" s="140">
        <f t="shared" si="45"/>
        <v>0</v>
      </c>
      <c r="P133" s="140">
        <f t="shared" si="45"/>
        <v>0</v>
      </c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</row>
    <row r="134" spans="1:525" s="34" customFormat="1" ht="63" hidden="1" customHeight="1" x14ac:dyDescent="0.25">
      <c r="A134" s="86"/>
      <c r="B134" s="95"/>
      <c r="C134" s="95"/>
      <c r="D134" s="70" t="s">
        <v>383</v>
      </c>
      <c r="E134" s="140">
        <f>E160</f>
        <v>0</v>
      </c>
      <c r="F134" s="140">
        <f>F160</f>
        <v>0</v>
      </c>
      <c r="G134" s="140">
        <f t="shared" ref="G134:I134" si="46">G160</f>
        <v>0</v>
      </c>
      <c r="H134" s="140">
        <f t="shared" si="46"/>
        <v>0</v>
      </c>
      <c r="I134" s="140">
        <f t="shared" si="46"/>
        <v>0</v>
      </c>
      <c r="J134" s="140">
        <f>J160</f>
        <v>0</v>
      </c>
      <c r="K134" s="140">
        <f t="shared" ref="K134:P134" si="47">K160</f>
        <v>0</v>
      </c>
      <c r="L134" s="140">
        <f t="shared" si="47"/>
        <v>0</v>
      </c>
      <c r="M134" s="140">
        <f t="shared" si="47"/>
        <v>0</v>
      </c>
      <c r="N134" s="140">
        <f t="shared" si="47"/>
        <v>0</v>
      </c>
      <c r="O134" s="140">
        <f t="shared" si="47"/>
        <v>0</v>
      </c>
      <c r="P134" s="140">
        <f t="shared" si="47"/>
        <v>0</v>
      </c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</row>
    <row r="135" spans="1:525" s="34" customFormat="1" ht="47.25" hidden="1" customHeight="1" x14ac:dyDescent="0.25">
      <c r="A135" s="86"/>
      <c r="B135" s="95"/>
      <c r="C135" s="95"/>
      <c r="D135" s="70" t="s">
        <v>386</v>
      </c>
      <c r="E135" s="140">
        <f>E143+E153</f>
        <v>0</v>
      </c>
      <c r="F135" s="140">
        <f t="shared" ref="F135:P135" si="48">F143+F153</f>
        <v>0</v>
      </c>
      <c r="G135" s="140">
        <f t="shared" si="48"/>
        <v>0</v>
      </c>
      <c r="H135" s="140">
        <f t="shared" si="48"/>
        <v>0</v>
      </c>
      <c r="I135" s="140">
        <f t="shared" si="48"/>
        <v>0</v>
      </c>
      <c r="J135" s="140">
        <f t="shared" si="48"/>
        <v>0</v>
      </c>
      <c r="K135" s="140">
        <f t="shared" si="48"/>
        <v>0</v>
      </c>
      <c r="L135" s="140">
        <f t="shared" si="48"/>
        <v>0</v>
      </c>
      <c r="M135" s="140">
        <f t="shared" si="48"/>
        <v>0</v>
      </c>
      <c r="N135" s="140">
        <f t="shared" si="48"/>
        <v>0</v>
      </c>
      <c r="O135" s="140">
        <f t="shared" si="48"/>
        <v>0</v>
      </c>
      <c r="P135" s="140">
        <f t="shared" si="48"/>
        <v>0</v>
      </c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</row>
    <row r="136" spans="1:525" s="34" customFormat="1" ht="63" hidden="1" customHeight="1" x14ac:dyDescent="0.25">
      <c r="A136" s="86"/>
      <c r="B136" s="95"/>
      <c r="C136" s="95"/>
      <c r="D136" s="70" t="s">
        <v>387</v>
      </c>
      <c r="E136" s="140">
        <f>E151+E154</f>
        <v>0</v>
      </c>
      <c r="F136" s="140">
        <f>F151+F154</f>
        <v>0</v>
      </c>
      <c r="G136" s="140">
        <f t="shared" ref="G136:P136" si="49">G151+G154</f>
        <v>0</v>
      </c>
      <c r="H136" s="140">
        <f t="shared" si="49"/>
        <v>0</v>
      </c>
      <c r="I136" s="140">
        <f t="shared" si="49"/>
        <v>0</v>
      </c>
      <c r="J136" s="140">
        <f t="shared" si="49"/>
        <v>0</v>
      </c>
      <c r="K136" s="140">
        <f>K151+K154</f>
        <v>0</v>
      </c>
      <c r="L136" s="140">
        <f t="shared" si="49"/>
        <v>0</v>
      </c>
      <c r="M136" s="140">
        <f t="shared" si="49"/>
        <v>0</v>
      </c>
      <c r="N136" s="140">
        <f t="shared" si="49"/>
        <v>0</v>
      </c>
      <c r="O136" s="140">
        <f t="shared" si="49"/>
        <v>0</v>
      </c>
      <c r="P136" s="140">
        <f t="shared" si="49"/>
        <v>0</v>
      </c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</row>
    <row r="137" spans="1:525" s="34" customFormat="1" ht="49.5" hidden="1" customHeight="1" x14ac:dyDescent="0.25">
      <c r="A137" s="86"/>
      <c r="B137" s="95"/>
      <c r="C137" s="95"/>
      <c r="D137" s="70" t="s">
        <v>383</v>
      </c>
      <c r="E137" s="140">
        <f>E160</f>
        <v>0</v>
      </c>
      <c r="F137" s="140">
        <f t="shared" ref="F137:P137" si="50">F160</f>
        <v>0</v>
      </c>
      <c r="G137" s="140">
        <f t="shared" si="50"/>
        <v>0</v>
      </c>
      <c r="H137" s="140">
        <f t="shared" si="50"/>
        <v>0</v>
      </c>
      <c r="I137" s="140">
        <f t="shared" si="50"/>
        <v>0</v>
      </c>
      <c r="J137" s="140">
        <f t="shared" si="50"/>
        <v>0</v>
      </c>
      <c r="K137" s="140">
        <f t="shared" si="50"/>
        <v>0</v>
      </c>
      <c r="L137" s="140">
        <f t="shared" si="50"/>
        <v>0</v>
      </c>
      <c r="M137" s="140">
        <f t="shared" si="50"/>
        <v>0</v>
      </c>
      <c r="N137" s="140">
        <f t="shared" si="50"/>
        <v>0</v>
      </c>
      <c r="O137" s="140">
        <f t="shared" si="50"/>
        <v>0</v>
      </c>
      <c r="P137" s="140">
        <f t="shared" si="50"/>
        <v>0</v>
      </c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  <c r="SQ137" s="33"/>
      <c r="SR137" s="33"/>
      <c r="SS137" s="33"/>
      <c r="ST137" s="33"/>
      <c r="SU137" s="33"/>
      <c r="SV137" s="33"/>
      <c r="SW137" s="33"/>
      <c r="SX137" s="33"/>
      <c r="SY137" s="33"/>
      <c r="SZ137" s="33"/>
      <c r="TA137" s="33"/>
      <c r="TB137" s="33"/>
      <c r="TC137" s="33"/>
      <c r="TD137" s="33"/>
      <c r="TE137" s="33"/>
    </row>
    <row r="138" spans="1:525" s="34" customFormat="1" ht="15.75" hidden="1" customHeight="1" x14ac:dyDescent="0.25">
      <c r="A138" s="86"/>
      <c r="B138" s="95"/>
      <c r="C138" s="95"/>
      <c r="D138" s="70" t="s">
        <v>388</v>
      </c>
      <c r="E138" s="140">
        <f>E144</f>
        <v>0</v>
      </c>
      <c r="F138" s="140">
        <f>F144</f>
        <v>0</v>
      </c>
      <c r="G138" s="140">
        <f t="shared" ref="G138:O138" si="51">G144</f>
        <v>0</v>
      </c>
      <c r="H138" s="140">
        <f t="shared" si="51"/>
        <v>0</v>
      </c>
      <c r="I138" s="140">
        <f t="shared" si="51"/>
        <v>0</v>
      </c>
      <c r="J138" s="140">
        <f t="shared" si="51"/>
        <v>0</v>
      </c>
      <c r="K138" s="140">
        <f t="shared" si="51"/>
        <v>0</v>
      </c>
      <c r="L138" s="140">
        <f t="shared" si="51"/>
        <v>0</v>
      </c>
      <c r="M138" s="140">
        <f t="shared" si="51"/>
        <v>0</v>
      </c>
      <c r="N138" s="140">
        <f t="shared" si="51"/>
        <v>0</v>
      </c>
      <c r="O138" s="140">
        <f t="shared" si="51"/>
        <v>0</v>
      </c>
      <c r="P138" s="140">
        <f>P144</f>
        <v>0</v>
      </c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  <c r="QA138" s="33"/>
      <c r="QB138" s="33"/>
      <c r="QC138" s="33"/>
      <c r="QD138" s="33"/>
      <c r="QE138" s="33"/>
      <c r="QF138" s="33"/>
      <c r="QG138" s="33"/>
      <c r="QH138" s="33"/>
      <c r="QI138" s="33"/>
      <c r="QJ138" s="33"/>
      <c r="QK138" s="33"/>
      <c r="QL138" s="33"/>
      <c r="QM138" s="33"/>
      <c r="QN138" s="33"/>
      <c r="QO138" s="33"/>
      <c r="QP138" s="33"/>
      <c r="QQ138" s="33"/>
      <c r="QR138" s="33"/>
      <c r="QS138" s="33"/>
      <c r="QT138" s="33"/>
      <c r="QU138" s="33"/>
      <c r="QV138" s="33"/>
      <c r="QW138" s="33"/>
      <c r="QX138" s="33"/>
      <c r="QY138" s="33"/>
      <c r="QZ138" s="33"/>
      <c r="RA138" s="33"/>
      <c r="RB138" s="33"/>
      <c r="RC138" s="33"/>
      <c r="RD138" s="33"/>
      <c r="RE138" s="33"/>
      <c r="RF138" s="33"/>
      <c r="RG138" s="33"/>
      <c r="RH138" s="33"/>
      <c r="RI138" s="33"/>
      <c r="RJ138" s="33"/>
      <c r="RK138" s="33"/>
      <c r="RL138" s="33"/>
      <c r="RM138" s="33"/>
      <c r="RN138" s="33"/>
      <c r="RO138" s="33"/>
      <c r="RP138" s="33"/>
      <c r="RQ138" s="33"/>
      <c r="RR138" s="33"/>
      <c r="RS138" s="33"/>
      <c r="RT138" s="33"/>
      <c r="RU138" s="33"/>
      <c r="RV138" s="33"/>
      <c r="RW138" s="33"/>
      <c r="RX138" s="33"/>
      <c r="RY138" s="33"/>
      <c r="RZ138" s="33"/>
      <c r="SA138" s="33"/>
      <c r="SB138" s="33"/>
      <c r="SC138" s="33"/>
      <c r="SD138" s="33"/>
      <c r="SE138" s="33"/>
      <c r="SF138" s="33"/>
      <c r="SG138" s="33"/>
      <c r="SH138" s="33"/>
      <c r="SI138" s="33"/>
      <c r="SJ138" s="33"/>
      <c r="SK138" s="33"/>
      <c r="SL138" s="33"/>
      <c r="SM138" s="33"/>
      <c r="SN138" s="33"/>
      <c r="SO138" s="33"/>
      <c r="SP138" s="33"/>
      <c r="SQ138" s="33"/>
      <c r="SR138" s="33"/>
      <c r="SS138" s="33"/>
      <c r="ST138" s="33"/>
      <c r="SU138" s="33"/>
      <c r="SV138" s="33"/>
      <c r="SW138" s="33"/>
      <c r="SX138" s="33"/>
      <c r="SY138" s="33"/>
      <c r="SZ138" s="33"/>
      <c r="TA138" s="33"/>
      <c r="TB138" s="33"/>
      <c r="TC138" s="33"/>
      <c r="TD138" s="33"/>
      <c r="TE138" s="33"/>
    </row>
    <row r="139" spans="1:525" s="34" customFormat="1" ht="15.75" hidden="1" customHeight="1" x14ac:dyDescent="0.25">
      <c r="A139" s="86"/>
      <c r="B139" s="95"/>
      <c r="C139" s="95"/>
      <c r="D139" s="75" t="s">
        <v>413</v>
      </c>
      <c r="E139" s="140">
        <f>E162</f>
        <v>0</v>
      </c>
      <c r="F139" s="140">
        <f t="shared" ref="F139:P139" si="52">F162</f>
        <v>0</v>
      </c>
      <c r="G139" s="140">
        <f t="shared" si="52"/>
        <v>0</v>
      </c>
      <c r="H139" s="140">
        <f t="shared" si="52"/>
        <v>0</v>
      </c>
      <c r="I139" s="140">
        <f t="shared" si="52"/>
        <v>0</v>
      </c>
      <c r="J139" s="140">
        <f t="shared" si="52"/>
        <v>0</v>
      </c>
      <c r="K139" s="140">
        <f t="shared" si="52"/>
        <v>0</v>
      </c>
      <c r="L139" s="140">
        <f t="shared" si="52"/>
        <v>0</v>
      </c>
      <c r="M139" s="140">
        <f t="shared" si="52"/>
        <v>0</v>
      </c>
      <c r="N139" s="140">
        <f t="shared" si="52"/>
        <v>0</v>
      </c>
      <c r="O139" s="140">
        <f t="shared" si="52"/>
        <v>0</v>
      </c>
      <c r="P139" s="140">
        <f t="shared" si="52"/>
        <v>0</v>
      </c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  <c r="QA139" s="33"/>
      <c r="QB139" s="33"/>
      <c r="QC139" s="33"/>
      <c r="QD139" s="33"/>
      <c r="QE139" s="33"/>
      <c r="QF139" s="33"/>
      <c r="QG139" s="33"/>
      <c r="QH139" s="33"/>
      <c r="QI139" s="33"/>
      <c r="QJ139" s="33"/>
      <c r="QK139" s="33"/>
      <c r="QL139" s="33"/>
      <c r="QM139" s="33"/>
      <c r="QN139" s="33"/>
      <c r="QO139" s="33"/>
      <c r="QP139" s="33"/>
      <c r="QQ139" s="33"/>
      <c r="QR139" s="33"/>
      <c r="QS139" s="33"/>
      <c r="QT139" s="33"/>
      <c r="QU139" s="33"/>
      <c r="QV139" s="33"/>
      <c r="QW139" s="33"/>
      <c r="QX139" s="33"/>
      <c r="QY139" s="33"/>
      <c r="QZ139" s="33"/>
      <c r="RA139" s="33"/>
      <c r="RB139" s="33"/>
      <c r="RC139" s="33"/>
      <c r="RD139" s="33"/>
      <c r="RE139" s="33"/>
      <c r="RF139" s="33"/>
      <c r="RG139" s="33"/>
      <c r="RH139" s="33"/>
      <c r="RI139" s="33"/>
      <c r="RJ139" s="33"/>
      <c r="RK139" s="33"/>
      <c r="RL139" s="33"/>
      <c r="RM139" s="33"/>
      <c r="RN139" s="33"/>
      <c r="RO139" s="33"/>
      <c r="RP139" s="33"/>
      <c r="RQ139" s="33"/>
      <c r="RR139" s="33"/>
      <c r="RS139" s="33"/>
      <c r="RT139" s="33"/>
      <c r="RU139" s="33"/>
      <c r="RV139" s="33"/>
      <c r="RW139" s="33"/>
      <c r="RX139" s="33"/>
      <c r="RY139" s="33"/>
      <c r="RZ139" s="33"/>
      <c r="SA139" s="33"/>
      <c r="SB139" s="33"/>
      <c r="SC139" s="33"/>
      <c r="SD139" s="33"/>
      <c r="SE139" s="33"/>
      <c r="SF139" s="33"/>
      <c r="SG139" s="33"/>
      <c r="SH139" s="33"/>
      <c r="SI139" s="33"/>
      <c r="SJ139" s="33"/>
      <c r="SK139" s="33"/>
      <c r="SL139" s="33"/>
      <c r="SM139" s="33"/>
      <c r="SN139" s="33"/>
      <c r="SO139" s="33"/>
      <c r="SP139" s="33"/>
      <c r="SQ139" s="33"/>
      <c r="SR139" s="33"/>
      <c r="SS139" s="33"/>
      <c r="ST139" s="33"/>
      <c r="SU139" s="33"/>
      <c r="SV139" s="33"/>
      <c r="SW139" s="33"/>
      <c r="SX139" s="33"/>
      <c r="SY139" s="33"/>
      <c r="SZ139" s="33"/>
      <c r="TA139" s="33"/>
      <c r="TB139" s="33"/>
      <c r="TC139" s="33"/>
      <c r="TD139" s="33"/>
      <c r="TE139" s="33"/>
    </row>
    <row r="140" spans="1:525" s="22" customFormat="1" ht="48" customHeight="1" x14ac:dyDescent="0.25">
      <c r="A140" s="56" t="s">
        <v>168</v>
      </c>
      <c r="B140" s="84" t="str">
        <f>'дод 5'!A18</f>
        <v>0160</v>
      </c>
      <c r="C140" s="84" t="str">
        <f>'дод 5'!B18</f>
        <v>0111</v>
      </c>
      <c r="D140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140" s="141">
        <f t="shared" ref="E140:E164" si="53">F140+I140</f>
        <v>2544900</v>
      </c>
      <c r="F140" s="141">
        <f>2742700-197800</f>
        <v>2544900</v>
      </c>
      <c r="G140" s="141">
        <f>2086600-162100</f>
        <v>1924500</v>
      </c>
      <c r="H140" s="141">
        <v>57900</v>
      </c>
      <c r="I140" s="141"/>
      <c r="J140" s="141">
        <f>L140+O140</f>
        <v>0</v>
      </c>
      <c r="K140" s="141"/>
      <c r="L140" s="141"/>
      <c r="M140" s="141"/>
      <c r="N140" s="141"/>
      <c r="O140" s="141"/>
      <c r="P140" s="141">
        <f t="shared" ref="P140:P164" si="54">E140+J140</f>
        <v>2544900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</row>
    <row r="141" spans="1:525" s="22" customFormat="1" ht="33" customHeight="1" x14ac:dyDescent="0.25">
      <c r="A141" s="56" t="s">
        <v>169</v>
      </c>
      <c r="B141" s="84" t="str">
        <f>'дод 5'!A86</f>
        <v>2010</v>
      </c>
      <c r="C141" s="84" t="str">
        <f>'дод 5'!B86</f>
        <v>0731</v>
      </c>
      <c r="D141" s="6" t="str">
        <f>'дод 5'!C86</f>
        <v>Багатопрофільна стаціонарна медична допомога населенню</v>
      </c>
      <c r="E141" s="141">
        <f t="shared" si="53"/>
        <v>52837500</v>
      </c>
      <c r="F141" s="141">
        <f>51967500+570000+300000</f>
        <v>52837500</v>
      </c>
      <c r="G141" s="141"/>
      <c r="H141" s="141"/>
      <c r="I141" s="143"/>
      <c r="J141" s="141">
        <f t="shared" ref="J141:J164" si="55">L141+O141</f>
        <v>0</v>
      </c>
      <c r="K141" s="141"/>
      <c r="L141" s="141"/>
      <c r="M141" s="141"/>
      <c r="N141" s="141"/>
      <c r="O141" s="141"/>
      <c r="P141" s="141">
        <f t="shared" si="54"/>
        <v>52837500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</row>
    <row r="142" spans="1:525" s="24" customFormat="1" ht="30" hidden="1" customHeight="1" x14ac:dyDescent="0.25">
      <c r="A142" s="76"/>
      <c r="B142" s="97"/>
      <c r="C142" s="97"/>
      <c r="D142" s="79" t="s">
        <v>385</v>
      </c>
      <c r="E142" s="142">
        <f t="shared" si="53"/>
        <v>0</v>
      </c>
      <c r="F142" s="142"/>
      <c r="G142" s="142"/>
      <c r="H142" s="142"/>
      <c r="I142" s="145"/>
      <c r="J142" s="142">
        <f t="shared" si="55"/>
        <v>0</v>
      </c>
      <c r="K142" s="142"/>
      <c r="L142" s="142"/>
      <c r="M142" s="142"/>
      <c r="N142" s="142"/>
      <c r="O142" s="142"/>
      <c r="P142" s="142">
        <f t="shared" si="54"/>
        <v>0</v>
      </c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</row>
    <row r="143" spans="1:525" s="24" customFormat="1" ht="47.25" hidden="1" customHeight="1" x14ac:dyDescent="0.25">
      <c r="A143" s="76"/>
      <c r="B143" s="97"/>
      <c r="C143" s="97"/>
      <c r="D143" s="79" t="s">
        <v>386</v>
      </c>
      <c r="E143" s="142">
        <f t="shared" si="53"/>
        <v>0</v>
      </c>
      <c r="F143" s="142"/>
      <c r="G143" s="142"/>
      <c r="H143" s="142"/>
      <c r="I143" s="142"/>
      <c r="J143" s="142">
        <f t="shared" si="55"/>
        <v>0</v>
      </c>
      <c r="K143" s="142"/>
      <c r="L143" s="142"/>
      <c r="M143" s="142"/>
      <c r="N143" s="142"/>
      <c r="O143" s="142"/>
      <c r="P143" s="142">
        <f t="shared" si="54"/>
        <v>0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</row>
    <row r="144" spans="1:525" s="24" customFormat="1" ht="15.75" hidden="1" customHeight="1" x14ac:dyDescent="0.25">
      <c r="A144" s="76"/>
      <c r="B144" s="97"/>
      <c r="C144" s="97"/>
      <c r="D144" s="79" t="s">
        <v>388</v>
      </c>
      <c r="E144" s="142">
        <f t="shared" si="53"/>
        <v>0</v>
      </c>
      <c r="F144" s="142"/>
      <c r="G144" s="142"/>
      <c r="H144" s="142"/>
      <c r="I144" s="145"/>
      <c r="J144" s="142">
        <f t="shared" si="55"/>
        <v>0</v>
      </c>
      <c r="K144" s="142"/>
      <c r="L144" s="142"/>
      <c r="M144" s="142"/>
      <c r="N144" s="142"/>
      <c r="O144" s="142"/>
      <c r="P144" s="142">
        <f t="shared" si="54"/>
        <v>0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</row>
    <row r="145" spans="1:525" s="22" customFormat="1" ht="31.5" hidden="1" customHeight="1" x14ac:dyDescent="0.25">
      <c r="A145" s="56" t="s">
        <v>436</v>
      </c>
      <c r="B145" s="84">
        <v>2020</v>
      </c>
      <c r="C145" s="56" t="s">
        <v>437</v>
      </c>
      <c r="D145" s="57" t="str">
        <f>'дод 5'!C90</f>
        <v xml:space="preserve"> Спеціалізована стаціонарна медична допомога населенню</v>
      </c>
      <c r="E145" s="141">
        <f t="shared" si="53"/>
        <v>0</v>
      </c>
      <c r="F145" s="141"/>
      <c r="G145" s="143"/>
      <c r="H145" s="143"/>
      <c r="I145" s="143"/>
      <c r="J145" s="141">
        <f t="shared" si="55"/>
        <v>0</v>
      </c>
      <c r="K145" s="141"/>
      <c r="L145" s="141"/>
      <c r="M145" s="141"/>
      <c r="N145" s="141"/>
      <c r="O145" s="141"/>
      <c r="P145" s="141">
        <f t="shared" si="54"/>
        <v>0</v>
      </c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</row>
    <row r="146" spans="1:525" s="22" customFormat="1" ht="36.75" customHeight="1" x14ac:dyDescent="0.25">
      <c r="A146" s="56" t="s">
        <v>174</v>
      </c>
      <c r="B146" s="84" t="str">
        <f>'дод 5'!A91</f>
        <v>2030</v>
      </c>
      <c r="C146" s="84" t="str">
        <f>'дод 5'!B91</f>
        <v>0733</v>
      </c>
      <c r="D146" s="57" t="str">
        <f>'дод 5'!C91</f>
        <v>Лікарсько-акушерська допомога вагітним, породіллям та новонародженим</v>
      </c>
      <c r="E146" s="141">
        <f t="shared" si="53"/>
        <v>5125600</v>
      </c>
      <c r="F146" s="141">
        <v>5125600</v>
      </c>
      <c r="G146" s="146"/>
      <c r="H146" s="146"/>
      <c r="I146" s="143"/>
      <c r="J146" s="141">
        <f t="shared" si="55"/>
        <v>0</v>
      </c>
      <c r="K146" s="141"/>
      <c r="L146" s="141"/>
      <c r="M146" s="141"/>
      <c r="N146" s="141"/>
      <c r="O146" s="141"/>
      <c r="P146" s="141">
        <f t="shared" si="54"/>
        <v>5125600</v>
      </c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</row>
    <row r="147" spans="1:525" s="24" customFormat="1" ht="30" hidden="1" customHeight="1" x14ac:dyDescent="0.25">
      <c r="A147" s="76"/>
      <c r="B147" s="97"/>
      <c r="C147" s="97"/>
      <c r="D147" s="79" t="s">
        <v>385</v>
      </c>
      <c r="E147" s="142">
        <f t="shared" si="53"/>
        <v>0</v>
      </c>
      <c r="F147" s="142"/>
      <c r="G147" s="145"/>
      <c r="H147" s="145"/>
      <c r="I147" s="145"/>
      <c r="J147" s="142"/>
      <c r="K147" s="142"/>
      <c r="L147" s="142"/>
      <c r="M147" s="142"/>
      <c r="N147" s="142"/>
      <c r="O147" s="142"/>
      <c r="P147" s="142">
        <f t="shared" si="54"/>
        <v>0</v>
      </c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  <c r="SO147" s="30"/>
      <c r="SP147" s="30"/>
      <c r="SQ147" s="30"/>
      <c r="SR147" s="30"/>
      <c r="SS147" s="30"/>
      <c r="ST147" s="30"/>
      <c r="SU147" s="30"/>
      <c r="SV147" s="30"/>
      <c r="SW147" s="30"/>
      <c r="SX147" s="30"/>
      <c r="SY147" s="30"/>
      <c r="SZ147" s="30"/>
      <c r="TA147" s="30"/>
      <c r="TB147" s="30"/>
      <c r="TC147" s="30"/>
      <c r="TD147" s="30"/>
      <c r="TE147" s="30"/>
    </row>
    <row r="148" spans="1:525" s="22" customFormat="1" ht="24" customHeight="1" x14ac:dyDescent="0.25">
      <c r="A148" s="56" t="s">
        <v>173</v>
      </c>
      <c r="B148" s="84" t="str">
        <f>'дод 5'!A93</f>
        <v>2100</v>
      </c>
      <c r="C148" s="84" t="str">
        <f>'дод 5'!B93</f>
        <v>0722</v>
      </c>
      <c r="D148" s="57" t="str">
        <f>'дод 5'!C93</f>
        <v>Стоматологічна допомога населенню</v>
      </c>
      <c r="E148" s="141">
        <f t="shared" si="53"/>
        <v>12388700</v>
      </c>
      <c r="F148" s="141">
        <f>12958700-570000</f>
        <v>12388700</v>
      </c>
      <c r="G148" s="146"/>
      <c r="H148" s="146"/>
      <c r="I148" s="143"/>
      <c r="J148" s="141">
        <f t="shared" si="55"/>
        <v>0</v>
      </c>
      <c r="K148" s="141"/>
      <c r="L148" s="141"/>
      <c r="M148" s="141"/>
      <c r="N148" s="141"/>
      <c r="O148" s="141"/>
      <c r="P148" s="141">
        <f t="shared" si="54"/>
        <v>12388700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</row>
    <row r="149" spans="1:525" s="24" customFormat="1" ht="30" hidden="1" customHeight="1" x14ac:dyDescent="0.25">
      <c r="A149" s="76"/>
      <c r="B149" s="97"/>
      <c r="C149" s="97"/>
      <c r="D149" s="79" t="s">
        <v>385</v>
      </c>
      <c r="E149" s="142">
        <f t="shared" si="53"/>
        <v>0</v>
      </c>
      <c r="F149" s="142"/>
      <c r="G149" s="145"/>
      <c r="H149" s="145"/>
      <c r="I149" s="145"/>
      <c r="J149" s="142">
        <f t="shared" si="55"/>
        <v>0</v>
      </c>
      <c r="K149" s="142"/>
      <c r="L149" s="142"/>
      <c r="M149" s="142"/>
      <c r="N149" s="142"/>
      <c r="O149" s="142"/>
      <c r="P149" s="142">
        <f t="shared" si="54"/>
        <v>0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</row>
    <row r="150" spans="1:525" s="22" customFormat="1" ht="48" customHeight="1" x14ac:dyDescent="0.25">
      <c r="A150" s="56" t="s">
        <v>172</v>
      </c>
      <c r="B150" s="84" t="str">
        <f>'дод 5'!A95</f>
        <v>2111</v>
      </c>
      <c r="C150" s="84" t="str">
        <f>'дод 5'!B95</f>
        <v>0726</v>
      </c>
      <c r="D150" s="57" t="str">
        <f>'дод 5'!C95</f>
        <v>Первинна медична допомога населенню, що надається центрами первинної медичної (медико-санітарної) допомоги</v>
      </c>
      <c r="E150" s="141">
        <f t="shared" si="53"/>
        <v>5307100</v>
      </c>
      <c r="F150" s="141">
        <v>5307100</v>
      </c>
      <c r="G150" s="143"/>
      <c r="H150" s="146"/>
      <c r="I150" s="143"/>
      <c r="J150" s="141">
        <f t="shared" si="55"/>
        <v>0</v>
      </c>
      <c r="K150" s="141"/>
      <c r="L150" s="141"/>
      <c r="M150" s="141"/>
      <c r="N150" s="141"/>
      <c r="O150" s="141"/>
      <c r="P150" s="141">
        <f t="shared" si="54"/>
        <v>5307100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</row>
    <row r="151" spans="1:525" s="24" customFormat="1" ht="63" hidden="1" customHeight="1" x14ac:dyDescent="0.25">
      <c r="A151" s="76"/>
      <c r="B151" s="97"/>
      <c r="C151" s="97"/>
      <c r="D151" s="77" t="s">
        <v>387</v>
      </c>
      <c r="E151" s="142">
        <f t="shared" si="53"/>
        <v>0</v>
      </c>
      <c r="F151" s="142"/>
      <c r="G151" s="145"/>
      <c r="H151" s="145"/>
      <c r="I151" s="145"/>
      <c r="J151" s="142">
        <f t="shared" si="55"/>
        <v>0</v>
      </c>
      <c r="K151" s="142"/>
      <c r="L151" s="142"/>
      <c r="M151" s="142"/>
      <c r="N151" s="142"/>
      <c r="O151" s="142"/>
      <c r="P151" s="142">
        <f t="shared" si="54"/>
        <v>0</v>
      </c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</row>
    <row r="152" spans="1:525" s="22" customFormat="1" ht="31.5" hidden="1" customHeight="1" x14ac:dyDescent="0.25">
      <c r="A152" s="56" t="s">
        <v>171</v>
      </c>
      <c r="B152" s="84">
        <f>'дод 5'!A97</f>
        <v>2144</v>
      </c>
      <c r="C152" s="84" t="str">
        <f>'дод 5'!B97</f>
        <v>0763</v>
      </c>
      <c r="D152" s="105" t="str">
        <f>'дод 5'!C97</f>
        <v>Централізовані заходи з лікування хворих на цукровий та нецукровий діабет, у т.ч. за рахунок:</v>
      </c>
      <c r="E152" s="141">
        <f t="shared" si="53"/>
        <v>0</v>
      </c>
      <c r="F152" s="141"/>
      <c r="G152" s="143"/>
      <c r="H152" s="143"/>
      <c r="I152" s="143"/>
      <c r="J152" s="141">
        <f t="shared" si="55"/>
        <v>0</v>
      </c>
      <c r="K152" s="141"/>
      <c r="L152" s="141"/>
      <c r="M152" s="141"/>
      <c r="N152" s="141"/>
      <c r="O152" s="141"/>
      <c r="P152" s="141">
        <f t="shared" si="54"/>
        <v>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</row>
    <row r="153" spans="1:525" s="24" customFormat="1" ht="47.25" hidden="1" customHeight="1" x14ac:dyDescent="0.25">
      <c r="A153" s="76"/>
      <c r="B153" s="97"/>
      <c r="C153" s="97"/>
      <c r="D153" s="106" t="s">
        <v>386</v>
      </c>
      <c r="E153" s="142">
        <f t="shared" si="53"/>
        <v>0</v>
      </c>
      <c r="F153" s="142"/>
      <c r="G153" s="142"/>
      <c r="H153" s="142"/>
      <c r="I153" s="142"/>
      <c r="J153" s="142">
        <f t="shared" si="55"/>
        <v>0</v>
      </c>
      <c r="K153" s="142"/>
      <c r="L153" s="142"/>
      <c r="M153" s="142"/>
      <c r="N153" s="142"/>
      <c r="O153" s="142"/>
      <c r="P153" s="142">
        <f t="shared" si="54"/>
        <v>0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  <c r="SQ153" s="30"/>
      <c r="SR153" s="30"/>
      <c r="SS153" s="30"/>
      <c r="ST153" s="30"/>
      <c r="SU153" s="30"/>
      <c r="SV153" s="30"/>
      <c r="SW153" s="30"/>
      <c r="SX153" s="30"/>
      <c r="SY153" s="30"/>
      <c r="SZ153" s="30"/>
      <c r="TA153" s="30"/>
      <c r="TB153" s="30"/>
      <c r="TC153" s="30"/>
      <c r="TD153" s="30"/>
      <c r="TE153" s="30"/>
    </row>
    <row r="154" spans="1:525" s="24" customFormat="1" ht="63" hidden="1" customHeight="1" x14ac:dyDescent="0.25">
      <c r="A154" s="76"/>
      <c r="B154" s="97"/>
      <c r="C154" s="97"/>
      <c r="D154" s="106" t="s">
        <v>387</v>
      </c>
      <c r="E154" s="142">
        <f t="shared" si="53"/>
        <v>0</v>
      </c>
      <c r="F154" s="142"/>
      <c r="G154" s="145"/>
      <c r="H154" s="145"/>
      <c r="I154" s="145"/>
      <c r="J154" s="142">
        <f t="shared" si="55"/>
        <v>0</v>
      </c>
      <c r="K154" s="142"/>
      <c r="L154" s="142"/>
      <c r="M154" s="142"/>
      <c r="N154" s="142"/>
      <c r="O154" s="142"/>
      <c r="P154" s="142">
        <f t="shared" si="54"/>
        <v>0</v>
      </c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/>
      <c r="JQ154" s="30"/>
      <c r="JR154" s="30"/>
      <c r="JS154" s="30"/>
      <c r="JT154" s="30"/>
      <c r="JU154" s="30"/>
      <c r="JV154" s="30"/>
      <c r="JW154" s="30"/>
      <c r="JX154" s="30"/>
      <c r="JY154" s="30"/>
      <c r="JZ154" s="30"/>
      <c r="KA154" s="30"/>
      <c r="KB154" s="30"/>
      <c r="KC154" s="30"/>
      <c r="KD154" s="30"/>
      <c r="KE154" s="30"/>
      <c r="KF154" s="30"/>
      <c r="KG154" s="30"/>
      <c r="KH154" s="30"/>
      <c r="KI154" s="30"/>
      <c r="KJ154" s="30"/>
      <c r="KK154" s="30"/>
      <c r="KL154" s="30"/>
      <c r="KM154" s="30"/>
      <c r="KN154" s="30"/>
      <c r="KO154" s="30"/>
      <c r="KP154" s="30"/>
      <c r="KQ154" s="30"/>
      <c r="KR154" s="30"/>
      <c r="KS154" s="30"/>
      <c r="KT154" s="30"/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/>
      <c r="LJ154" s="30"/>
      <c r="LK154" s="30"/>
      <c r="LL154" s="30"/>
      <c r="LM154" s="30"/>
      <c r="LN154" s="30"/>
      <c r="LO154" s="30"/>
      <c r="LP154" s="30"/>
      <c r="LQ154" s="30"/>
      <c r="LR154" s="30"/>
      <c r="LS154" s="30"/>
      <c r="LT154" s="30"/>
      <c r="LU154" s="30"/>
      <c r="LV154" s="30"/>
      <c r="LW154" s="30"/>
      <c r="LX154" s="30"/>
      <c r="LY154" s="30"/>
      <c r="LZ154" s="30"/>
      <c r="MA154" s="30"/>
      <c r="MB154" s="30"/>
      <c r="MC154" s="30"/>
      <c r="MD154" s="30"/>
      <c r="ME154" s="30"/>
      <c r="MF154" s="30"/>
      <c r="MG154" s="30"/>
      <c r="MH154" s="30"/>
      <c r="MI154" s="30"/>
      <c r="MJ154" s="30"/>
      <c r="MK154" s="30"/>
      <c r="ML154" s="30"/>
      <c r="MM154" s="30"/>
      <c r="MN154" s="30"/>
      <c r="MO154" s="30"/>
      <c r="MP154" s="30"/>
      <c r="MQ154" s="30"/>
      <c r="MR154" s="30"/>
      <c r="MS154" s="30"/>
      <c r="MT154" s="30"/>
      <c r="MU154" s="30"/>
      <c r="MV154" s="30"/>
      <c r="MW154" s="30"/>
      <c r="MX154" s="30"/>
      <c r="MY154" s="30"/>
      <c r="MZ154" s="30"/>
      <c r="NA154" s="30"/>
      <c r="NB154" s="30"/>
      <c r="NC154" s="30"/>
      <c r="ND154" s="30"/>
      <c r="NE154" s="30"/>
      <c r="NF154" s="30"/>
      <c r="NG154" s="30"/>
      <c r="NH154" s="30"/>
      <c r="NI154" s="30"/>
      <c r="NJ154" s="30"/>
      <c r="NK154" s="30"/>
      <c r="NL154" s="30"/>
      <c r="NM154" s="30"/>
      <c r="NN154" s="30"/>
      <c r="NO154" s="30"/>
      <c r="NP154" s="30"/>
      <c r="NQ154" s="30"/>
      <c r="NR154" s="30"/>
      <c r="NS154" s="30"/>
      <c r="NT154" s="30"/>
      <c r="NU154" s="30"/>
      <c r="NV154" s="30"/>
      <c r="NW154" s="30"/>
      <c r="NX154" s="30"/>
      <c r="NY154" s="30"/>
      <c r="NZ154" s="30"/>
      <c r="OA154" s="30"/>
      <c r="OB154" s="30"/>
      <c r="OC154" s="30"/>
      <c r="OD154" s="30"/>
      <c r="OE154" s="30"/>
      <c r="OF154" s="30"/>
      <c r="OG154" s="30"/>
      <c r="OH154" s="30"/>
      <c r="OI154" s="30"/>
      <c r="OJ154" s="30"/>
      <c r="OK154" s="30"/>
      <c r="OL154" s="30"/>
      <c r="OM154" s="30"/>
      <c r="ON154" s="30"/>
      <c r="OO154" s="30"/>
      <c r="OP154" s="30"/>
      <c r="OQ154" s="30"/>
      <c r="OR154" s="30"/>
      <c r="OS154" s="30"/>
      <c r="OT154" s="30"/>
      <c r="OU154" s="30"/>
      <c r="OV154" s="30"/>
      <c r="OW154" s="30"/>
      <c r="OX154" s="30"/>
      <c r="OY154" s="30"/>
      <c r="OZ154" s="30"/>
      <c r="PA154" s="30"/>
      <c r="PB154" s="30"/>
      <c r="PC154" s="30"/>
      <c r="PD154" s="30"/>
      <c r="PE154" s="30"/>
      <c r="PF154" s="30"/>
      <c r="PG154" s="30"/>
      <c r="PH154" s="30"/>
      <c r="PI154" s="30"/>
      <c r="PJ154" s="30"/>
      <c r="PK154" s="30"/>
      <c r="PL154" s="30"/>
      <c r="PM154" s="30"/>
      <c r="PN154" s="30"/>
      <c r="PO154" s="30"/>
      <c r="PP154" s="30"/>
      <c r="PQ154" s="30"/>
      <c r="PR154" s="30"/>
      <c r="PS154" s="30"/>
      <c r="PT154" s="30"/>
      <c r="PU154" s="30"/>
      <c r="PV154" s="30"/>
      <c r="PW154" s="30"/>
      <c r="PX154" s="30"/>
      <c r="PY154" s="30"/>
      <c r="PZ154" s="30"/>
      <c r="QA154" s="30"/>
      <c r="QB154" s="30"/>
      <c r="QC154" s="30"/>
      <c r="QD154" s="30"/>
      <c r="QE154" s="30"/>
      <c r="QF154" s="30"/>
      <c r="QG154" s="30"/>
      <c r="QH154" s="30"/>
      <c r="QI154" s="30"/>
      <c r="QJ154" s="30"/>
      <c r="QK154" s="30"/>
      <c r="QL154" s="30"/>
      <c r="QM154" s="30"/>
      <c r="QN154" s="30"/>
      <c r="QO154" s="30"/>
      <c r="QP154" s="30"/>
      <c r="QQ154" s="30"/>
      <c r="QR154" s="30"/>
      <c r="QS154" s="30"/>
      <c r="QT154" s="30"/>
      <c r="QU154" s="30"/>
      <c r="QV154" s="30"/>
      <c r="QW154" s="30"/>
      <c r="QX154" s="30"/>
      <c r="QY154" s="30"/>
      <c r="QZ154" s="30"/>
      <c r="RA154" s="30"/>
      <c r="RB154" s="30"/>
      <c r="RC154" s="30"/>
      <c r="RD154" s="30"/>
      <c r="RE154" s="30"/>
      <c r="RF154" s="30"/>
      <c r="RG154" s="30"/>
      <c r="RH154" s="30"/>
      <c r="RI154" s="30"/>
      <c r="RJ154" s="30"/>
      <c r="RK154" s="30"/>
      <c r="RL154" s="30"/>
      <c r="RM154" s="30"/>
      <c r="RN154" s="30"/>
      <c r="RO154" s="30"/>
      <c r="RP154" s="30"/>
      <c r="RQ154" s="30"/>
      <c r="RR154" s="30"/>
      <c r="RS154" s="30"/>
      <c r="RT154" s="30"/>
      <c r="RU154" s="30"/>
      <c r="RV154" s="30"/>
      <c r="RW154" s="30"/>
      <c r="RX154" s="30"/>
      <c r="RY154" s="30"/>
      <c r="RZ154" s="30"/>
      <c r="SA154" s="30"/>
      <c r="SB154" s="30"/>
      <c r="SC154" s="30"/>
      <c r="SD154" s="30"/>
      <c r="SE154" s="30"/>
      <c r="SF154" s="30"/>
      <c r="SG154" s="30"/>
      <c r="SH154" s="30"/>
      <c r="SI154" s="30"/>
      <c r="SJ154" s="30"/>
      <c r="SK154" s="30"/>
      <c r="SL154" s="30"/>
      <c r="SM154" s="30"/>
      <c r="SN154" s="30"/>
      <c r="SO154" s="30"/>
      <c r="SP154" s="30"/>
      <c r="SQ154" s="30"/>
      <c r="SR154" s="30"/>
      <c r="SS154" s="30"/>
      <c r="ST154" s="30"/>
      <c r="SU154" s="30"/>
      <c r="SV154" s="30"/>
      <c r="SW154" s="30"/>
      <c r="SX154" s="30"/>
      <c r="SY154" s="30"/>
      <c r="SZ154" s="30"/>
      <c r="TA154" s="30"/>
      <c r="TB154" s="30"/>
      <c r="TC154" s="30"/>
      <c r="TD154" s="30"/>
      <c r="TE154" s="30"/>
    </row>
    <row r="155" spans="1:525" s="22" customFormat="1" ht="30" customHeight="1" x14ac:dyDescent="0.25">
      <c r="A155" s="56" t="s">
        <v>320</v>
      </c>
      <c r="B155" s="42" t="str">
        <f>'дод 5'!A100</f>
        <v>2151</v>
      </c>
      <c r="C155" s="42" t="str">
        <f>'дод 5'!B100</f>
        <v>0763</v>
      </c>
      <c r="D155" s="57" t="str">
        <f>'дод 5'!C100</f>
        <v>Забезпечення діяльності інших закладів у сфері охорони здоров'я</v>
      </c>
      <c r="E155" s="141">
        <f t="shared" si="53"/>
        <v>3518500</v>
      </c>
      <c r="F155" s="141">
        <v>3518500</v>
      </c>
      <c r="G155" s="146">
        <v>2645800</v>
      </c>
      <c r="H155" s="146">
        <v>158000</v>
      </c>
      <c r="I155" s="143"/>
      <c r="J155" s="141">
        <f t="shared" si="55"/>
        <v>300000</v>
      </c>
      <c r="K155" s="141">
        <v>300000</v>
      </c>
      <c r="L155" s="141"/>
      <c r="M155" s="141"/>
      <c r="N155" s="141"/>
      <c r="O155" s="141">
        <v>300000</v>
      </c>
      <c r="P155" s="141">
        <f t="shared" si="54"/>
        <v>3818500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</row>
    <row r="156" spans="1:525" s="22" customFormat="1" ht="34.5" customHeight="1" x14ac:dyDescent="0.25">
      <c r="A156" s="56" t="s">
        <v>321</v>
      </c>
      <c r="B156" s="42" t="str">
        <f>'дод 5'!A101</f>
        <v>2152</v>
      </c>
      <c r="C156" s="42" t="str">
        <f>'дод 5'!B101</f>
        <v>0763</v>
      </c>
      <c r="D156" s="36" t="str">
        <f>'дод 5'!C101</f>
        <v>Інші програми та заходи у сфері охорони здоров'я</v>
      </c>
      <c r="E156" s="141">
        <f>F156+I156</f>
        <v>21723600</v>
      </c>
      <c r="F156" s="141">
        <v>21723600</v>
      </c>
      <c r="G156" s="141"/>
      <c r="H156" s="141"/>
      <c r="I156" s="141"/>
      <c r="J156" s="141">
        <f t="shared" si="55"/>
        <v>80030000</v>
      </c>
      <c r="K156" s="141">
        <v>80030000</v>
      </c>
      <c r="L156" s="141"/>
      <c r="M156" s="141"/>
      <c r="N156" s="141"/>
      <c r="O156" s="141">
        <v>80030000</v>
      </c>
      <c r="P156" s="141">
        <f t="shared" si="54"/>
        <v>101753600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</row>
    <row r="157" spans="1:525" s="22" customFormat="1" ht="24.75" hidden="1" customHeight="1" x14ac:dyDescent="0.25">
      <c r="A157" s="56" t="s">
        <v>410</v>
      </c>
      <c r="B157" s="42">
        <v>7322</v>
      </c>
      <c r="C157" s="89" t="s">
        <v>110</v>
      </c>
      <c r="D157" s="6" t="str">
        <f>'дод 5'!C184</f>
        <v>Будівництво1 медичних установ та закладів</v>
      </c>
      <c r="E157" s="141">
        <f>F157+I157</f>
        <v>0</v>
      </c>
      <c r="F157" s="141"/>
      <c r="G157" s="141"/>
      <c r="H157" s="141"/>
      <c r="I157" s="141"/>
      <c r="J157" s="141">
        <f t="shared" si="55"/>
        <v>0</v>
      </c>
      <c r="K157" s="141"/>
      <c r="L157" s="141"/>
      <c r="M157" s="141"/>
      <c r="N157" s="141"/>
      <c r="O157" s="141"/>
      <c r="P157" s="141">
        <f t="shared" si="54"/>
        <v>0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</row>
    <row r="158" spans="1:525" s="22" customFormat="1" ht="47.25" x14ac:dyDescent="0.25">
      <c r="A158" s="56" t="s">
        <v>368</v>
      </c>
      <c r="B158" s="42">
        <f>'дод 5'!A191</f>
        <v>7361</v>
      </c>
      <c r="C158" s="42" t="str">
        <f>'дод 5'!B191</f>
        <v>0490</v>
      </c>
      <c r="D158" s="36" t="str">
        <f>'дод 5'!C191</f>
        <v>Співфінансування інвестиційних проектів, що реалізуються за рахунок коштів державного фонду регіонального розвитку</v>
      </c>
      <c r="E158" s="141">
        <f t="shared" si="53"/>
        <v>0</v>
      </c>
      <c r="F158" s="141"/>
      <c r="G158" s="141"/>
      <c r="H158" s="141"/>
      <c r="I158" s="141"/>
      <c r="J158" s="141">
        <f t="shared" si="55"/>
        <v>7136700</v>
      </c>
      <c r="K158" s="141">
        <f>17636700+1100000-10000000-1600000</f>
        <v>7136700</v>
      </c>
      <c r="L158" s="141"/>
      <c r="M158" s="141"/>
      <c r="N158" s="141"/>
      <c r="O158" s="141">
        <f>17636700+1100000-10000000-1600000</f>
        <v>7136700</v>
      </c>
      <c r="P158" s="141">
        <f t="shared" si="54"/>
        <v>7136700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</row>
    <row r="159" spans="1:525" s="22" customFormat="1" ht="47.25" hidden="1" customHeight="1" x14ac:dyDescent="0.25">
      <c r="A159" s="56" t="s">
        <v>417</v>
      </c>
      <c r="B159" s="42">
        <v>7363</v>
      </c>
      <c r="C159" s="89" t="s">
        <v>81</v>
      </c>
      <c r="D159" s="57" t="s">
        <v>392</v>
      </c>
      <c r="E159" s="141">
        <f t="shared" si="53"/>
        <v>0</v>
      </c>
      <c r="F159" s="141"/>
      <c r="G159" s="141"/>
      <c r="H159" s="141"/>
      <c r="I159" s="141"/>
      <c r="J159" s="141">
        <f t="shared" si="55"/>
        <v>0</v>
      </c>
      <c r="K159" s="141"/>
      <c r="L159" s="141"/>
      <c r="M159" s="141"/>
      <c r="N159" s="141"/>
      <c r="O159" s="141"/>
      <c r="P159" s="141">
        <f t="shared" si="54"/>
        <v>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</row>
    <row r="160" spans="1:525" s="22" customFormat="1" ht="47.25" hidden="1" customHeight="1" x14ac:dyDescent="0.25">
      <c r="A160" s="56"/>
      <c r="B160" s="42"/>
      <c r="C160" s="42"/>
      <c r="D160" s="79" t="s">
        <v>383</v>
      </c>
      <c r="E160" s="142">
        <f t="shared" si="53"/>
        <v>0</v>
      </c>
      <c r="F160" s="142"/>
      <c r="G160" s="142"/>
      <c r="H160" s="142"/>
      <c r="I160" s="142"/>
      <c r="J160" s="142">
        <f t="shared" si="55"/>
        <v>0</v>
      </c>
      <c r="K160" s="142"/>
      <c r="L160" s="142"/>
      <c r="M160" s="142"/>
      <c r="N160" s="142"/>
      <c r="O160" s="142"/>
      <c r="P160" s="142">
        <f t="shared" si="54"/>
        <v>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</row>
    <row r="161" spans="1:525" s="22" customFormat="1" ht="27.75" customHeight="1" x14ac:dyDescent="0.25">
      <c r="A161" s="56" t="s">
        <v>170</v>
      </c>
      <c r="B161" s="84" t="str">
        <f>'дод 5'!A219</f>
        <v>7640</v>
      </c>
      <c r="C161" s="84" t="str">
        <f>'дод 5'!B219</f>
        <v>0470</v>
      </c>
      <c r="D161" s="57" t="s">
        <v>416</v>
      </c>
      <c r="E161" s="141">
        <f t="shared" si="53"/>
        <v>124500</v>
      </c>
      <c r="F161" s="141">
        <v>124500</v>
      </c>
      <c r="G161" s="141"/>
      <c r="H161" s="141"/>
      <c r="I161" s="141"/>
      <c r="J161" s="141">
        <f t="shared" si="55"/>
        <v>40500</v>
      </c>
      <c r="K161" s="141">
        <f>8635500-6900000-700000-495000-500000</f>
        <v>40500</v>
      </c>
      <c r="L161" s="141"/>
      <c r="M161" s="141"/>
      <c r="N161" s="141"/>
      <c r="O161" s="141">
        <f>8635500-6900000-700000-495000-500000</f>
        <v>40500</v>
      </c>
      <c r="P161" s="141">
        <f t="shared" si="54"/>
        <v>165000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</row>
    <row r="162" spans="1:525" s="24" customFormat="1" ht="15" hidden="1" customHeight="1" x14ac:dyDescent="0.25">
      <c r="A162" s="76"/>
      <c r="B162" s="97"/>
      <c r="C162" s="97"/>
      <c r="D162" s="77" t="s">
        <v>413</v>
      </c>
      <c r="E162" s="142">
        <f t="shared" si="53"/>
        <v>0</v>
      </c>
      <c r="F162" s="142"/>
      <c r="G162" s="142"/>
      <c r="H162" s="142"/>
      <c r="I162" s="142"/>
      <c r="J162" s="142">
        <f t="shared" si="55"/>
        <v>0</v>
      </c>
      <c r="K162" s="142"/>
      <c r="L162" s="142"/>
      <c r="M162" s="142"/>
      <c r="N162" s="142"/>
      <c r="O162" s="142"/>
      <c r="P162" s="142">
        <f t="shared" si="54"/>
        <v>0</v>
      </c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</row>
    <row r="163" spans="1:525" s="22" customFormat="1" ht="45" hidden="1" customHeight="1" x14ac:dyDescent="0.25">
      <c r="A163" s="56" t="s">
        <v>356</v>
      </c>
      <c r="B163" s="84">
        <v>7700</v>
      </c>
      <c r="C163" s="56" t="s">
        <v>92</v>
      </c>
      <c r="D163" s="57" t="s">
        <v>357</v>
      </c>
      <c r="E163" s="141">
        <f t="shared" si="53"/>
        <v>0</v>
      </c>
      <c r="F163" s="141"/>
      <c r="G163" s="141"/>
      <c r="H163" s="141"/>
      <c r="I163" s="141"/>
      <c r="J163" s="141">
        <f t="shared" si="55"/>
        <v>0</v>
      </c>
      <c r="K163" s="141"/>
      <c r="L163" s="141"/>
      <c r="M163" s="141"/>
      <c r="N163" s="141"/>
      <c r="O163" s="141"/>
      <c r="P163" s="141">
        <f t="shared" si="54"/>
        <v>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</row>
    <row r="164" spans="1:525" s="22" customFormat="1" ht="15.75" hidden="1" customHeight="1" x14ac:dyDescent="0.25">
      <c r="A164" s="56" t="s">
        <v>422</v>
      </c>
      <c r="B164" s="84">
        <v>9770</v>
      </c>
      <c r="C164" s="56" t="s">
        <v>44</v>
      </c>
      <c r="D164" s="57" t="s">
        <v>423</v>
      </c>
      <c r="E164" s="141">
        <f t="shared" si="53"/>
        <v>0</v>
      </c>
      <c r="F164" s="141"/>
      <c r="G164" s="141"/>
      <c r="H164" s="141"/>
      <c r="I164" s="141"/>
      <c r="J164" s="141">
        <f t="shared" si="55"/>
        <v>0</v>
      </c>
      <c r="K164" s="141"/>
      <c r="L164" s="141"/>
      <c r="M164" s="141"/>
      <c r="N164" s="141"/>
      <c r="O164" s="141"/>
      <c r="P164" s="141">
        <f t="shared" si="54"/>
        <v>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</row>
    <row r="165" spans="1:525" s="27" customFormat="1" ht="36" customHeight="1" x14ac:dyDescent="0.25">
      <c r="A165" s="96" t="s">
        <v>175</v>
      </c>
      <c r="B165" s="98"/>
      <c r="C165" s="98"/>
      <c r="D165" s="93" t="s">
        <v>37</v>
      </c>
      <c r="E165" s="139">
        <f>E166</f>
        <v>233732082</v>
      </c>
      <c r="F165" s="139">
        <f t="shared" ref="F165:J165" si="56">F166</f>
        <v>233732082</v>
      </c>
      <c r="G165" s="139">
        <f t="shared" si="56"/>
        <v>59588900</v>
      </c>
      <c r="H165" s="139">
        <f t="shared" si="56"/>
        <v>2416100</v>
      </c>
      <c r="I165" s="139">
        <f t="shared" si="56"/>
        <v>0</v>
      </c>
      <c r="J165" s="139">
        <f t="shared" si="56"/>
        <v>668200</v>
      </c>
      <c r="K165" s="139">
        <f t="shared" ref="K165" si="57">K166</f>
        <v>572000</v>
      </c>
      <c r="L165" s="139">
        <f t="shared" ref="L165" si="58">L166</f>
        <v>96200</v>
      </c>
      <c r="M165" s="139">
        <f t="shared" ref="M165" si="59">M166</f>
        <v>78600</v>
      </c>
      <c r="N165" s="139">
        <f t="shared" ref="N165" si="60">N166</f>
        <v>0</v>
      </c>
      <c r="O165" s="139">
        <f t="shared" ref="O165:P165" si="61">O166</f>
        <v>572000</v>
      </c>
      <c r="P165" s="139">
        <f t="shared" si="61"/>
        <v>234400282</v>
      </c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  <c r="SQ165" s="32"/>
      <c r="SR165" s="32"/>
      <c r="SS165" s="32"/>
      <c r="ST165" s="32"/>
      <c r="SU165" s="32"/>
      <c r="SV165" s="32"/>
      <c r="SW165" s="32"/>
      <c r="SX165" s="32"/>
      <c r="SY165" s="32"/>
      <c r="SZ165" s="32"/>
      <c r="TA165" s="32"/>
      <c r="TB165" s="32"/>
      <c r="TC165" s="32"/>
      <c r="TD165" s="32"/>
      <c r="TE165" s="32"/>
    </row>
    <row r="166" spans="1:525" s="34" customFormat="1" ht="32.25" customHeight="1" x14ac:dyDescent="0.25">
      <c r="A166" s="86" t="s">
        <v>176</v>
      </c>
      <c r="B166" s="95"/>
      <c r="C166" s="95"/>
      <c r="D166" s="70" t="s">
        <v>389</v>
      </c>
      <c r="E166" s="140">
        <f>E172+E173+E174+E175+E176+E178+E179+E180+E182+E184+E186+E187+E189+E191+E192+E193+E194+E195+E196+E198+E200+E202+E203+E205+E207+E185+E206</f>
        <v>233732082</v>
      </c>
      <c r="F166" s="140">
        <f t="shared" ref="F166:P166" si="62">F172+F173+F174+F175+F176+F178+F179+F180+F182+F184+F186+F187+F189+F191+F192+F193+F194+F195+F196+F198+F200+F202+F203+F205+F207+F185+F206</f>
        <v>233732082</v>
      </c>
      <c r="G166" s="140">
        <f t="shared" si="62"/>
        <v>59588900</v>
      </c>
      <c r="H166" s="140">
        <f t="shared" si="62"/>
        <v>2416100</v>
      </c>
      <c r="I166" s="140">
        <f t="shared" si="62"/>
        <v>0</v>
      </c>
      <c r="J166" s="140">
        <f t="shared" si="62"/>
        <v>668200</v>
      </c>
      <c r="K166" s="140">
        <f t="shared" si="62"/>
        <v>572000</v>
      </c>
      <c r="L166" s="140">
        <f t="shared" si="62"/>
        <v>96200</v>
      </c>
      <c r="M166" s="140">
        <f t="shared" si="62"/>
        <v>78600</v>
      </c>
      <c r="N166" s="140">
        <f t="shared" si="62"/>
        <v>0</v>
      </c>
      <c r="O166" s="140">
        <f t="shared" si="62"/>
        <v>572000</v>
      </c>
      <c r="P166" s="140">
        <f t="shared" si="62"/>
        <v>234400282</v>
      </c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</row>
    <row r="167" spans="1:525" s="34" customFormat="1" ht="275.25" hidden="1" customHeight="1" x14ac:dyDescent="0.25">
      <c r="A167" s="86"/>
      <c r="B167" s="95"/>
      <c r="C167" s="95"/>
      <c r="D167" s="70" t="str">
        <f>'дод 5'!C103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7" s="140">
        <f>E197</f>
        <v>0</v>
      </c>
      <c r="F167" s="140">
        <f>L197</f>
        <v>0</v>
      </c>
      <c r="G167" s="140">
        <f t="shared" ref="G167:P167" si="63">G197</f>
        <v>0</v>
      </c>
      <c r="H167" s="140">
        <f t="shared" si="63"/>
        <v>0</v>
      </c>
      <c r="I167" s="140">
        <f t="shared" si="63"/>
        <v>0</v>
      </c>
      <c r="J167" s="140">
        <f t="shared" si="63"/>
        <v>0</v>
      </c>
      <c r="K167" s="140">
        <f t="shared" si="63"/>
        <v>0</v>
      </c>
      <c r="L167" s="140">
        <f t="shared" si="63"/>
        <v>0</v>
      </c>
      <c r="M167" s="140">
        <f t="shared" si="63"/>
        <v>0</v>
      </c>
      <c r="N167" s="140">
        <f t="shared" si="63"/>
        <v>0</v>
      </c>
      <c r="O167" s="140">
        <f t="shared" si="63"/>
        <v>0</v>
      </c>
      <c r="P167" s="140">
        <f t="shared" si="63"/>
        <v>0</v>
      </c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</row>
    <row r="168" spans="1:525" s="34" customFormat="1" ht="255" hidden="1" customHeight="1" x14ac:dyDescent="0.25">
      <c r="A168" s="86"/>
      <c r="B168" s="95"/>
      <c r="C168" s="95"/>
      <c r="D168" s="70" t="str">
        <f>'дод 5'!C104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8" s="140">
        <f>E201</f>
        <v>0</v>
      </c>
      <c r="F168" s="140">
        <f t="shared" ref="F168:P168" si="64">F201</f>
        <v>0</v>
      </c>
      <c r="G168" s="140">
        <f t="shared" si="64"/>
        <v>0</v>
      </c>
      <c r="H168" s="140">
        <f t="shared" si="64"/>
        <v>0</v>
      </c>
      <c r="I168" s="140">
        <f t="shared" si="64"/>
        <v>0</v>
      </c>
      <c r="J168" s="140">
        <f t="shared" si="64"/>
        <v>0</v>
      </c>
      <c r="K168" s="140">
        <f t="shared" si="64"/>
        <v>0</v>
      </c>
      <c r="L168" s="140">
        <f t="shared" si="64"/>
        <v>0</v>
      </c>
      <c r="M168" s="140">
        <f t="shared" si="64"/>
        <v>0</v>
      </c>
      <c r="N168" s="140">
        <f t="shared" si="64"/>
        <v>0</v>
      </c>
      <c r="O168" s="140">
        <f t="shared" si="64"/>
        <v>0</v>
      </c>
      <c r="P168" s="140">
        <f t="shared" si="64"/>
        <v>0</v>
      </c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</row>
    <row r="169" spans="1:525" s="34" customFormat="1" ht="15.75" x14ac:dyDescent="0.25">
      <c r="A169" s="86"/>
      <c r="B169" s="95"/>
      <c r="C169" s="95"/>
      <c r="D169" s="70" t="s">
        <v>390</v>
      </c>
      <c r="E169" s="140">
        <f>E177+E181+E183+E188+E190+E204</f>
        <v>1293200</v>
      </c>
      <c r="F169" s="140">
        <f>F177+F181+F183+F188+F190+F204</f>
        <v>1293200</v>
      </c>
      <c r="G169" s="140">
        <f t="shared" ref="G169:P169" si="65">G177+G181+G183+G188+G190+G204</f>
        <v>0</v>
      </c>
      <c r="H169" s="140">
        <f t="shared" si="65"/>
        <v>0</v>
      </c>
      <c r="I169" s="140">
        <f t="shared" si="65"/>
        <v>0</v>
      </c>
      <c r="J169" s="140">
        <f t="shared" si="65"/>
        <v>0</v>
      </c>
      <c r="K169" s="140">
        <f t="shared" si="65"/>
        <v>0</v>
      </c>
      <c r="L169" s="140">
        <f t="shared" si="65"/>
        <v>0</v>
      </c>
      <c r="M169" s="140">
        <f t="shared" si="65"/>
        <v>0</v>
      </c>
      <c r="N169" s="140">
        <f t="shared" si="65"/>
        <v>0</v>
      </c>
      <c r="O169" s="140">
        <f t="shared" si="65"/>
        <v>0</v>
      </c>
      <c r="P169" s="140">
        <f t="shared" si="65"/>
        <v>1293200</v>
      </c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</row>
    <row r="170" spans="1:525" s="34" customFormat="1" ht="309.75" hidden="1" customHeight="1" x14ac:dyDescent="0.25">
      <c r="A170" s="86"/>
      <c r="B170" s="95"/>
      <c r="C170" s="95"/>
      <c r="D170" s="70" t="s">
        <v>549</v>
      </c>
      <c r="E170" s="140">
        <f>E197</f>
        <v>0</v>
      </c>
      <c r="F170" s="140">
        <f t="shared" ref="F170:P170" si="66">F197</f>
        <v>0</v>
      </c>
      <c r="G170" s="140">
        <f t="shared" si="66"/>
        <v>0</v>
      </c>
      <c r="H170" s="140">
        <f t="shared" si="66"/>
        <v>0</v>
      </c>
      <c r="I170" s="140">
        <f t="shared" si="66"/>
        <v>0</v>
      </c>
      <c r="J170" s="140">
        <f t="shared" si="66"/>
        <v>0</v>
      </c>
      <c r="K170" s="140">
        <f t="shared" si="66"/>
        <v>0</v>
      </c>
      <c r="L170" s="140">
        <f t="shared" si="66"/>
        <v>0</v>
      </c>
      <c r="M170" s="140">
        <f t="shared" si="66"/>
        <v>0</v>
      </c>
      <c r="N170" s="140">
        <f t="shared" si="66"/>
        <v>0</v>
      </c>
      <c r="O170" s="140">
        <f t="shared" si="66"/>
        <v>0</v>
      </c>
      <c r="P170" s="140">
        <f t="shared" si="66"/>
        <v>0</v>
      </c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</row>
    <row r="171" spans="1:525" s="34" customFormat="1" ht="369.75" hidden="1" customHeight="1" x14ac:dyDescent="0.25">
      <c r="A171" s="86"/>
      <c r="B171" s="95"/>
      <c r="C171" s="95"/>
      <c r="D171" s="70" t="s">
        <v>566</v>
      </c>
      <c r="E171" s="140">
        <f>E199</f>
        <v>0</v>
      </c>
      <c r="F171" s="140">
        <f t="shared" ref="F171:P171" si="67">F199</f>
        <v>0</v>
      </c>
      <c r="G171" s="140">
        <f t="shared" si="67"/>
        <v>0</v>
      </c>
      <c r="H171" s="140">
        <f t="shared" si="67"/>
        <v>0</v>
      </c>
      <c r="I171" s="140">
        <f t="shared" si="67"/>
        <v>0</v>
      </c>
      <c r="J171" s="140">
        <f t="shared" si="67"/>
        <v>0</v>
      </c>
      <c r="K171" s="140">
        <f t="shared" si="67"/>
        <v>0</v>
      </c>
      <c r="L171" s="140">
        <f t="shared" si="67"/>
        <v>0</v>
      </c>
      <c r="M171" s="140">
        <f t="shared" si="67"/>
        <v>0</v>
      </c>
      <c r="N171" s="140">
        <f t="shared" si="67"/>
        <v>0</v>
      </c>
      <c r="O171" s="140">
        <f t="shared" si="67"/>
        <v>0</v>
      </c>
      <c r="P171" s="140">
        <f t="shared" si="67"/>
        <v>0</v>
      </c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</row>
    <row r="172" spans="1:525" s="22" customFormat="1" ht="50.25" customHeight="1" x14ac:dyDescent="0.25">
      <c r="A172" s="56" t="s">
        <v>177</v>
      </c>
      <c r="B172" s="84" t="str">
        <f>'дод 5'!A18</f>
        <v>0160</v>
      </c>
      <c r="C172" s="84" t="str">
        <f>'дод 5'!B18</f>
        <v>0111</v>
      </c>
      <c r="D172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172" s="141">
        <f t="shared" ref="E172:E207" si="68">F172+I172</f>
        <v>53685900</v>
      </c>
      <c r="F172" s="141">
        <f>58159000-4473100</f>
        <v>53685900</v>
      </c>
      <c r="G172" s="141">
        <f>44913600-3666500</f>
        <v>41247100</v>
      </c>
      <c r="H172" s="141">
        <v>1347600</v>
      </c>
      <c r="I172" s="141"/>
      <c r="J172" s="141">
        <f>L172+O172</f>
        <v>0</v>
      </c>
      <c r="K172" s="141">
        <f>68000-68000</f>
        <v>0</v>
      </c>
      <c r="L172" s="141"/>
      <c r="M172" s="141"/>
      <c r="N172" s="141"/>
      <c r="O172" s="141">
        <f>68000-68000</f>
        <v>0</v>
      </c>
      <c r="P172" s="141">
        <f t="shared" ref="P172:P207" si="69">E172+J172</f>
        <v>53685900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</row>
    <row r="173" spans="1:525" s="22" customFormat="1" ht="23.25" customHeight="1" x14ac:dyDescent="0.25">
      <c r="A173" s="56" t="s">
        <v>512</v>
      </c>
      <c r="B173" s="56" t="s">
        <v>44</v>
      </c>
      <c r="C173" s="56" t="s">
        <v>92</v>
      </c>
      <c r="D173" s="36" t="str">
        <f>'дод 5'!C20</f>
        <v>Інша діяльність у сфері державного управління</v>
      </c>
      <c r="E173" s="141">
        <f t="shared" si="68"/>
        <v>41949</v>
      </c>
      <c r="F173" s="141">
        <v>41949</v>
      </c>
      <c r="G173" s="141"/>
      <c r="H173" s="141"/>
      <c r="I173" s="141"/>
      <c r="J173" s="141">
        <f>L173+O173</f>
        <v>0</v>
      </c>
      <c r="K173" s="141"/>
      <c r="L173" s="141"/>
      <c r="M173" s="141"/>
      <c r="N173" s="141"/>
      <c r="O173" s="141"/>
      <c r="P173" s="141">
        <f t="shared" si="69"/>
        <v>41949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</row>
    <row r="174" spans="1:525" s="23" customFormat="1" ht="36" customHeight="1" x14ac:dyDescent="0.25">
      <c r="A174" s="56" t="s">
        <v>178</v>
      </c>
      <c r="B174" s="84" t="str">
        <f>'дод 5'!A108</f>
        <v>3031</v>
      </c>
      <c r="C174" s="84" t="str">
        <f>'дод 5'!B108</f>
        <v>1030</v>
      </c>
      <c r="D174" s="57" t="str">
        <f>'дод 5'!C108</f>
        <v>Надання інших пільг окремим категоріям громадян відповідно до законодавства</v>
      </c>
      <c r="E174" s="141">
        <f t="shared" si="68"/>
        <v>675400</v>
      </c>
      <c r="F174" s="141">
        <v>675400</v>
      </c>
      <c r="G174" s="141"/>
      <c r="H174" s="141"/>
      <c r="I174" s="141"/>
      <c r="J174" s="141">
        <f t="shared" ref="J174:J201" si="70">L174+O174</f>
        <v>0</v>
      </c>
      <c r="K174" s="141"/>
      <c r="L174" s="141"/>
      <c r="M174" s="141"/>
      <c r="N174" s="141"/>
      <c r="O174" s="141"/>
      <c r="P174" s="141">
        <f t="shared" si="69"/>
        <v>675400</v>
      </c>
    </row>
    <row r="175" spans="1:525" s="23" customFormat="1" ht="33" customHeight="1" x14ac:dyDescent="0.25">
      <c r="A175" s="56" t="s">
        <v>179</v>
      </c>
      <c r="B175" s="84" t="str">
        <f>'дод 5'!A109</f>
        <v>3032</v>
      </c>
      <c r="C175" s="84" t="str">
        <f>'дод 5'!B109</f>
        <v>1070</v>
      </c>
      <c r="D175" s="57" t="str">
        <f>'дод 5'!C109</f>
        <v>Надання пільг окремим категоріям громадян з оплати послуг зв'язку</v>
      </c>
      <c r="E175" s="141">
        <f t="shared" si="68"/>
        <v>1023300</v>
      </c>
      <c r="F175" s="141">
        <v>1023300</v>
      </c>
      <c r="G175" s="141"/>
      <c r="H175" s="141"/>
      <c r="I175" s="141"/>
      <c r="J175" s="141">
        <f t="shared" si="70"/>
        <v>0</v>
      </c>
      <c r="K175" s="141"/>
      <c r="L175" s="141"/>
      <c r="M175" s="141"/>
      <c r="N175" s="141"/>
      <c r="O175" s="141"/>
      <c r="P175" s="141">
        <f t="shared" si="69"/>
        <v>1023300</v>
      </c>
    </row>
    <row r="176" spans="1:525" s="23" customFormat="1" ht="48.75" customHeight="1" x14ac:dyDescent="0.25">
      <c r="A176" s="56" t="s">
        <v>347</v>
      </c>
      <c r="B176" s="84" t="str">
        <f>'дод 5'!A110</f>
        <v>3033</v>
      </c>
      <c r="C176" s="84" t="str">
        <f>'дод 5'!B110</f>
        <v>1070</v>
      </c>
      <c r="D176" s="57" t="str">
        <f>'дод 5'!C110</f>
        <v>Компенсаційні виплати на пільговий проїзд автомобільним транспортом окремим категоріям громадян</v>
      </c>
      <c r="E176" s="141">
        <f t="shared" si="68"/>
        <v>29771700</v>
      </c>
      <c r="F176" s="141">
        <f>33694000-3922300</f>
        <v>29771700</v>
      </c>
      <c r="G176" s="141"/>
      <c r="H176" s="141"/>
      <c r="I176" s="141"/>
      <c r="J176" s="141">
        <f t="shared" si="70"/>
        <v>0</v>
      </c>
      <c r="K176" s="141"/>
      <c r="L176" s="141"/>
      <c r="M176" s="141"/>
      <c r="N176" s="141"/>
      <c r="O176" s="141"/>
      <c r="P176" s="141">
        <f t="shared" si="69"/>
        <v>29771700</v>
      </c>
    </row>
    <row r="177" spans="1:525" s="30" customFormat="1" ht="20.25" hidden="1" customHeight="1" x14ac:dyDescent="0.25">
      <c r="A177" s="76"/>
      <c r="B177" s="97"/>
      <c r="C177" s="97"/>
      <c r="D177" s="77" t="s">
        <v>388</v>
      </c>
      <c r="E177" s="142">
        <f t="shared" si="68"/>
        <v>0</v>
      </c>
      <c r="F177" s="142"/>
      <c r="G177" s="142"/>
      <c r="H177" s="142"/>
      <c r="I177" s="142"/>
      <c r="J177" s="142">
        <f t="shared" si="70"/>
        <v>0</v>
      </c>
      <c r="K177" s="142"/>
      <c r="L177" s="142"/>
      <c r="M177" s="142"/>
      <c r="N177" s="142"/>
      <c r="O177" s="142"/>
      <c r="P177" s="142">
        <f t="shared" si="69"/>
        <v>0</v>
      </c>
    </row>
    <row r="178" spans="1:525" s="23" customFormat="1" ht="47.25" x14ac:dyDescent="0.25">
      <c r="A178" s="56" t="s">
        <v>319</v>
      </c>
      <c r="B178" s="84" t="str">
        <f>'дод 5'!A112</f>
        <v>3035</v>
      </c>
      <c r="C178" s="84" t="str">
        <f>'дод 5'!B112</f>
        <v>1070</v>
      </c>
      <c r="D178" s="57" t="str">
        <f>'дод 5'!C112</f>
        <v>Компенсаційні виплати за пільговий проїзд окремих категорій громадян на залізничному транспорті</v>
      </c>
      <c r="E178" s="141">
        <f t="shared" si="68"/>
        <v>2000000</v>
      </c>
      <c r="F178" s="141">
        <v>2000000</v>
      </c>
      <c r="G178" s="141"/>
      <c r="H178" s="141"/>
      <c r="I178" s="141"/>
      <c r="J178" s="141">
        <f t="shared" si="70"/>
        <v>0</v>
      </c>
      <c r="K178" s="141"/>
      <c r="L178" s="141"/>
      <c r="M178" s="141"/>
      <c r="N178" s="141"/>
      <c r="O178" s="141"/>
      <c r="P178" s="141">
        <f t="shared" si="69"/>
        <v>2000000</v>
      </c>
    </row>
    <row r="179" spans="1:525" s="23" customFormat="1" ht="36" customHeight="1" x14ac:dyDescent="0.25">
      <c r="A179" s="56" t="s">
        <v>180</v>
      </c>
      <c r="B179" s="84" t="str">
        <f>'дод 5'!A113</f>
        <v>3036</v>
      </c>
      <c r="C179" s="84" t="str">
        <f>'дод 5'!B113</f>
        <v>1070</v>
      </c>
      <c r="D179" s="57" t="str">
        <f>'дод 5'!C113</f>
        <v>Компенсаційні виплати на пільговий проїзд електротранспортом окремим категоріям громадян</v>
      </c>
      <c r="E179" s="141">
        <f t="shared" si="68"/>
        <v>58992100</v>
      </c>
      <c r="F179" s="141">
        <f>55069800+3922300</f>
        <v>58992100</v>
      </c>
      <c r="G179" s="141"/>
      <c r="H179" s="141"/>
      <c r="I179" s="141"/>
      <c r="J179" s="141">
        <f t="shared" si="70"/>
        <v>0</v>
      </c>
      <c r="K179" s="141"/>
      <c r="L179" s="141"/>
      <c r="M179" s="141"/>
      <c r="N179" s="141"/>
      <c r="O179" s="141"/>
      <c r="P179" s="141">
        <f t="shared" si="69"/>
        <v>58992100</v>
      </c>
    </row>
    <row r="180" spans="1:525" s="22" customFormat="1" ht="47.25" x14ac:dyDescent="0.25">
      <c r="A180" s="56" t="s">
        <v>345</v>
      </c>
      <c r="B180" s="84" t="str">
        <f>'дод 5'!A114</f>
        <v>3050</v>
      </c>
      <c r="C180" s="84" t="str">
        <f>'дод 5'!B114</f>
        <v>1070</v>
      </c>
      <c r="D180" s="57" t="str">
        <f>'дод 5'!C114</f>
        <v>Пільгове медичне обслуговування осіб, які постраждали внаслідок Чорнобильської катастрофи, у т.ч. за рахунок:</v>
      </c>
      <c r="E180" s="141">
        <f t="shared" si="68"/>
        <v>713800</v>
      </c>
      <c r="F180" s="141">
        <v>713800</v>
      </c>
      <c r="G180" s="141"/>
      <c r="H180" s="141"/>
      <c r="I180" s="141"/>
      <c r="J180" s="141">
        <f t="shared" si="70"/>
        <v>0</v>
      </c>
      <c r="K180" s="141"/>
      <c r="L180" s="141"/>
      <c r="M180" s="141"/>
      <c r="N180" s="141"/>
      <c r="O180" s="141"/>
      <c r="P180" s="141">
        <f t="shared" si="69"/>
        <v>713800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</row>
    <row r="181" spans="1:525" s="24" customFormat="1" ht="15.75" x14ac:dyDescent="0.25">
      <c r="A181" s="76"/>
      <c r="B181" s="97"/>
      <c r="C181" s="97"/>
      <c r="D181" s="77" t="s">
        <v>388</v>
      </c>
      <c r="E181" s="142">
        <f t="shared" si="68"/>
        <v>713800</v>
      </c>
      <c r="F181" s="142">
        <v>713800</v>
      </c>
      <c r="G181" s="142"/>
      <c r="H181" s="142"/>
      <c r="I181" s="142"/>
      <c r="J181" s="142">
        <f t="shared" si="70"/>
        <v>0</v>
      </c>
      <c r="K181" s="142"/>
      <c r="L181" s="142"/>
      <c r="M181" s="142"/>
      <c r="N181" s="142"/>
      <c r="O181" s="142"/>
      <c r="P181" s="142">
        <f t="shared" si="69"/>
        <v>713800</v>
      </c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</row>
    <row r="182" spans="1:525" s="22" customFormat="1" ht="47.25" x14ac:dyDescent="0.25">
      <c r="A182" s="56" t="s">
        <v>346</v>
      </c>
      <c r="B182" s="84" t="str">
        <f>'дод 5'!A116</f>
        <v>3090</v>
      </c>
      <c r="C182" s="84" t="str">
        <f>'дод 5'!B116</f>
        <v>1030</v>
      </c>
      <c r="D182" s="57" t="str">
        <f>'дод 5'!C116</f>
        <v>Видатки на поховання учасників бойових дій та осіб з інвалідністю внаслідок війни, у т.ч. за рахунок:</v>
      </c>
      <c r="E182" s="141">
        <f t="shared" si="68"/>
        <v>260200</v>
      </c>
      <c r="F182" s="141">
        <v>260200</v>
      </c>
      <c r="G182" s="141"/>
      <c r="H182" s="141"/>
      <c r="I182" s="141"/>
      <c r="J182" s="141">
        <f t="shared" si="70"/>
        <v>0</v>
      </c>
      <c r="K182" s="141"/>
      <c r="L182" s="141"/>
      <c r="M182" s="141"/>
      <c r="N182" s="141"/>
      <c r="O182" s="141"/>
      <c r="P182" s="141">
        <f t="shared" si="69"/>
        <v>260200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</row>
    <row r="183" spans="1:525" s="24" customFormat="1" ht="15.75" x14ac:dyDescent="0.25">
      <c r="A183" s="76"/>
      <c r="B183" s="97"/>
      <c r="C183" s="97"/>
      <c r="D183" s="77" t="s">
        <v>388</v>
      </c>
      <c r="E183" s="142">
        <f t="shared" si="68"/>
        <v>260200</v>
      </c>
      <c r="F183" s="142">
        <v>260200</v>
      </c>
      <c r="G183" s="142"/>
      <c r="H183" s="142"/>
      <c r="I183" s="142"/>
      <c r="J183" s="142">
        <f t="shared" si="70"/>
        <v>0</v>
      </c>
      <c r="K183" s="142"/>
      <c r="L183" s="142"/>
      <c r="M183" s="142"/>
      <c r="N183" s="142"/>
      <c r="O183" s="142"/>
      <c r="P183" s="142">
        <f t="shared" si="69"/>
        <v>260200</v>
      </c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  <c r="SQ183" s="30"/>
      <c r="SR183" s="30"/>
      <c r="SS183" s="30"/>
      <c r="ST183" s="30"/>
      <c r="SU183" s="30"/>
      <c r="SV183" s="30"/>
      <c r="SW183" s="30"/>
      <c r="SX183" s="30"/>
      <c r="SY183" s="30"/>
      <c r="SZ183" s="30"/>
      <c r="TA183" s="30"/>
      <c r="TB183" s="30"/>
      <c r="TC183" s="30"/>
      <c r="TD183" s="30"/>
      <c r="TE183" s="30"/>
    </row>
    <row r="184" spans="1:525" s="22" customFormat="1" ht="64.5" customHeight="1" x14ac:dyDescent="0.25">
      <c r="A184" s="56" t="s">
        <v>181</v>
      </c>
      <c r="B184" s="84" t="str">
        <f>'дод 5'!A118</f>
        <v>3104</v>
      </c>
      <c r="C184" s="84" t="str">
        <f>'дод 5'!B118</f>
        <v>1020</v>
      </c>
      <c r="D184" s="57" t="str">
        <f>'дод 5'!C118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4" s="141">
        <f t="shared" si="68"/>
        <v>20984700</v>
      </c>
      <c r="F184" s="141">
        <f>21044700-60000</f>
        <v>20984700</v>
      </c>
      <c r="G184" s="141">
        <v>15797400</v>
      </c>
      <c r="H184" s="141">
        <v>658300</v>
      </c>
      <c r="I184" s="141"/>
      <c r="J184" s="141">
        <f t="shared" si="70"/>
        <v>596200</v>
      </c>
      <c r="K184" s="141">
        <f>240000+500000-240000</f>
        <v>500000</v>
      </c>
      <c r="L184" s="141">
        <v>96200</v>
      </c>
      <c r="M184" s="141">
        <v>78600</v>
      </c>
      <c r="N184" s="141"/>
      <c r="O184" s="141">
        <f>240000+500000-240000</f>
        <v>500000</v>
      </c>
      <c r="P184" s="141">
        <f t="shared" si="69"/>
        <v>21580900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</row>
    <row r="185" spans="1:525" s="22" customFormat="1" ht="64.5" customHeight="1" x14ac:dyDescent="0.25">
      <c r="A185" s="56" t="s">
        <v>581</v>
      </c>
      <c r="B185" s="84">
        <v>3140</v>
      </c>
      <c r="C185" s="37" t="s">
        <v>99</v>
      </c>
      <c r="D185" s="6" t="str">
        <f>'дод 5'!C124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85" s="141">
        <f t="shared" si="68"/>
        <v>6667500</v>
      </c>
      <c r="F185" s="141">
        <v>6667500</v>
      </c>
      <c r="G185" s="141"/>
      <c r="H185" s="141"/>
      <c r="I185" s="141"/>
      <c r="J185" s="141">
        <f t="shared" si="70"/>
        <v>0</v>
      </c>
      <c r="K185" s="141"/>
      <c r="L185" s="141"/>
      <c r="M185" s="141"/>
      <c r="N185" s="141"/>
      <c r="O185" s="141"/>
      <c r="P185" s="141">
        <f t="shared" si="69"/>
        <v>6667500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</row>
    <row r="186" spans="1:525" s="22" customFormat="1" ht="81.75" customHeight="1" x14ac:dyDescent="0.25">
      <c r="A186" s="56" t="s">
        <v>182</v>
      </c>
      <c r="B186" s="84" t="str">
        <f>'дод 5'!A125</f>
        <v>3160</v>
      </c>
      <c r="C186" s="84">
        <f>'дод 5'!B125</f>
        <v>1010</v>
      </c>
      <c r="D186" s="57" t="str">
        <f>'дод 5'!C125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6" s="141">
        <f t="shared" si="68"/>
        <v>5461975</v>
      </c>
      <c r="F186" s="141">
        <v>5461975</v>
      </c>
      <c r="G186" s="141"/>
      <c r="H186" s="141"/>
      <c r="I186" s="141"/>
      <c r="J186" s="141">
        <f t="shared" si="70"/>
        <v>0</v>
      </c>
      <c r="K186" s="141"/>
      <c r="L186" s="141"/>
      <c r="M186" s="141"/>
      <c r="N186" s="141"/>
      <c r="O186" s="141"/>
      <c r="P186" s="141">
        <f t="shared" si="69"/>
        <v>5461975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</row>
    <row r="187" spans="1:525" s="22" customFormat="1" ht="63" hidden="1" customHeight="1" x14ac:dyDescent="0.25">
      <c r="A187" s="56" t="s">
        <v>348</v>
      </c>
      <c r="B187" s="84" t="str">
        <f>'дод 5'!A126</f>
        <v>3171</v>
      </c>
      <c r="C187" s="84">
        <f>'дод 5'!B126</f>
        <v>1010</v>
      </c>
      <c r="D187" s="57" t="str">
        <f>'дод 5'!C126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7" s="141">
        <f t="shared" si="68"/>
        <v>0</v>
      </c>
      <c r="F187" s="141"/>
      <c r="G187" s="141"/>
      <c r="H187" s="141"/>
      <c r="I187" s="141"/>
      <c r="J187" s="141">
        <f t="shared" si="70"/>
        <v>0</v>
      </c>
      <c r="K187" s="141"/>
      <c r="L187" s="141"/>
      <c r="M187" s="141"/>
      <c r="N187" s="141"/>
      <c r="O187" s="141"/>
      <c r="P187" s="141">
        <f t="shared" si="69"/>
        <v>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</row>
    <row r="188" spans="1:525" s="24" customFormat="1" ht="18" hidden="1" customHeight="1" x14ac:dyDescent="0.25">
      <c r="A188" s="76"/>
      <c r="B188" s="97"/>
      <c r="C188" s="97"/>
      <c r="D188" s="77" t="s">
        <v>388</v>
      </c>
      <c r="E188" s="142">
        <f t="shared" si="68"/>
        <v>0</v>
      </c>
      <c r="F188" s="142"/>
      <c r="G188" s="142"/>
      <c r="H188" s="142"/>
      <c r="I188" s="142"/>
      <c r="J188" s="142">
        <f t="shared" si="70"/>
        <v>0</v>
      </c>
      <c r="K188" s="142"/>
      <c r="L188" s="142"/>
      <c r="M188" s="142"/>
      <c r="N188" s="142"/>
      <c r="O188" s="142"/>
      <c r="P188" s="142">
        <f t="shared" si="69"/>
        <v>0</v>
      </c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</row>
    <row r="189" spans="1:525" s="22" customFormat="1" ht="31.5" hidden="1" customHeight="1" x14ac:dyDescent="0.25">
      <c r="A189" s="56" t="s">
        <v>349</v>
      </c>
      <c r="B189" s="84" t="str">
        <f>'дод 5'!A128</f>
        <v>3172</v>
      </c>
      <c r="C189" s="84">
        <f>'дод 5'!B128</f>
        <v>1010</v>
      </c>
      <c r="D189" s="57" t="str">
        <f>'дод 5'!C128</f>
        <v>Встановлення телефонів особам з інвалідністю I і II груп, у т.ч. за рахунок:</v>
      </c>
      <c r="E189" s="141">
        <f t="shared" si="68"/>
        <v>0</v>
      </c>
      <c r="F189" s="141"/>
      <c r="G189" s="141"/>
      <c r="H189" s="141"/>
      <c r="I189" s="141"/>
      <c r="J189" s="141">
        <f t="shared" si="70"/>
        <v>0</v>
      </c>
      <c r="K189" s="141"/>
      <c r="L189" s="141"/>
      <c r="M189" s="141"/>
      <c r="N189" s="141"/>
      <c r="O189" s="141"/>
      <c r="P189" s="141">
        <f t="shared" si="69"/>
        <v>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</row>
    <row r="190" spans="1:525" s="24" customFormat="1" ht="15.75" hidden="1" customHeight="1" x14ac:dyDescent="0.25">
      <c r="A190" s="76"/>
      <c r="B190" s="97"/>
      <c r="C190" s="97"/>
      <c r="D190" s="77" t="s">
        <v>388</v>
      </c>
      <c r="E190" s="142">
        <f t="shared" si="68"/>
        <v>0</v>
      </c>
      <c r="F190" s="142"/>
      <c r="G190" s="142"/>
      <c r="H190" s="142"/>
      <c r="I190" s="142"/>
      <c r="J190" s="142">
        <f t="shared" si="70"/>
        <v>0</v>
      </c>
      <c r="K190" s="142"/>
      <c r="L190" s="142"/>
      <c r="M190" s="142"/>
      <c r="N190" s="142"/>
      <c r="O190" s="142"/>
      <c r="P190" s="142">
        <f t="shared" si="69"/>
        <v>0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/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30"/>
      <c r="MW190" s="30"/>
      <c r="MX190" s="30"/>
      <c r="MY190" s="30"/>
      <c r="MZ190" s="30"/>
      <c r="NA190" s="30"/>
      <c r="NB190" s="30"/>
      <c r="NC190" s="30"/>
      <c r="ND190" s="30"/>
      <c r="NE190" s="30"/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30"/>
      <c r="NY190" s="30"/>
      <c r="NZ190" s="30"/>
      <c r="OA190" s="30"/>
      <c r="OB190" s="30"/>
      <c r="OC190" s="30"/>
      <c r="OD190" s="30"/>
      <c r="OE190" s="30"/>
      <c r="OF190" s="30"/>
      <c r="OG190" s="30"/>
      <c r="OH190" s="30"/>
      <c r="OI190" s="30"/>
      <c r="OJ190" s="30"/>
      <c r="OK190" s="30"/>
      <c r="OL190" s="30"/>
      <c r="OM190" s="30"/>
      <c r="ON190" s="30"/>
      <c r="OO190" s="30"/>
      <c r="OP190" s="30"/>
      <c r="OQ190" s="30"/>
      <c r="OR190" s="30"/>
      <c r="OS190" s="30"/>
      <c r="OT190" s="30"/>
      <c r="OU190" s="30"/>
      <c r="OV190" s="30"/>
      <c r="OW190" s="30"/>
      <c r="OX190" s="30"/>
      <c r="OY190" s="30"/>
      <c r="OZ190" s="30"/>
      <c r="PA190" s="30"/>
      <c r="PB190" s="30"/>
      <c r="PC190" s="30"/>
      <c r="PD190" s="30"/>
      <c r="PE190" s="30"/>
      <c r="PF190" s="30"/>
      <c r="PG190" s="30"/>
      <c r="PH190" s="30"/>
      <c r="PI190" s="30"/>
      <c r="PJ190" s="30"/>
      <c r="PK190" s="30"/>
      <c r="PL190" s="30"/>
      <c r="PM190" s="30"/>
      <c r="PN190" s="30"/>
      <c r="PO190" s="30"/>
      <c r="PP190" s="30"/>
      <c r="PQ190" s="30"/>
      <c r="PR190" s="30"/>
      <c r="PS190" s="30"/>
      <c r="PT190" s="30"/>
      <c r="PU190" s="30"/>
      <c r="PV190" s="30"/>
      <c r="PW190" s="30"/>
      <c r="PX190" s="30"/>
      <c r="PY190" s="30"/>
      <c r="PZ190" s="30"/>
      <c r="QA190" s="30"/>
      <c r="QB190" s="30"/>
      <c r="QC190" s="30"/>
      <c r="QD190" s="30"/>
      <c r="QE190" s="30"/>
      <c r="QF190" s="30"/>
      <c r="QG190" s="30"/>
      <c r="QH190" s="30"/>
      <c r="QI190" s="30"/>
      <c r="QJ190" s="30"/>
      <c r="QK190" s="30"/>
      <c r="QL190" s="30"/>
      <c r="QM190" s="30"/>
      <c r="QN190" s="30"/>
      <c r="QO190" s="30"/>
      <c r="QP190" s="30"/>
      <c r="QQ190" s="30"/>
      <c r="QR190" s="30"/>
      <c r="QS190" s="30"/>
      <c r="QT190" s="30"/>
      <c r="QU190" s="30"/>
      <c r="QV190" s="30"/>
      <c r="QW190" s="30"/>
      <c r="QX190" s="30"/>
      <c r="QY190" s="30"/>
      <c r="QZ190" s="30"/>
      <c r="RA190" s="30"/>
      <c r="RB190" s="30"/>
      <c r="RC190" s="30"/>
      <c r="RD190" s="30"/>
      <c r="RE190" s="30"/>
      <c r="RF190" s="30"/>
      <c r="RG190" s="30"/>
      <c r="RH190" s="30"/>
      <c r="RI190" s="30"/>
      <c r="RJ190" s="30"/>
      <c r="RK190" s="30"/>
      <c r="RL190" s="30"/>
      <c r="RM190" s="30"/>
      <c r="RN190" s="30"/>
      <c r="RO190" s="30"/>
      <c r="RP190" s="30"/>
      <c r="RQ190" s="30"/>
      <c r="RR190" s="30"/>
      <c r="RS190" s="30"/>
      <c r="RT190" s="30"/>
      <c r="RU190" s="30"/>
      <c r="RV190" s="30"/>
      <c r="RW190" s="30"/>
      <c r="RX190" s="30"/>
      <c r="RY190" s="30"/>
      <c r="RZ190" s="30"/>
      <c r="SA190" s="30"/>
      <c r="SB190" s="30"/>
      <c r="SC190" s="30"/>
      <c r="SD190" s="30"/>
      <c r="SE190" s="30"/>
      <c r="SF190" s="30"/>
      <c r="SG190" s="30"/>
      <c r="SH190" s="30"/>
      <c r="SI190" s="30"/>
      <c r="SJ190" s="30"/>
      <c r="SK190" s="30"/>
      <c r="SL190" s="30"/>
      <c r="SM190" s="30"/>
      <c r="SN190" s="30"/>
      <c r="SO190" s="30"/>
      <c r="SP190" s="30"/>
      <c r="SQ190" s="30"/>
      <c r="SR190" s="30"/>
      <c r="SS190" s="30"/>
      <c r="ST190" s="30"/>
      <c r="SU190" s="30"/>
      <c r="SV190" s="30"/>
      <c r="SW190" s="30"/>
      <c r="SX190" s="30"/>
      <c r="SY190" s="30"/>
      <c r="SZ190" s="30"/>
      <c r="TA190" s="30"/>
      <c r="TB190" s="30"/>
      <c r="TC190" s="30"/>
      <c r="TD190" s="30"/>
      <c r="TE190" s="30"/>
    </row>
    <row r="191" spans="1:525" s="22" customFormat="1" ht="78.75" x14ac:dyDescent="0.25">
      <c r="A191" s="56" t="s">
        <v>183</v>
      </c>
      <c r="B191" s="84" t="str">
        <f>'дод 5'!A130</f>
        <v>3180</v>
      </c>
      <c r="C191" s="84" t="str">
        <f>'дод 5'!B130</f>
        <v>1060</v>
      </c>
      <c r="D191" s="57" t="str">
        <f>'дод 5'!C130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91" s="141">
        <f t="shared" si="68"/>
        <v>318346</v>
      </c>
      <c r="F191" s="141">
        <v>318346</v>
      </c>
      <c r="G191" s="141"/>
      <c r="H191" s="141"/>
      <c r="I191" s="141"/>
      <c r="J191" s="141">
        <f t="shared" si="70"/>
        <v>0</v>
      </c>
      <c r="K191" s="141"/>
      <c r="L191" s="141"/>
      <c r="M191" s="141"/>
      <c r="N191" s="141"/>
      <c r="O191" s="141"/>
      <c r="P191" s="141">
        <f t="shared" si="69"/>
        <v>318346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</row>
    <row r="192" spans="1:525" s="22" customFormat="1" ht="31.5" customHeight="1" x14ac:dyDescent="0.25">
      <c r="A192" s="56" t="s">
        <v>303</v>
      </c>
      <c r="B192" s="84" t="str">
        <f>'дод 5'!A131</f>
        <v>3191</v>
      </c>
      <c r="C192" s="84" t="str">
        <f>'дод 5'!B131</f>
        <v>1030</v>
      </c>
      <c r="D192" s="57" t="str">
        <f>'дод 5'!C131</f>
        <v>Інші видатки на соціальний захист ветеранів війни та праці</v>
      </c>
      <c r="E192" s="141">
        <f t="shared" si="68"/>
        <v>2522957</v>
      </c>
      <c r="F192" s="141">
        <v>2522957</v>
      </c>
      <c r="G192" s="141"/>
      <c r="H192" s="141"/>
      <c r="I192" s="141"/>
      <c r="J192" s="141">
        <f t="shared" si="70"/>
        <v>0</v>
      </c>
      <c r="K192" s="141"/>
      <c r="L192" s="141"/>
      <c r="M192" s="141"/>
      <c r="N192" s="141"/>
      <c r="O192" s="141"/>
      <c r="P192" s="141">
        <f t="shared" si="69"/>
        <v>2522957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</row>
    <row r="193" spans="1:525" s="22" customFormat="1" ht="47.25" x14ac:dyDescent="0.25">
      <c r="A193" s="56" t="s">
        <v>304</v>
      </c>
      <c r="B193" s="84" t="str">
        <f>'дод 5'!A132</f>
        <v>3192</v>
      </c>
      <c r="C193" s="84" t="str">
        <f>'дод 5'!B132</f>
        <v>1030</v>
      </c>
      <c r="D193" s="57" t="str">
        <f>'дод 5'!C132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193" s="141">
        <f t="shared" si="68"/>
        <v>2390210</v>
      </c>
      <c r="F193" s="141">
        <v>2390210</v>
      </c>
      <c r="G193" s="141"/>
      <c r="H193" s="141"/>
      <c r="I193" s="141"/>
      <c r="J193" s="141">
        <f t="shared" si="70"/>
        <v>0</v>
      </c>
      <c r="K193" s="141"/>
      <c r="L193" s="141"/>
      <c r="M193" s="141"/>
      <c r="N193" s="141"/>
      <c r="O193" s="141"/>
      <c r="P193" s="141">
        <f t="shared" si="69"/>
        <v>2390210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</row>
    <row r="194" spans="1:525" s="22" customFormat="1" ht="34.5" customHeight="1" x14ac:dyDescent="0.25">
      <c r="A194" s="56" t="s">
        <v>184</v>
      </c>
      <c r="B194" s="84" t="str">
        <f>'дод 5'!A133</f>
        <v>3200</v>
      </c>
      <c r="C194" s="84" t="str">
        <f>'дод 5'!B133</f>
        <v>1090</v>
      </c>
      <c r="D194" s="57" t="str">
        <f>'дод 5'!C133</f>
        <v>Забезпечення обробки інформації з нарахування та виплати допомог і компенсацій</v>
      </c>
      <c r="E194" s="141">
        <f t="shared" si="68"/>
        <v>96800</v>
      </c>
      <c r="F194" s="141">
        <v>96800</v>
      </c>
      <c r="G194" s="141"/>
      <c r="H194" s="141"/>
      <c r="I194" s="141"/>
      <c r="J194" s="141">
        <f t="shared" si="70"/>
        <v>0</v>
      </c>
      <c r="K194" s="141"/>
      <c r="L194" s="141"/>
      <c r="M194" s="141"/>
      <c r="N194" s="141"/>
      <c r="O194" s="141"/>
      <c r="P194" s="141">
        <f t="shared" si="69"/>
        <v>96800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</row>
    <row r="195" spans="1:525" s="22" customFormat="1" ht="19.5" customHeight="1" x14ac:dyDescent="0.25">
      <c r="A195" s="89" t="s">
        <v>305</v>
      </c>
      <c r="B195" s="42" t="str">
        <f>'дод 5'!A134</f>
        <v>3210</v>
      </c>
      <c r="C195" s="42" t="str">
        <f>'дод 5'!B134</f>
        <v>1050</v>
      </c>
      <c r="D195" s="36" t="str">
        <f>'дод 5'!C134</f>
        <v>Організація та проведення громадських робіт</v>
      </c>
      <c r="E195" s="141">
        <f t="shared" si="68"/>
        <v>50000</v>
      </c>
      <c r="F195" s="141">
        <v>50000</v>
      </c>
      <c r="G195" s="141">
        <v>40900</v>
      </c>
      <c r="H195" s="141"/>
      <c r="I195" s="141"/>
      <c r="J195" s="141">
        <f t="shared" si="70"/>
        <v>0</v>
      </c>
      <c r="K195" s="141"/>
      <c r="L195" s="141"/>
      <c r="M195" s="141"/>
      <c r="N195" s="141"/>
      <c r="O195" s="141"/>
      <c r="P195" s="141">
        <f t="shared" si="69"/>
        <v>50000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</row>
    <row r="196" spans="1:525" s="22" customFormat="1" ht="261" hidden="1" customHeight="1" x14ac:dyDescent="0.25">
      <c r="A196" s="89" t="s">
        <v>431</v>
      </c>
      <c r="B196" s="42">
        <v>3221</v>
      </c>
      <c r="C196" s="89" t="s">
        <v>52</v>
      </c>
      <c r="D196" s="36" t="s">
        <v>550</v>
      </c>
      <c r="E196" s="141">
        <f t="shared" si="68"/>
        <v>0</v>
      </c>
      <c r="F196" s="147"/>
      <c r="G196" s="141"/>
      <c r="H196" s="141"/>
      <c r="I196" s="141"/>
      <c r="J196" s="141">
        <f t="shared" si="70"/>
        <v>0</v>
      </c>
      <c r="K196" s="141"/>
      <c r="L196" s="141"/>
      <c r="M196" s="141"/>
      <c r="N196" s="141"/>
      <c r="O196" s="141"/>
      <c r="P196" s="141">
        <f t="shared" si="69"/>
        <v>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</row>
    <row r="197" spans="1:525" s="24" customFormat="1" ht="306.75" hidden="1" customHeight="1" x14ac:dyDescent="0.25">
      <c r="A197" s="91"/>
      <c r="B197" s="80"/>
      <c r="C197" s="91"/>
      <c r="D197" s="79" t="s">
        <v>549</v>
      </c>
      <c r="E197" s="141">
        <f t="shared" si="68"/>
        <v>0</v>
      </c>
      <c r="F197" s="148"/>
      <c r="G197" s="142"/>
      <c r="H197" s="142"/>
      <c r="I197" s="142"/>
      <c r="J197" s="141">
        <f t="shared" si="70"/>
        <v>0</v>
      </c>
      <c r="K197" s="142"/>
      <c r="L197" s="142"/>
      <c r="M197" s="142"/>
      <c r="N197" s="142"/>
      <c r="O197" s="142"/>
      <c r="P197" s="142">
        <f t="shared" si="69"/>
        <v>0</v>
      </c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</row>
    <row r="198" spans="1:525" s="22" customFormat="1" ht="324.75" hidden="1" customHeight="1" x14ac:dyDescent="0.25">
      <c r="A198" s="89" t="s">
        <v>538</v>
      </c>
      <c r="B198" s="42">
        <v>3222</v>
      </c>
      <c r="C198" s="89" t="s">
        <v>52</v>
      </c>
      <c r="D198" s="36" t="s">
        <v>573</v>
      </c>
      <c r="E198" s="141">
        <f t="shared" ref="E198:E199" si="71">F198+I198</f>
        <v>0</v>
      </c>
      <c r="F198" s="149"/>
      <c r="G198" s="141"/>
      <c r="H198" s="141"/>
      <c r="I198" s="141"/>
      <c r="J198" s="141">
        <f t="shared" ref="J198:J199" si="72">L198+O198</f>
        <v>0</v>
      </c>
      <c r="K198" s="141"/>
      <c r="L198" s="141"/>
      <c r="M198" s="141"/>
      <c r="N198" s="141"/>
      <c r="O198" s="141"/>
      <c r="P198" s="141">
        <f t="shared" si="69"/>
        <v>0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</row>
    <row r="199" spans="1:525" s="24" customFormat="1" ht="350.25" hidden="1" customHeight="1" x14ac:dyDescent="0.25">
      <c r="A199" s="91"/>
      <c r="B199" s="80"/>
      <c r="C199" s="91"/>
      <c r="D199" s="79" t="s">
        <v>566</v>
      </c>
      <c r="E199" s="142">
        <f t="shared" si="71"/>
        <v>0</v>
      </c>
      <c r="F199" s="148"/>
      <c r="G199" s="142"/>
      <c r="H199" s="142"/>
      <c r="I199" s="142"/>
      <c r="J199" s="142">
        <f t="shared" si="72"/>
        <v>0</v>
      </c>
      <c r="K199" s="142"/>
      <c r="L199" s="142"/>
      <c r="M199" s="142"/>
      <c r="N199" s="142"/>
      <c r="O199" s="142"/>
      <c r="P199" s="142">
        <f t="shared" si="69"/>
        <v>0</v>
      </c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</row>
    <row r="200" spans="1:525" s="22" customFormat="1" ht="220.5" hidden="1" customHeight="1" x14ac:dyDescent="0.25">
      <c r="A200" s="89" t="s">
        <v>430</v>
      </c>
      <c r="B200" s="42">
        <v>3223</v>
      </c>
      <c r="C200" s="89" t="s">
        <v>52</v>
      </c>
      <c r="D200" s="36" t="str">
        <f>'дод 5'!C139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00" s="141">
        <f t="shared" si="68"/>
        <v>0</v>
      </c>
      <c r="F200" s="141"/>
      <c r="G200" s="141"/>
      <c r="H200" s="141"/>
      <c r="I200" s="141"/>
      <c r="J200" s="141">
        <f t="shared" si="70"/>
        <v>0</v>
      </c>
      <c r="K200" s="141"/>
      <c r="L200" s="141"/>
      <c r="M200" s="141"/>
      <c r="N200" s="141"/>
      <c r="O200" s="141"/>
      <c r="P200" s="141">
        <f t="shared" si="69"/>
        <v>0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</row>
    <row r="201" spans="1:525" s="24" customFormat="1" ht="267.75" hidden="1" customHeight="1" x14ac:dyDescent="0.25">
      <c r="A201" s="91"/>
      <c r="B201" s="80"/>
      <c r="C201" s="91"/>
      <c r="D201" s="79" t="str">
        <f>'дод 5'!C140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01" s="142">
        <f t="shared" si="68"/>
        <v>0</v>
      </c>
      <c r="F201" s="142"/>
      <c r="G201" s="142"/>
      <c r="H201" s="142"/>
      <c r="I201" s="142"/>
      <c r="J201" s="142">
        <f t="shared" si="70"/>
        <v>0</v>
      </c>
      <c r="K201" s="142"/>
      <c r="L201" s="142"/>
      <c r="M201" s="142"/>
      <c r="N201" s="142"/>
      <c r="O201" s="142"/>
      <c r="P201" s="142">
        <f t="shared" si="69"/>
        <v>0</v>
      </c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  <c r="LU201" s="30"/>
      <c r="LV201" s="30"/>
      <c r="LW201" s="30"/>
      <c r="LX201" s="30"/>
      <c r="LY201" s="30"/>
      <c r="LZ201" s="30"/>
      <c r="MA201" s="30"/>
      <c r="MB201" s="30"/>
      <c r="MC201" s="30"/>
      <c r="MD201" s="30"/>
      <c r="ME201" s="30"/>
      <c r="MF201" s="30"/>
      <c r="MG201" s="30"/>
      <c r="MH201" s="30"/>
      <c r="MI201" s="30"/>
      <c r="MJ201" s="30"/>
      <c r="MK201" s="30"/>
      <c r="ML201" s="30"/>
      <c r="MM201" s="30"/>
      <c r="MN201" s="30"/>
      <c r="MO201" s="30"/>
      <c r="MP201" s="30"/>
      <c r="MQ201" s="30"/>
      <c r="MR201" s="30"/>
      <c r="MS201" s="30"/>
      <c r="MT201" s="30"/>
      <c r="MU201" s="30"/>
      <c r="MV201" s="30"/>
      <c r="MW201" s="30"/>
      <c r="MX201" s="30"/>
      <c r="MY201" s="30"/>
      <c r="MZ201" s="30"/>
      <c r="NA201" s="30"/>
      <c r="NB201" s="30"/>
      <c r="NC201" s="30"/>
      <c r="ND201" s="30"/>
      <c r="NE201" s="30"/>
      <c r="NF201" s="30"/>
      <c r="NG201" s="30"/>
      <c r="NH201" s="30"/>
      <c r="NI201" s="30"/>
      <c r="NJ201" s="30"/>
      <c r="NK201" s="30"/>
      <c r="NL201" s="30"/>
      <c r="NM201" s="30"/>
      <c r="NN201" s="30"/>
      <c r="NO201" s="30"/>
      <c r="NP201" s="30"/>
      <c r="NQ201" s="30"/>
      <c r="NR201" s="30"/>
      <c r="NS201" s="30"/>
      <c r="NT201" s="30"/>
      <c r="NU201" s="30"/>
      <c r="NV201" s="30"/>
      <c r="NW201" s="30"/>
      <c r="NX201" s="30"/>
      <c r="NY201" s="30"/>
      <c r="NZ201" s="30"/>
      <c r="OA201" s="30"/>
      <c r="OB201" s="30"/>
      <c r="OC201" s="30"/>
      <c r="OD201" s="30"/>
      <c r="OE201" s="30"/>
      <c r="OF201" s="30"/>
      <c r="OG201" s="30"/>
      <c r="OH201" s="30"/>
      <c r="OI201" s="30"/>
      <c r="OJ201" s="30"/>
      <c r="OK201" s="30"/>
      <c r="OL201" s="30"/>
      <c r="OM201" s="30"/>
      <c r="ON201" s="30"/>
      <c r="OO201" s="30"/>
      <c r="OP201" s="30"/>
      <c r="OQ201" s="30"/>
      <c r="OR201" s="30"/>
      <c r="OS201" s="30"/>
      <c r="OT201" s="30"/>
      <c r="OU201" s="30"/>
      <c r="OV201" s="30"/>
      <c r="OW201" s="30"/>
      <c r="OX201" s="30"/>
      <c r="OY201" s="30"/>
      <c r="OZ201" s="30"/>
      <c r="PA201" s="30"/>
      <c r="PB201" s="30"/>
      <c r="PC201" s="30"/>
      <c r="PD201" s="30"/>
      <c r="PE201" s="30"/>
      <c r="PF201" s="30"/>
      <c r="PG201" s="30"/>
      <c r="PH201" s="30"/>
      <c r="PI201" s="30"/>
      <c r="PJ201" s="30"/>
      <c r="PK201" s="30"/>
      <c r="PL201" s="30"/>
      <c r="PM201" s="30"/>
      <c r="PN201" s="30"/>
      <c r="PO201" s="30"/>
      <c r="PP201" s="30"/>
      <c r="PQ201" s="30"/>
      <c r="PR201" s="30"/>
      <c r="PS201" s="30"/>
      <c r="PT201" s="30"/>
      <c r="PU201" s="30"/>
      <c r="PV201" s="30"/>
      <c r="PW201" s="30"/>
      <c r="PX201" s="30"/>
      <c r="PY201" s="30"/>
      <c r="PZ201" s="30"/>
      <c r="QA201" s="30"/>
      <c r="QB201" s="30"/>
      <c r="QC201" s="30"/>
      <c r="QD201" s="30"/>
      <c r="QE201" s="30"/>
      <c r="QF201" s="30"/>
      <c r="QG201" s="30"/>
      <c r="QH201" s="30"/>
      <c r="QI201" s="30"/>
      <c r="QJ201" s="30"/>
      <c r="QK201" s="30"/>
      <c r="QL201" s="30"/>
      <c r="QM201" s="30"/>
      <c r="QN201" s="30"/>
      <c r="QO201" s="30"/>
      <c r="QP201" s="30"/>
      <c r="QQ201" s="30"/>
      <c r="QR201" s="30"/>
      <c r="QS201" s="30"/>
      <c r="QT201" s="30"/>
      <c r="QU201" s="30"/>
      <c r="QV201" s="30"/>
      <c r="QW201" s="30"/>
      <c r="QX201" s="30"/>
      <c r="QY201" s="30"/>
      <c r="QZ201" s="30"/>
      <c r="RA201" s="30"/>
      <c r="RB201" s="30"/>
      <c r="RC201" s="30"/>
      <c r="RD201" s="30"/>
      <c r="RE201" s="30"/>
      <c r="RF201" s="30"/>
      <c r="RG201" s="30"/>
      <c r="RH201" s="30"/>
      <c r="RI201" s="30"/>
      <c r="RJ201" s="30"/>
      <c r="RK201" s="30"/>
      <c r="RL201" s="30"/>
      <c r="RM201" s="30"/>
      <c r="RN201" s="30"/>
      <c r="RO201" s="30"/>
      <c r="RP201" s="30"/>
      <c r="RQ201" s="30"/>
      <c r="RR201" s="30"/>
      <c r="RS201" s="30"/>
      <c r="RT201" s="30"/>
      <c r="RU201" s="30"/>
      <c r="RV201" s="30"/>
      <c r="RW201" s="30"/>
      <c r="RX201" s="30"/>
      <c r="RY201" s="30"/>
      <c r="RZ201" s="30"/>
      <c r="SA201" s="30"/>
      <c r="SB201" s="30"/>
      <c r="SC201" s="30"/>
      <c r="SD201" s="30"/>
      <c r="SE201" s="30"/>
      <c r="SF201" s="30"/>
      <c r="SG201" s="30"/>
      <c r="SH201" s="30"/>
      <c r="SI201" s="30"/>
      <c r="SJ201" s="30"/>
      <c r="SK201" s="30"/>
      <c r="SL201" s="30"/>
      <c r="SM201" s="30"/>
      <c r="SN201" s="30"/>
      <c r="SO201" s="30"/>
      <c r="SP201" s="30"/>
      <c r="SQ201" s="30"/>
      <c r="SR201" s="30"/>
      <c r="SS201" s="30"/>
      <c r="ST201" s="30"/>
      <c r="SU201" s="30"/>
      <c r="SV201" s="30"/>
      <c r="SW201" s="30"/>
      <c r="SX201" s="30"/>
      <c r="SY201" s="30"/>
      <c r="SZ201" s="30"/>
      <c r="TA201" s="30"/>
      <c r="TB201" s="30"/>
      <c r="TC201" s="30"/>
      <c r="TD201" s="30"/>
      <c r="TE201" s="30"/>
    </row>
    <row r="202" spans="1:525" s="22" customFormat="1" ht="31.5" customHeight="1" x14ac:dyDescent="0.25">
      <c r="A202" s="56" t="s">
        <v>302</v>
      </c>
      <c r="B202" s="84" t="str">
        <f>'дод 5'!A141</f>
        <v>3241</v>
      </c>
      <c r="C202" s="84" t="str">
        <f>'дод 5'!B141</f>
        <v>1090</v>
      </c>
      <c r="D202" s="57" t="str">
        <f>'дод 5'!C141</f>
        <v>Забезпечення діяльності інших закладів у сфері соціального захисту і соціального забезпечення</v>
      </c>
      <c r="E202" s="141">
        <f t="shared" si="68"/>
        <v>4568600</v>
      </c>
      <c r="F202" s="141">
        <v>4568600</v>
      </c>
      <c r="G202" s="141">
        <v>2503500</v>
      </c>
      <c r="H202" s="141">
        <v>410200</v>
      </c>
      <c r="I202" s="141"/>
      <c r="J202" s="141">
        <f t="shared" ref="J202:J207" si="73">L202+O202</f>
        <v>0</v>
      </c>
      <c r="K202" s="141"/>
      <c r="L202" s="141"/>
      <c r="M202" s="141"/>
      <c r="N202" s="141"/>
      <c r="O202" s="141"/>
      <c r="P202" s="141">
        <f t="shared" si="69"/>
        <v>4568600</v>
      </c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</row>
    <row r="203" spans="1:525" s="22" customFormat="1" ht="33" customHeight="1" x14ac:dyDescent="0.25">
      <c r="A203" s="56" t="s">
        <v>350</v>
      </c>
      <c r="B203" s="84" t="str">
        <f>'дод 5'!A142</f>
        <v>3242</v>
      </c>
      <c r="C203" s="84" t="str">
        <f>'дод 5'!B142</f>
        <v>1090</v>
      </c>
      <c r="D203" s="57" t="s">
        <v>406</v>
      </c>
      <c r="E203" s="141">
        <f t="shared" si="68"/>
        <v>40937645</v>
      </c>
      <c r="F203" s="141">
        <f>36737645+50000-50000+4200000</f>
        <v>40937645</v>
      </c>
      <c r="G203" s="141"/>
      <c r="H203" s="141"/>
      <c r="I203" s="141"/>
      <c r="J203" s="141">
        <f t="shared" si="73"/>
        <v>72000</v>
      </c>
      <c r="K203" s="141">
        <v>72000</v>
      </c>
      <c r="L203" s="141"/>
      <c r="M203" s="141"/>
      <c r="N203" s="141"/>
      <c r="O203" s="141">
        <v>72000</v>
      </c>
      <c r="P203" s="141">
        <f t="shared" si="69"/>
        <v>41009645</v>
      </c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</row>
    <row r="204" spans="1:525" s="24" customFormat="1" ht="15" customHeight="1" x14ac:dyDescent="0.25">
      <c r="A204" s="76"/>
      <c r="B204" s="97"/>
      <c r="C204" s="97"/>
      <c r="D204" s="77" t="s">
        <v>388</v>
      </c>
      <c r="E204" s="142">
        <f t="shared" si="68"/>
        <v>319200</v>
      </c>
      <c r="F204" s="142">
        <v>319200</v>
      </c>
      <c r="G204" s="142"/>
      <c r="H204" s="142"/>
      <c r="I204" s="142"/>
      <c r="J204" s="142">
        <f t="shared" si="73"/>
        <v>0</v>
      </c>
      <c r="K204" s="142"/>
      <c r="L204" s="142"/>
      <c r="M204" s="142"/>
      <c r="N204" s="142"/>
      <c r="O204" s="142"/>
      <c r="P204" s="142">
        <f t="shared" si="69"/>
        <v>319200</v>
      </c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  <c r="IG204" s="30"/>
      <c r="IH204" s="30"/>
      <c r="II204" s="30"/>
      <c r="IJ204" s="30"/>
      <c r="IK204" s="30"/>
      <c r="IL204" s="30"/>
      <c r="IM204" s="30"/>
      <c r="IN204" s="30"/>
      <c r="IO204" s="30"/>
      <c r="IP204" s="30"/>
      <c r="IQ204" s="30"/>
      <c r="IR204" s="30"/>
      <c r="IS204" s="30"/>
      <c r="IT204" s="30"/>
      <c r="IU204" s="30"/>
      <c r="IV204" s="30"/>
      <c r="IW204" s="30"/>
      <c r="IX204" s="30"/>
      <c r="IY204" s="30"/>
      <c r="IZ204" s="30"/>
      <c r="JA204" s="30"/>
      <c r="JB204" s="30"/>
      <c r="JC204" s="30"/>
      <c r="JD204" s="30"/>
      <c r="JE204" s="30"/>
      <c r="JF204" s="30"/>
      <c r="JG204" s="30"/>
      <c r="JH204" s="30"/>
      <c r="JI204" s="30"/>
      <c r="JJ204" s="30"/>
      <c r="JK204" s="30"/>
      <c r="JL204" s="30"/>
      <c r="JM204" s="30"/>
      <c r="JN204" s="30"/>
      <c r="JO204" s="30"/>
      <c r="JP204" s="30"/>
      <c r="JQ204" s="30"/>
      <c r="JR204" s="30"/>
      <c r="JS204" s="30"/>
      <c r="JT204" s="30"/>
      <c r="JU204" s="30"/>
      <c r="JV204" s="30"/>
      <c r="JW204" s="30"/>
      <c r="JX204" s="30"/>
      <c r="JY204" s="30"/>
      <c r="JZ204" s="30"/>
      <c r="KA204" s="30"/>
      <c r="KB204" s="30"/>
      <c r="KC204" s="30"/>
      <c r="KD204" s="30"/>
      <c r="KE204" s="30"/>
      <c r="KF204" s="30"/>
      <c r="KG204" s="30"/>
      <c r="KH204" s="30"/>
      <c r="KI204" s="30"/>
      <c r="KJ204" s="30"/>
      <c r="KK204" s="30"/>
      <c r="KL204" s="30"/>
      <c r="KM204" s="30"/>
      <c r="KN204" s="30"/>
      <c r="KO204" s="30"/>
      <c r="KP204" s="30"/>
      <c r="KQ204" s="30"/>
      <c r="KR204" s="30"/>
      <c r="KS204" s="30"/>
      <c r="KT204" s="30"/>
      <c r="KU204" s="30"/>
      <c r="KV204" s="30"/>
      <c r="KW204" s="30"/>
      <c r="KX204" s="30"/>
      <c r="KY204" s="30"/>
      <c r="KZ204" s="30"/>
      <c r="LA204" s="30"/>
      <c r="LB204" s="30"/>
      <c r="LC204" s="30"/>
      <c r="LD204" s="30"/>
      <c r="LE204" s="30"/>
      <c r="LF204" s="30"/>
      <c r="LG204" s="30"/>
      <c r="LH204" s="30"/>
      <c r="LI204" s="30"/>
      <c r="LJ204" s="30"/>
      <c r="LK204" s="30"/>
      <c r="LL204" s="30"/>
      <c r="LM204" s="30"/>
      <c r="LN204" s="30"/>
      <c r="LO204" s="30"/>
      <c r="LP204" s="30"/>
      <c r="LQ204" s="30"/>
      <c r="LR204" s="30"/>
      <c r="LS204" s="30"/>
      <c r="LT204" s="30"/>
      <c r="LU204" s="30"/>
      <c r="LV204" s="30"/>
      <c r="LW204" s="30"/>
      <c r="LX204" s="30"/>
      <c r="LY204" s="30"/>
      <c r="LZ204" s="30"/>
      <c r="MA204" s="30"/>
      <c r="MB204" s="30"/>
      <c r="MC204" s="30"/>
      <c r="MD204" s="30"/>
      <c r="ME204" s="30"/>
      <c r="MF204" s="30"/>
      <c r="MG204" s="30"/>
      <c r="MH204" s="30"/>
      <c r="MI204" s="30"/>
      <c r="MJ204" s="30"/>
      <c r="MK204" s="30"/>
      <c r="ML204" s="30"/>
      <c r="MM204" s="30"/>
      <c r="MN204" s="30"/>
      <c r="MO204" s="30"/>
      <c r="MP204" s="30"/>
      <c r="MQ204" s="30"/>
      <c r="MR204" s="30"/>
      <c r="MS204" s="30"/>
      <c r="MT204" s="30"/>
      <c r="MU204" s="30"/>
      <c r="MV204" s="30"/>
      <c r="MW204" s="30"/>
      <c r="MX204" s="30"/>
      <c r="MY204" s="30"/>
      <c r="MZ204" s="30"/>
      <c r="NA204" s="30"/>
      <c r="NB204" s="30"/>
      <c r="NC204" s="30"/>
      <c r="ND204" s="30"/>
      <c r="NE204" s="30"/>
      <c r="NF204" s="30"/>
      <c r="NG204" s="30"/>
      <c r="NH204" s="30"/>
      <c r="NI204" s="30"/>
      <c r="NJ204" s="30"/>
      <c r="NK204" s="30"/>
      <c r="NL204" s="30"/>
      <c r="NM204" s="30"/>
      <c r="NN204" s="30"/>
      <c r="NO204" s="30"/>
      <c r="NP204" s="30"/>
      <c r="NQ204" s="30"/>
      <c r="NR204" s="30"/>
      <c r="NS204" s="30"/>
      <c r="NT204" s="30"/>
      <c r="NU204" s="30"/>
      <c r="NV204" s="30"/>
      <c r="NW204" s="30"/>
      <c r="NX204" s="30"/>
      <c r="NY204" s="30"/>
      <c r="NZ204" s="30"/>
      <c r="OA204" s="30"/>
      <c r="OB204" s="30"/>
      <c r="OC204" s="30"/>
      <c r="OD204" s="30"/>
      <c r="OE204" s="30"/>
      <c r="OF204" s="30"/>
      <c r="OG204" s="30"/>
      <c r="OH204" s="30"/>
      <c r="OI204" s="30"/>
      <c r="OJ204" s="30"/>
      <c r="OK204" s="30"/>
      <c r="OL204" s="30"/>
      <c r="OM204" s="30"/>
      <c r="ON204" s="30"/>
      <c r="OO204" s="30"/>
      <c r="OP204" s="30"/>
      <c r="OQ204" s="30"/>
      <c r="OR204" s="30"/>
      <c r="OS204" s="30"/>
      <c r="OT204" s="30"/>
      <c r="OU204" s="30"/>
      <c r="OV204" s="30"/>
      <c r="OW204" s="30"/>
      <c r="OX204" s="30"/>
      <c r="OY204" s="30"/>
      <c r="OZ204" s="30"/>
      <c r="PA204" s="30"/>
      <c r="PB204" s="30"/>
      <c r="PC204" s="30"/>
      <c r="PD204" s="30"/>
      <c r="PE204" s="30"/>
      <c r="PF204" s="30"/>
      <c r="PG204" s="30"/>
      <c r="PH204" s="30"/>
      <c r="PI204" s="30"/>
      <c r="PJ204" s="30"/>
      <c r="PK204" s="30"/>
      <c r="PL204" s="30"/>
      <c r="PM204" s="30"/>
      <c r="PN204" s="30"/>
      <c r="PO204" s="30"/>
      <c r="PP204" s="30"/>
      <c r="PQ204" s="30"/>
      <c r="PR204" s="30"/>
      <c r="PS204" s="30"/>
      <c r="PT204" s="30"/>
      <c r="PU204" s="30"/>
      <c r="PV204" s="30"/>
      <c r="PW204" s="30"/>
      <c r="PX204" s="30"/>
      <c r="PY204" s="30"/>
      <c r="PZ204" s="30"/>
      <c r="QA204" s="30"/>
      <c r="QB204" s="30"/>
      <c r="QC204" s="30"/>
      <c r="QD204" s="30"/>
      <c r="QE204" s="30"/>
      <c r="QF204" s="30"/>
      <c r="QG204" s="30"/>
      <c r="QH204" s="30"/>
      <c r="QI204" s="30"/>
      <c r="QJ204" s="30"/>
      <c r="QK204" s="30"/>
      <c r="QL204" s="30"/>
      <c r="QM204" s="30"/>
      <c r="QN204" s="30"/>
      <c r="QO204" s="30"/>
      <c r="QP204" s="30"/>
      <c r="QQ204" s="30"/>
      <c r="QR204" s="30"/>
      <c r="QS204" s="30"/>
      <c r="QT204" s="30"/>
      <c r="QU204" s="30"/>
      <c r="QV204" s="30"/>
      <c r="QW204" s="30"/>
      <c r="QX204" s="30"/>
      <c r="QY204" s="30"/>
      <c r="QZ204" s="30"/>
      <c r="RA204" s="30"/>
      <c r="RB204" s="30"/>
      <c r="RC204" s="30"/>
      <c r="RD204" s="30"/>
      <c r="RE204" s="30"/>
      <c r="RF204" s="30"/>
      <c r="RG204" s="30"/>
      <c r="RH204" s="30"/>
      <c r="RI204" s="30"/>
      <c r="RJ204" s="30"/>
      <c r="RK204" s="30"/>
      <c r="RL204" s="30"/>
      <c r="RM204" s="30"/>
      <c r="RN204" s="30"/>
      <c r="RO204" s="30"/>
      <c r="RP204" s="30"/>
      <c r="RQ204" s="30"/>
      <c r="RR204" s="30"/>
      <c r="RS204" s="30"/>
      <c r="RT204" s="30"/>
      <c r="RU204" s="30"/>
      <c r="RV204" s="30"/>
      <c r="RW204" s="30"/>
      <c r="RX204" s="30"/>
      <c r="RY204" s="30"/>
      <c r="RZ204" s="30"/>
      <c r="SA204" s="30"/>
      <c r="SB204" s="30"/>
      <c r="SC204" s="30"/>
      <c r="SD204" s="30"/>
      <c r="SE204" s="30"/>
      <c r="SF204" s="30"/>
      <c r="SG204" s="30"/>
      <c r="SH204" s="30"/>
      <c r="SI204" s="30"/>
      <c r="SJ204" s="30"/>
      <c r="SK204" s="30"/>
      <c r="SL204" s="30"/>
      <c r="SM204" s="30"/>
      <c r="SN204" s="30"/>
      <c r="SO204" s="30"/>
      <c r="SP204" s="30"/>
      <c r="SQ204" s="30"/>
      <c r="SR204" s="30"/>
      <c r="SS204" s="30"/>
      <c r="ST204" s="30"/>
      <c r="SU204" s="30"/>
      <c r="SV204" s="30"/>
      <c r="SW204" s="30"/>
      <c r="SX204" s="30"/>
      <c r="SY204" s="30"/>
      <c r="SZ204" s="30"/>
      <c r="TA204" s="30"/>
      <c r="TB204" s="30"/>
      <c r="TC204" s="30"/>
      <c r="TD204" s="30"/>
      <c r="TE204" s="30"/>
    </row>
    <row r="205" spans="1:525" s="22" customFormat="1" ht="31.5" hidden="1" customHeight="1" x14ac:dyDescent="0.25">
      <c r="A205" s="56" t="s">
        <v>411</v>
      </c>
      <c r="B205" s="84">
        <v>7323</v>
      </c>
      <c r="C205" s="56" t="s">
        <v>110</v>
      </c>
      <c r="D205" s="6" t="str">
        <f>'дод 5'!C185</f>
        <v>Будівництво1 установ та закладів соціальної сфери</v>
      </c>
      <c r="E205" s="141">
        <f t="shared" si="68"/>
        <v>0</v>
      </c>
      <c r="F205" s="141"/>
      <c r="G205" s="141"/>
      <c r="H205" s="141"/>
      <c r="I205" s="141"/>
      <c r="J205" s="141">
        <f t="shared" si="73"/>
        <v>0</v>
      </c>
      <c r="K205" s="141"/>
      <c r="L205" s="141"/>
      <c r="M205" s="141"/>
      <c r="N205" s="141"/>
      <c r="O205" s="141"/>
      <c r="P205" s="141">
        <f t="shared" si="69"/>
        <v>0</v>
      </c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</row>
    <row r="206" spans="1:525" s="22" customFormat="1" ht="15.75" x14ac:dyDescent="0.25">
      <c r="A206" s="56" t="s">
        <v>582</v>
      </c>
      <c r="B206" s="84">
        <v>7640</v>
      </c>
      <c r="C206" s="37" t="s">
        <v>85</v>
      </c>
      <c r="D206" s="3" t="s">
        <v>416</v>
      </c>
      <c r="E206" s="141">
        <f t="shared" si="68"/>
        <v>69000</v>
      </c>
      <c r="F206" s="141">
        <v>69000</v>
      </c>
      <c r="G206" s="141"/>
      <c r="H206" s="141"/>
      <c r="I206" s="141"/>
      <c r="J206" s="141">
        <f t="shared" si="73"/>
        <v>0</v>
      </c>
      <c r="K206" s="141"/>
      <c r="L206" s="141"/>
      <c r="M206" s="141"/>
      <c r="N206" s="141"/>
      <c r="O206" s="141"/>
      <c r="P206" s="141">
        <f t="shared" si="69"/>
        <v>69000</v>
      </c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</row>
    <row r="207" spans="1:525" s="22" customFormat="1" ht="22.5" customHeight="1" x14ac:dyDescent="0.25">
      <c r="A207" s="56" t="s">
        <v>262</v>
      </c>
      <c r="B207" s="84" t="str">
        <f>'дод 5'!A257</f>
        <v>9770</v>
      </c>
      <c r="C207" s="84" t="str">
        <f>'дод 5'!B257</f>
        <v>0180</v>
      </c>
      <c r="D207" s="57" t="str">
        <f>'дод 5'!C257</f>
        <v>Інші субвенції з місцевого бюджету</v>
      </c>
      <c r="E207" s="141">
        <f t="shared" si="68"/>
        <v>2500000</v>
      </c>
      <c r="F207" s="141">
        <v>2500000</v>
      </c>
      <c r="G207" s="141"/>
      <c r="H207" s="141"/>
      <c r="I207" s="141"/>
      <c r="J207" s="141">
        <f t="shared" si="73"/>
        <v>0</v>
      </c>
      <c r="K207" s="141"/>
      <c r="L207" s="141"/>
      <c r="M207" s="141"/>
      <c r="N207" s="141"/>
      <c r="O207" s="141"/>
      <c r="P207" s="141">
        <f t="shared" si="69"/>
        <v>2500000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</row>
    <row r="208" spans="1:525" s="27" customFormat="1" ht="31.5" x14ac:dyDescent="0.25">
      <c r="A208" s="92" t="s">
        <v>185</v>
      </c>
      <c r="B208" s="39"/>
      <c r="C208" s="39"/>
      <c r="D208" s="93" t="s">
        <v>358</v>
      </c>
      <c r="E208" s="139">
        <f>E209</f>
        <v>6035940</v>
      </c>
      <c r="F208" s="139">
        <f t="shared" ref="F208:J208" si="74">F209</f>
        <v>6035940</v>
      </c>
      <c r="G208" s="139">
        <f t="shared" si="74"/>
        <v>4368900</v>
      </c>
      <c r="H208" s="139">
        <f t="shared" si="74"/>
        <v>93500</v>
      </c>
      <c r="I208" s="139">
        <f t="shared" si="74"/>
        <v>0</v>
      </c>
      <c r="J208" s="139">
        <f t="shared" si="74"/>
        <v>0</v>
      </c>
      <c r="K208" s="139">
        <f t="shared" ref="K208" si="75">K209</f>
        <v>0</v>
      </c>
      <c r="L208" s="139">
        <f t="shared" ref="L208" si="76">L209</f>
        <v>0</v>
      </c>
      <c r="M208" s="139">
        <f t="shared" ref="M208" si="77">M209</f>
        <v>0</v>
      </c>
      <c r="N208" s="139">
        <f t="shared" ref="N208" si="78">N209</f>
        <v>0</v>
      </c>
      <c r="O208" s="139">
        <f t="shared" ref="O208:P208" si="79">O209</f>
        <v>0</v>
      </c>
      <c r="P208" s="139">
        <f t="shared" si="79"/>
        <v>6035940</v>
      </c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/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2"/>
      <c r="GE208" s="32"/>
      <c r="GF208" s="32"/>
      <c r="GG208" s="32"/>
      <c r="GH208" s="32"/>
      <c r="GI208" s="32"/>
      <c r="GJ208" s="32"/>
      <c r="GK208" s="32"/>
      <c r="GL208" s="32"/>
      <c r="GM208" s="32"/>
      <c r="GN208" s="32"/>
      <c r="GO208" s="32"/>
      <c r="GP208" s="32"/>
      <c r="GQ208" s="32"/>
      <c r="GR208" s="32"/>
      <c r="GS208" s="32"/>
      <c r="GT208" s="32"/>
      <c r="GU208" s="32"/>
      <c r="GV208" s="32"/>
      <c r="GW208" s="32"/>
      <c r="GX208" s="32"/>
      <c r="GY208" s="32"/>
      <c r="GZ208" s="32"/>
      <c r="HA208" s="32"/>
      <c r="HB208" s="32"/>
      <c r="HC208" s="32"/>
      <c r="HD208" s="32"/>
      <c r="HE208" s="32"/>
      <c r="HF208" s="32"/>
      <c r="HG208" s="32"/>
      <c r="HH208" s="32"/>
      <c r="HI208" s="32"/>
      <c r="HJ208" s="32"/>
      <c r="HK208" s="32"/>
      <c r="HL208" s="32"/>
      <c r="HM208" s="32"/>
      <c r="HN208" s="32"/>
      <c r="HO208" s="32"/>
      <c r="HP208" s="32"/>
      <c r="HQ208" s="32"/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32"/>
      <c r="IE208" s="32"/>
      <c r="IF208" s="32"/>
      <c r="IG208" s="32"/>
      <c r="IH208" s="32"/>
      <c r="II208" s="32"/>
      <c r="IJ208" s="32"/>
      <c r="IK208" s="32"/>
      <c r="IL208" s="32"/>
      <c r="IM208" s="32"/>
      <c r="IN208" s="32"/>
      <c r="IO208" s="32"/>
      <c r="IP208" s="32"/>
      <c r="IQ208" s="32"/>
      <c r="IR208" s="32"/>
      <c r="IS208" s="32"/>
      <c r="IT208" s="32"/>
      <c r="IU208" s="32"/>
      <c r="IV208" s="32"/>
      <c r="IW208" s="32"/>
      <c r="IX208" s="32"/>
      <c r="IY208" s="32"/>
      <c r="IZ208" s="32"/>
      <c r="JA208" s="32"/>
      <c r="JB208" s="32"/>
      <c r="JC208" s="32"/>
      <c r="JD208" s="32"/>
      <c r="JE208" s="32"/>
      <c r="JF208" s="32"/>
      <c r="JG208" s="32"/>
      <c r="JH208" s="32"/>
      <c r="JI208" s="32"/>
      <c r="JJ208" s="32"/>
      <c r="JK208" s="32"/>
      <c r="JL208" s="32"/>
      <c r="JM208" s="32"/>
      <c r="JN208" s="32"/>
      <c r="JO208" s="32"/>
      <c r="JP208" s="32"/>
      <c r="JQ208" s="32"/>
      <c r="JR208" s="32"/>
      <c r="JS208" s="32"/>
      <c r="JT208" s="32"/>
      <c r="JU208" s="32"/>
      <c r="JV208" s="32"/>
      <c r="JW208" s="32"/>
      <c r="JX208" s="32"/>
      <c r="JY208" s="32"/>
      <c r="JZ208" s="32"/>
      <c r="KA208" s="32"/>
      <c r="KB208" s="32"/>
      <c r="KC208" s="32"/>
      <c r="KD208" s="32"/>
      <c r="KE208" s="32"/>
      <c r="KF208" s="32"/>
      <c r="KG208" s="32"/>
      <c r="KH208" s="32"/>
      <c r="KI208" s="32"/>
      <c r="KJ208" s="32"/>
      <c r="KK208" s="32"/>
      <c r="KL208" s="32"/>
      <c r="KM208" s="32"/>
      <c r="KN208" s="32"/>
      <c r="KO208" s="32"/>
      <c r="KP208" s="32"/>
      <c r="KQ208" s="32"/>
      <c r="KR208" s="32"/>
      <c r="KS208" s="32"/>
      <c r="KT208" s="32"/>
      <c r="KU208" s="32"/>
      <c r="KV208" s="32"/>
      <c r="KW208" s="32"/>
      <c r="KX208" s="32"/>
      <c r="KY208" s="32"/>
      <c r="KZ208" s="32"/>
      <c r="LA208" s="32"/>
      <c r="LB208" s="32"/>
      <c r="LC208" s="32"/>
      <c r="LD208" s="32"/>
      <c r="LE208" s="32"/>
      <c r="LF208" s="32"/>
      <c r="LG208" s="32"/>
      <c r="LH208" s="32"/>
      <c r="LI208" s="32"/>
      <c r="LJ208" s="32"/>
      <c r="LK208" s="32"/>
      <c r="LL208" s="32"/>
      <c r="LM208" s="32"/>
      <c r="LN208" s="32"/>
      <c r="LO208" s="32"/>
      <c r="LP208" s="32"/>
      <c r="LQ208" s="32"/>
      <c r="LR208" s="32"/>
      <c r="LS208" s="32"/>
      <c r="LT208" s="32"/>
      <c r="LU208" s="32"/>
      <c r="LV208" s="32"/>
      <c r="LW208" s="32"/>
      <c r="LX208" s="32"/>
      <c r="LY208" s="32"/>
      <c r="LZ208" s="32"/>
      <c r="MA208" s="32"/>
      <c r="MB208" s="32"/>
      <c r="MC208" s="32"/>
      <c r="MD208" s="32"/>
      <c r="ME208" s="32"/>
      <c r="MF208" s="32"/>
      <c r="MG208" s="32"/>
      <c r="MH208" s="32"/>
      <c r="MI208" s="32"/>
      <c r="MJ208" s="32"/>
      <c r="MK208" s="32"/>
      <c r="ML208" s="32"/>
      <c r="MM208" s="32"/>
      <c r="MN208" s="32"/>
      <c r="MO208" s="32"/>
      <c r="MP208" s="32"/>
      <c r="MQ208" s="32"/>
      <c r="MR208" s="32"/>
      <c r="MS208" s="32"/>
      <c r="MT208" s="32"/>
      <c r="MU208" s="32"/>
      <c r="MV208" s="32"/>
      <c r="MW208" s="32"/>
      <c r="MX208" s="32"/>
      <c r="MY208" s="32"/>
      <c r="MZ208" s="32"/>
      <c r="NA208" s="32"/>
      <c r="NB208" s="32"/>
      <c r="NC208" s="32"/>
      <c r="ND208" s="32"/>
      <c r="NE208" s="32"/>
      <c r="NF208" s="32"/>
      <c r="NG208" s="32"/>
      <c r="NH208" s="32"/>
      <c r="NI208" s="32"/>
      <c r="NJ208" s="32"/>
      <c r="NK208" s="32"/>
      <c r="NL208" s="32"/>
      <c r="NM208" s="32"/>
      <c r="NN208" s="32"/>
      <c r="NO208" s="32"/>
      <c r="NP208" s="32"/>
      <c r="NQ208" s="32"/>
      <c r="NR208" s="32"/>
      <c r="NS208" s="32"/>
      <c r="NT208" s="32"/>
      <c r="NU208" s="32"/>
      <c r="NV208" s="32"/>
      <c r="NW208" s="32"/>
      <c r="NX208" s="32"/>
      <c r="NY208" s="32"/>
      <c r="NZ208" s="32"/>
      <c r="OA208" s="32"/>
      <c r="OB208" s="32"/>
      <c r="OC208" s="32"/>
      <c r="OD208" s="32"/>
      <c r="OE208" s="32"/>
      <c r="OF208" s="32"/>
      <c r="OG208" s="32"/>
      <c r="OH208" s="32"/>
      <c r="OI208" s="32"/>
      <c r="OJ208" s="32"/>
      <c r="OK208" s="32"/>
      <c r="OL208" s="32"/>
      <c r="OM208" s="32"/>
      <c r="ON208" s="32"/>
      <c r="OO208" s="32"/>
      <c r="OP208" s="32"/>
      <c r="OQ208" s="32"/>
      <c r="OR208" s="32"/>
      <c r="OS208" s="32"/>
      <c r="OT208" s="32"/>
      <c r="OU208" s="32"/>
      <c r="OV208" s="32"/>
      <c r="OW208" s="32"/>
      <c r="OX208" s="32"/>
      <c r="OY208" s="32"/>
      <c r="OZ208" s="32"/>
      <c r="PA208" s="32"/>
      <c r="PB208" s="32"/>
      <c r="PC208" s="32"/>
      <c r="PD208" s="32"/>
      <c r="PE208" s="32"/>
      <c r="PF208" s="32"/>
      <c r="PG208" s="32"/>
      <c r="PH208" s="32"/>
      <c r="PI208" s="32"/>
      <c r="PJ208" s="32"/>
      <c r="PK208" s="32"/>
      <c r="PL208" s="32"/>
      <c r="PM208" s="32"/>
      <c r="PN208" s="32"/>
      <c r="PO208" s="32"/>
      <c r="PP208" s="32"/>
      <c r="PQ208" s="32"/>
      <c r="PR208" s="32"/>
      <c r="PS208" s="32"/>
      <c r="PT208" s="32"/>
      <c r="PU208" s="32"/>
      <c r="PV208" s="32"/>
      <c r="PW208" s="32"/>
      <c r="PX208" s="32"/>
      <c r="PY208" s="32"/>
      <c r="PZ208" s="32"/>
      <c r="QA208" s="32"/>
      <c r="QB208" s="32"/>
      <c r="QC208" s="32"/>
      <c r="QD208" s="32"/>
      <c r="QE208" s="32"/>
      <c r="QF208" s="32"/>
      <c r="QG208" s="32"/>
      <c r="QH208" s="32"/>
      <c r="QI208" s="32"/>
      <c r="QJ208" s="32"/>
      <c r="QK208" s="32"/>
      <c r="QL208" s="32"/>
      <c r="QM208" s="32"/>
      <c r="QN208" s="32"/>
      <c r="QO208" s="32"/>
      <c r="QP208" s="32"/>
      <c r="QQ208" s="32"/>
      <c r="QR208" s="32"/>
      <c r="QS208" s="32"/>
      <c r="QT208" s="32"/>
      <c r="QU208" s="32"/>
      <c r="QV208" s="32"/>
      <c r="QW208" s="32"/>
      <c r="QX208" s="32"/>
      <c r="QY208" s="32"/>
      <c r="QZ208" s="32"/>
      <c r="RA208" s="32"/>
      <c r="RB208" s="32"/>
      <c r="RC208" s="32"/>
      <c r="RD208" s="32"/>
      <c r="RE208" s="32"/>
      <c r="RF208" s="32"/>
      <c r="RG208" s="32"/>
      <c r="RH208" s="32"/>
      <c r="RI208" s="32"/>
      <c r="RJ208" s="32"/>
      <c r="RK208" s="32"/>
      <c r="RL208" s="32"/>
      <c r="RM208" s="32"/>
      <c r="RN208" s="32"/>
      <c r="RO208" s="32"/>
      <c r="RP208" s="32"/>
      <c r="RQ208" s="32"/>
      <c r="RR208" s="32"/>
      <c r="RS208" s="32"/>
      <c r="RT208" s="32"/>
      <c r="RU208" s="32"/>
      <c r="RV208" s="32"/>
      <c r="RW208" s="32"/>
      <c r="RX208" s="32"/>
      <c r="RY208" s="32"/>
      <c r="RZ208" s="32"/>
      <c r="SA208" s="32"/>
      <c r="SB208" s="32"/>
      <c r="SC208" s="32"/>
      <c r="SD208" s="32"/>
      <c r="SE208" s="32"/>
      <c r="SF208" s="32"/>
      <c r="SG208" s="32"/>
      <c r="SH208" s="32"/>
      <c r="SI208" s="32"/>
      <c r="SJ208" s="32"/>
      <c r="SK208" s="32"/>
      <c r="SL208" s="32"/>
      <c r="SM208" s="32"/>
      <c r="SN208" s="32"/>
      <c r="SO208" s="32"/>
      <c r="SP208" s="32"/>
      <c r="SQ208" s="32"/>
      <c r="SR208" s="32"/>
      <c r="SS208" s="32"/>
      <c r="ST208" s="32"/>
      <c r="SU208" s="32"/>
      <c r="SV208" s="32"/>
      <c r="SW208" s="32"/>
      <c r="SX208" s="32"/>
      <c r="SY208" s="32"/>
      <c r="SZ208" s="32"/>
      <c r="TA208" s="32"/>
      <c r="TB208" s="32"/>
      <c r="TC208" s="32"/>
      <c r="TD208" s="32"/>
      <c r="TE208" s="32"/>
    </row>
    <row r="209" spans="1:525" s="34" customFormat="1" ht="31.5" x14ac:dyDescent="0.25">
      <c r="A209" s="94" t="s">
        <v>186</v>
      </c>
      <c r="B209" s="68"/>
      <c r="C209" s="68"/>
      <c r="D209" s="70" t="s">
        <v>358</v>
      </c>
      <c r="E209" s="140">
        <f>E211+E212+E213+E215+E214</f>
        <v>6035940</v>
      </c>
      <c r="F209" s="140">
        <f t="shared" ref="F209:P209" si="80">F211+F212+F213+F215+F214</f>
        <v>6035940</v>
      </c>
      <c r="G209" s="140">
        <f t="shared" si="80"/>
        <v>4368900</v>
      </c>
      <c r="H209" s="140">
        <f t="shared" si="80"/>
        <v>93500</v>
      </c>
      <c r="I209" s="140">
        <f t="shared" si="80"/>
        <v>0</v>
      </c>
      <c r="J209" s="140">
        <f t="shared" si="80"/>
        <v>0</v>
      </c>
      <c r="K209" s="140">
        <f t="shared" si="80"/>
        <v>0</v>
      </c>
      <c r="L209" s="140">
        <f t="shared" si="80"/>
        <v>0</v>
      </c>
      <c r="M209" s="140">
        <f t="shared" si="80"/>
        <v>0</v>
      </c>
      <c r="N209" s="140">
        <f t="shared" si="80"/>
        <v>0</v>
      </c>
      <c r="O209" s="140">
        <f t="shared" si="80"/>
        <v>0</v>
      </c>
      <c r="P209" s="140">
        <f t="shared" si="80"/>
        <v>6035940</v>
      </c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  <c r="GE209" s="33"/>
      <c r="GF209" s="33"/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33"/>
      <c r="GZ209" s="33"/>
      <c r="HA209" s="33"/>
      <c r="HB209" s="33"/>
      <c r="HC209" s="33"/>
      <c r="HD209" s="33"/>
      <c r="HE209" s="33"/>
      <c r="HF209" s="33"/>
      <c r="HG209" s="33"/>
      <c r="HH209" s="33"/>
      <c r="HI209" s="33"/>
      <c r="HJ209" s="33"/>
      <c r="HK209" s="33"/>
      <c r="HL209" s="33"/>
      <c r="HM209" s="33"/>
      <c r="HN209" s="33"/>
      <c r="HO209" s="33"/>
      <c r="HP209" s="33"/>
      <c r="HQ209" s="33"/>
      <c r="HR209" s="33"/>
      <c r="HS209" s="33"/>
      <c r="HT209" s="33"/>
      <c r="HU209" s="33"/>
      <c r="HV209" s="33"/>
      <c r="HW209" s="33"/>
      <c r="HX209" s="33"/>
      <c r="HY209" s="33"/>
      <c r="HZ209" s="33"/>
      <c r="IA209" s="33"/>
      <c r="IB209" s="33"/>
      <c r="IC209" s="33"/>
      <c r="ID209" s="33"/>
      <c r="IE209" s="33"/>
      <c r="IF209" s="33"/>
      <c r="IG209" s="33"/>
      <c r="IH209" s="33"/>
      <c r="II209" s="33"/>
      <c r="IJ209" s="33"/>
      <c r="IK209" s="33"/>
      <c r="IL209" s="33"/>
      <c r="IM209" s="33"/>
      <c r="IN209" s="33"/>
      <c r="IO209" s="33"/>
      <c r="IP209" s="33"/>
      <c r="IQ209" s="33"/>
      <c r="IR209" s="33"/>
      <c r="IS209" s="33"/>
      <c r="IT209" s="33"/>
      <c r="IU209" s="33"/>
      <c r="IV209" s="33"/>
      <c r="IW209" s="33"/>
      <c r="IX209" s="33"/>
      <c r="IY209" s="33"/>
      <c r="IZ209" s="33"/>
      <c r="JA209" s="33"/>
      <c r="JB209" s="33"/>
      <c r="JC209" s="33"/>
      <c r="JD209" s="33"/>
      <c r="JE209" s="33"/>
      <c r="JF209" s="33"/>
      <c r="JG209" s="33"/>
      <c r="JH209" s="33"/>
      <c r="JI209" s="33"/>
      <c r="JJ209" s="33"/>
      <c r="JK209" s="33"/>
      <c r="JL209" s="33"/>
      <c r="JM209" s="33"/>
      <c r="JN209" s="33"/>
      <c r="JO209" s="33"/>
      <c r="JP209" s="33"/>
      <c r="JQ209" s="33"/>
      <c r="JR209" s="33"/>
      <c r="JS209" s="33"/>
      <c r="JT209" s="33"/>
      <c r="JU209" s="33"/>
      <c r="JV209" s="33"/>
      <c r="JW209" s="33"/>
      <c r="JX209" s="33"/>
      <c r="JY209" s="33"/>
      <c r="JZ209" s="33"/>
      <c r="KA209" s="33"/>
      <c r="KB209" s="33"/>
      <c r="KC209" s="33"/>
      <c r="KD209" s="33"/>
      <c r="KE209" s="33"/>
      <c r="KF209" s="33"/>
      <c r="KG209" s="33"/>
      <c r="KH209" s="33"/>
      <c r="KI209" s="33"/>
      <c r="KJ209" s="33"/>
      <c r="KK209" s="33"/>
      <c r="KL209" s="33"/>
      <c r="KM209" s="33"/>
      <c r="KN209" s="33"/>
      <c r="KO209" s="33"/>
      <c r="KP209" s="33"/>
      <c r="KQ209" s="33"/>
      <c r="KR209" s="33"/>
      <c r="KS209" s="33"/>
      <c r="KT209" s="33"/>
      <c r="KU209" s="33"/>
      <c r="KV209" s="33"/>
      <c r="KW209" s="33"/>
      <c r="KX209" s="33"/>
      <c r="KY209" s="33"/>
      <c r="KZ209" s="33"/>
      <c r="LA209" s="33"/>
      <c r="LB209" s="33"/>
      <c r="LC209" s="33"/>
      <c r="LD209" s="33"/>
      <c r="LE209" s="33"/>
      <c r="LF209" s="33"/>
      <c r="LG209" s="33"/>
      <c r="LH209" s="33"/>
      <c r="LI209" s="33"/>
      <c r="LJ209" s="33"/>
      <c r="LK209" s="33"/>
      <c r="LL209" s="33"/>
      <c r="LM209" s="33"/>
      <c r="LN209" s="33"/>
      <c r="LO209" s="33"/>
      <c r="LP209" s="33"/>
      <c r="LQ209" s="33"/>
      <c r="LR209" s="33"/>
      <c r="LS209" s="33"/>
      <c r="LT209" s="33"/>
      <c r="LU209" s="33"/>
      <c r="LV209" s="33"/>
      <c r="LW209" s="33"/>
      <c r="LX209" s="33"/>
      <c r="LY209" s="33"/>
      <c r="LZ209" s="33"/>
      <c r="MA209" s="33"/>
      <c r="MB209" s="33"/>
      <c r="MC209" s="33"/>
      <c r="MD209" s="33"/>
      <c r="ME209" s="33"/>
      <c r="MF209" s="33"/>
      <c r="MG209" s="33"/>
      <c r="MH209" s="33"/>
      <c r="MI209" s="33"/>
      <c r="MJ209" s="33"/>
      <c r="MK209" s="33"/>
      <c r="ML209" s="33"/>
      <c r="MM209" s="33"/>
      <c r="MN209" s="33"/>
      <c r="MO209" s="33"/>
      <c r="MP209" s="33"/>
      <c r="MQ209" s="33"/>
      <c r="MR209" s="33"/>
      <c r="MS209" s="33"/>
      <c r="MT209" s="33"/>
      <c r="MU209" s="33"/>
      <c r="MV209" s="33"/>
      <c r="MW209" s="33"/>
      <c r="MX209" s="33"/>
      <c r="MY209" s="33"/>
      <c r="MZ209" s="33"/>
      <c r="NA209" s="33"/>
      <c r="NB209" s="33"/>
      <c r="NC209" s="33"/>
      <c r="ND209" s="33"/>
      <c r="NE209" s="33"/>
      <c r="NF209" s="33"/>
      <c r="NG209" s="33"/>
      <c r="NH209" s="33"/>
      <c r="NI209" s="33"/>
      <c r="NJ209" s="33"/>
      <c r="NK209" s="33"/>
      <c r="NL209" s="33"/>
      <c r="NM209" s="33"/>
      <c r="NN209" s="33"/>
      <c r="NO209" s="33"/>
      <c r="NP209" s="33"/>
      <c r="NQ209" s="33"/>
      <c r="NR209" s="33"/>
      <c r="NS209" s="33"/>
      <c r="NT209" s="33"/>
      <c r="NU209" s="33"/>
      <c r="NV209" s="33"/>
      <c r="NW209" s="33"/>
      <c r="NX209" s="33"/>
      <c r="NY209" s="33"/>
      <c r="NZ209" s="33"/>
      <c r="OA209" s="33"/>
      <c r="OB209" s="33"/>
      <c r="OC209" s="33"/>
      <c r="OD209" s="33"/>
      <c r="OE209" s="33"/>
      <c r="OF209" s="33"/>
      <c r="OG209" s="33"/>
      <c r="OH209" s="33"/>
      <c r="OI209" s="33"/>
      <c r="OJ209" s="33"/>
      <c r="OK209" s="33"/>
      <c r="OL209" s="33"/>
      <c r="OM209" s="33"/>
      <c r="ON209" s="33"/>
      <c r="OO209" s="33"/>
      <c r="OP209" s="33"/>
      <c r="OQ209" s="33"/>
      <c r="OR209" s="33"/>
      <c r="OS209" s="33"/>
      <c r="OT209" s="33"/>
      <c r="OU209" s="33"/>
      <c r="OV209" s="33"/>
      <c r="OW209" s="33"/>
      <c r="OX209" s="33"/>
      <c r="OY209" s="33"/>
      <c r="OZ209" s="33"/>
      <c r="PA209" s="33"/>
      <c r="PB209" s="33"/>
      <c r="PC209" s="33"/>
      <c r="PD209" s="33"/>
      <c r="PE209" s="33"/>
      <c r="PF209" s="33"/>
      <c r="PG209" s="33"/>
      <c r="PH209" s="33"/>
      <c r="PI209" s="33"/>
      <c r="PJ209" s="33"/>
      <c r="PK209" s="33"/>
      <c r="PL209" s="33"/>
      <c r="PM209" s="33"/>
      <c r="PN209" s="33"/>
      <c r="PO209" s="33"/>
      <c r="PP209" s="33"/>
      <c r="PQ209" s="33"/>
      <c r="PR209" s="33"/>
      <c r="PS209" s="33"/>
      <c r="PT209" s="33"/>
      <c r="PU209" s="33"/>
      <c r="PV209" s="33"/>
      <c r="PW209" s="33"/>
      <c r="PX209" s="33"/>
      <c r="PY209" s="33"/>
      <c r="PZ209" s="33"/>
      <c r="QA209" s="33"/>
      <c r="QB209" s="33"/>
      <c r="QC209" s="33"/>
      <c r="QD209" s="33"/>
      <c r="QE209" s="33"/>
      <c r="QF209" s="33"/>
      <c r="QG209" s="33"/>
      <c r="QH209" s="33"/>
      <c r="QI209" s="33"/>
      <c r="QJ209" s="33"/>
      <c r="QK209" s="33"/>
      <c r="QL209" s="33"/>
      <c r="QM209" s="33"/>
      <c r="QN209" s="33"/>
      <c r="QO209" s="33"/>
      <c r="QP209" s="33"/>
      <c r="QQ209" s="33"/>
      <c r="QR209" s="33"/>
      <c r="QS209" s="33"/>
      <c r="QT209" s="33"/>
      <c r="QU209" s="33"/>
      <c r="QV209" s="33"/>
      <c r="QW209" s="33"/>
      <c r="QX209" s="33"/>
      <c r="QY209" s="33"/>
      <c r="QZ209" s="33"/>
      <c r="RA209" s="33"/>
      <c r="RB209" s="33"/>
      <c r="RC209" s="33"/>
      <c r="RD209" s="33"/>
      <c r="RE209" s="33"/>
      <c r="RF209" s="33"/>
      <c r="RG209" s="33"/>
      <c r="RH209" s="33"/>
      <c r="RI209" s="33"/>
      <c r="RJ209" s="33"/>
      <c r="RK209" s="33"/>
      <c r="RL209" s="33"/>
      <c r="RM209" s="33"/>
      <c r="RN209" s="33"/>
      <c r="RO209" s="33"/>
      <c r="RP209" s="33"/>
      <c r="RQ209" s="33"/>
      <c r="RR209" s="33"/>
      <c r="RS209" s="33"/>
      <c r="RT209" s="33"/>
      <c r="RU209" s="33"/>
      <c r="RV209" s="33"/>
      <c r="RW209" s="33"/>
      <c r="RX209" s="33"/>
      <c r="RY209" s="33"/>
      <c r="RZ209" s="33"/>
      <c r="SA209" s="33"/>
      <c r="SB209" s="33"/>
      <c r="SC209" s="33"/>
      <c r="SD209" s="33"/>
      <c r="SE209" s="33"/>
      <c r="SF209" s="33"/>
      <c r="SG209" s="33"/>
      <c r="SH209" s="33"/>
      <c r="SI209" s="33"/>
      <c r="SJ209" s="33"/>
      <c r="SK209" s="33"/>
      <c r="SL209" s="33"/>
      <c r="SM209" s="33"/>
      <c r="SN209" s="33"/>
      <c r="SO209" s="33"/>
      <c r="SP209" s="33"/>
      <c r="SQ209" s="33"/>
      <c r="SR209" s="33"/>
      <c r="SS209" s="33"/>
      <c r="ST209" s="33"/>
      <c r="SU209" s="33"/>
      <c r="SV209" s="33"/>
      <c r="SW209" s="33"/>
      <c r="SX209" s="33"/>
      <c r="SY209" s="33"/>
      <c r="SZ209" s="33"/>
      <c r="TA209" s="33"/>
      <c r="TB209" s="33"/>
      <c r="TC209" s="33"/>
      <c r="TD209" s="33"/>
      <c r="TE209" s="33"/>
    </row>
    <row r="210" spans="1:525" s="34" customFormat="1" ht="141.75" hidden="1" customHeight="1" x14ac:dyDescent="0.25">
      <c r="A210" s="94"/>
      <c r="B210" s="68"/>
      <c r="C210" s="68"/>
      <c r="D210" s="124" t="s">
        <v>574</v>
      </c>
      <c r="E210" s="140">
        <f>E216</f>
        <v>0</v>
      </c>
      <c r="F210" s="140">
        <f t="shared" ref="F210:P210" si="81">F216</f>
        <v>0</v>
      </c>
      <c r="G210" s="140">
        <f t="shared" si="81"/>
        <v>0</v>
      </c>
      <c r="H210" s="140">
        <f t="shared" si="81"/>
        <v>0</v>
      </c>
      <c r="I210" s="140">
        <f t="shared" si="81"/>
        <v>0</v>
      </c>
      <c r="J210" s="140">
        <f t="shared" si="81"/>
        <v>0</v>
      </c>
      <c r="K210" s="140">
        <f t="shared" si="81"/>
        <v>0</v>
      </c>
      <c r="L210" s="140">
        <f t="shared" si="81"/>
        <v>0</v>
      </c>
      <c r="M210" s="140">
        <f t="shared" si="81"/>
        <v>0</v>
      </c>
      <c r="N210" s="140">
        <f t="shared" si="81"/>
        <v>0</v>
      </c>
      <c r="O210" s="140">
        <f t="shared" si="81"/>
        <v>0</v>
      </c>
      <c r="P210" s="140">
        <f t="shared" si="81"/>
        <v>0</v>
      </c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  <c r="IT210" s="33"/>
      <c r="IU210" s="33"/>
      <c r="IV210" s="33"/>
      <c r="IW210" s="33"/>
      <c r="IX210" s="33"/>
      <c r="IY210" s="33"/>
      <c r="IZ210" s="33"/>
      <c r="JA210" s="33"/>
      <c r="JB210" s="33"/>
      <c r="JC210" s="33"/>
      <c r="JD210" s="33"/>
      <c r="JE210" s="33"/>
      <c r="JF210" s="33"/>
      <c r="JG210" s="33"/>
      <c r="JH210" s="33"/>
      <c r="JI210" s="33"/>
      <c r="JJ210" s="33"/>
      <c r="JK210" s="33"/>
      <c r="JL210" s="33"/>
      <c r="JM210" s="33"/>
      <c r="JN210" s="33"/>
      <c r="JO210" s="33"/>
      <c r="JP210" s="33"/>
      <c r="JQ210" s="33"/>
      <c r="JR210" s="33"/>
      <c r="JS210" s="33"/>
      <c r="JT210" s="33"/>
      <c r="JU210" s="33"/>
      <c r="JV210" s="33"/>
      <c r="JW210" s="33"/>
      <c r="JX210" s="33"/>
      <c r="JY210" s="33"/>
      <c r="JZ210" s="33"/>
      <c r="KA210" s="33"/>
      <c r="KB210" s="33"/>
      <c r="KC210" s="33"/>
      <c r="KD210" s="33"/>
      <c r="KE210" s="33"/>
      <c r="KF210" s="33"/>
      <c r="KG210" s="33"/>
      <c r="KH210" s="33"/>
      <c r="KI210" s="33"/>
      <c r="KJ210" s="33"/>
      <c r="KK210" s="33"/>
      <c r="KL210" s="33"/>
      <c r="KM210" s="33"/>
      <c r="KN210" s="33"/>
      <c r="KO210" s="33"/>
      <c r="KP210" s="33"/>
      <c r="KQ210" s="33"/>
      <c r="KR210" s="33"/>
      <c r="KS210" s="33"/>
      <c r="KT210" s="33"/>
      <c r="KU210" s="33"/>
      <c r="KV210" s="33"/>
      <c r="KW210" s="33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3"/>
      <c r="LO210" s="33"/>
      <c r="LP210" s="33"/>
      <c r="LQ210" s="33"/>
      <c r="LR210" s="33"/>
      <c r="LS210" s="33"/>
      <c r="LT210" s="33"/>
      <c r="LU210" s="33"/>
      <c r="LV210" s="33"/>
      <c r="LW210" s="33"/>
      <c r="LX210" s="33"/>
      <c r="LY210" s="33"/>
      <c r="LZ210" s="33"/>
      <c r="MA210" s="33"/>
      <c r="MB210" s="33"/>
      <c r="MC210" s="33"/>
      <c r="MD210" s="33"/>
      <c r="ME210" s="33"/>
      <c r="MF210" s="33"/>
      <c r="MG210" s="33"/>
      <c r="MH210" s="33"/>
      <c r="MI210" s="33"/>
      <c r="MJ210" s="33"/>
      <c r="MK210" s="33"/>
      <c r="ML210" s="33"/>
      <c r="MM210" s="33"/>
      <c r="MN210" s="33"/>
      <c r="MO210" s="33"/>
      <c r="MP210" s="33"/>
      <c r="MQ210" s="33"/>
      <c r="MR210" s="33"/>
      <c r="MS210" s="33"/>
      <c r="MT210" s="33"/>
      <c r="MU210" s="33"/>
      <c r="MV210" s="33"/>
      <c r="MW210" s="33"/>
      <c r="MX210" s="33"/>
      <c r="MY210" s="33"/>
      <c r="MZ210" s="33"/>
      <c r="NA210" s="33"/>
      <c r="NB210" s="33"/>
      <c r="NC210" s="33"/>
      <c r="ND210" s="33"/>
      <c r="NE210" s="33"/>
      <c r="NF210" s="33"/>
      <c r="NG210" s="33"/>
      <c r="NH210" s="33"/>
      <c r="NI210" s="33"/>
      <c r="NJ210" s="33"/>
      <c r="NK210" s="33"/>
      <c r="NL210" s="33"/>
      <c r="NM210" s="33"/>
      <c r="NN210" s="33"/>
      <c r="NO210" s="33"/>
      <c r="NP210" s="33"/>
      <c r="NQ210" s="33"/>
      <c r="NR210" s="33"/>
      <c r="NS210" s="33"/>
      <c r="NT210" s="33"/>
      <c r="NU210" s="33"/>
      <c r="NV210" s="33"/>
      <c r="NW210" s="33"/>
      <c r="NX210" s="33"/>
      <c r="NY210" s="33"/>
      <c r="NZ210" s="33"/>
      <c r="OA210" s="33"/>
      <c r="OB210" s="33"/>
      <c r="OC210" s="33"/>
      <c r="OD210" s="33"/>
      <c r="OE210" s="33"/>
      <c r="OF210" s="33"/>
      <c r="OG210" s="33"/>
      <c r="OH210" s="33"/>
      <c r="OI210" s="33"/>
      <c r="OJ210" s="33"/>
      <c r="OK210" s="33"/>
      <c r="OL210" s="33"/>
      <c r="OM210" s="33"/>
      <c r="ON210" s="33"/>
      <c r="OO210" s="33"/>
      <c r="OP210" s="33"/>
      <c r="OQ210" s="33"/>
      <c r="OR210" s="33"/>
      <c r="OS210" s="33"/>
      <c r="OT210" s="33"/>
      <c r="OU210" s="33"/>
      <c r="OV210" s="33"/>
      <c r="OW210" s="33"/>
      <c r="OX210" s="33"/>
      <c r="OY210" s="33"/>
      <c r="OZ210" s="33"/>
      <c r="PA210" s="33"/>
      <c r="PB210" s="33"/>
      <c r="PC210" s="33"/>
      <c r="PD210" s="33"/>
      <c r="PE210" s="33"/>
      <c r="PF210" s="33"/>
      <c r="PG210" s="33"/>
      <c r="PH210" s="33"/>
      <c r="PI210" s="33"/>
      <c r="PJ210" s="33"/>
      <c r="PK210" s="33"/>
      <c r="PL210" s="33"/>
      <c r="PM210" s="33"/>
      <c r="PN210" s="33"/>
      <c r="PO210" s="33"/>
      <c r="PP210" s="33"/>
      <c r="PQ210" s="33"/>
      <c r="PR210" s="33"/>
      <c r="PS210" s="33"/>
      <c r="PT210" s="33"/>
      <c r="PU210" s="33"/>
      <c r="PV210" s="33"/>
      <c r="PW210" s="33"/>
      <c r="PX210" s="33"/>
      <c r="PY210" s="33"/>
      <c r="PZ210" s="33"/>
      <c r="QA210" s="33"/>
      <c r="QB210" s="33"/>
      <c r="QC210" s="33"/>
      <c r="QD210" s="33"/>
      <c r="QE210" s="33"/>
      <c r="QF210" s="33"/>
      <c r="QG210" s="33"/>
      <c r="QH210" s="33"/>
      <c r="QI210" s="33"/>
      <c r="QJ210" s="33"/>
      <c r="QK210" s="33"/>
      <c r="QL210" s="33"/>
      <c r="QM210" s="33"/>
      <c r="QN210" s="33"/>
      <c r="QO210" s="33"/>
      <c r="QP210" s="33"/>
      <c r="QQ210" s="33"/>
      <c r="QR210" s="33"/>
      <c r="QS210" s="33"/>
      <c r="QT210" s="33"/>
      <c r="QU210" s="33"/>
      <c r="QV210" s="33"/>
      <c r="QW210" s="33"/>
      <c r="QX210" s="33"/>
      <c r="QY210" s="33"/>
      <c r="QZ210" s="33"/>
      <c r="RA210" s="33"/>
      <c r="RB210" s="33"/>
      <c r="RC210" s="33"/>
      <c r="RD210" s="33"/>
      <c r="RE210" s="33"/>
      <c r="RF210" s="33"/>
      <c r="RG210" s="33"/>
      <c r="RH210" s="33"/>
      <c r="RI210" s="33"/>
      <c r="RJ210" s="33"/>
      <c r="RK210" s="33"/>
      <c r="RL210" s="33"/>
      <c r="RM210" s="33"/>
      <c r="RN210" s="33"/>
      <c r="RO210" s="33"/>
      <c r="RP210" s="33"/>
      <c r="RQ210" s="33"/>
      <c r="RR210" s="33"/>
      <c r="RS210" s="33"/>
      <c r="RT210" s="33"/>
      <c r="RU210" s="33"/>
      <c r="RV210" s="33"/>
      <c r="RW210" s="33"/>
      <c r="RX210" s="33"/>
      <c r="RY210" s="33"/>
      <c r="RZ210" s="33"/>
      <c r="SA210" s="33"/>
      <c r="SB210" s="33"/>
      <c r="SC210" s="33"/>
      <c r="SD210" s="33"/>
      <c r="SE210" s="33"/>
      <c r="SF210" s="33"/>
      <c r="SG210" s="33"/>
      <c r="SH210" s="33"/>
      <c r="SI210" s="33"/>
      <c r="SJ210" s="33"/>
      <c r="SK210" s="33"/>
      <c r="SL210" s="33"/>
      <c r="SM210" s="33"/>
      <c r="SN210" s="33"/>
      <c r="SO210" s="33"/>
      <c r="SP210" s="33"/>
      <c r="SQ210" s="33"/>
      <c r="SR210" s="33"/>
      <c r="SS210" s="33"/>
      <c r="ST210" s="33"/>
      <c r="SU210" s="33"/>
      <c r="SV210" s="33"/>
      <c r="SW210" s="33"/>
      <c r="SX210" s="33"/>
      <c r="SY210" s="33"/>
      <c r="SZ210" s="33"/>
      <c r="TA210" s="33"/>
      <c r="TB210" s="33"/>
      <c r="TC210" s="33"/>
      <c r="TD210" s="33"/>
      <c r="TE210" s="33"/>
    </row>
    <row r="211" spans="1:525" s="22" customFormat="1" ht="47.25" x14ac:dyDescent="0.25">
      <c r="A211" s="56" t="s">
        <v>187</v>
      </c>
      <c r="B211" s="84" t="str">
        <f>'дод 5'!A18</f>
        <v>0160</v>
      </c>
      <c r="C211" s="84" t="str">
        <f>'дод 5'!B18</f>
        <v>0111</v>
      </c>
      <c r="D211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11" s="141">
        <f t="shared" ref="E211:E216" si="82">F211+I211</f>
        <v>5613200</v>
      </c>
      <c r="F211" s="141">
        <f>6088900-475700</f>
        <v>5613200</v>
      </c>
      <c r="G211" s="141">
        <f>4758800-389900</f>
        <v>4368900</v>
      </c>
      <c r="H211" s="141">
        <v>93500</v>
      </c>
      <c r="I211" s="141"/>
      <c r="J211" s="141">
        <f>L211+O211</f>
        <v>0</v>
      </c>
      <c r="K211" s="141">
        <f>12000-12000</f>
        <v>0</v>
      </c>
      <c r="L211" s="141"/>
      <c r="M211" s="141"/>
      <c r="N211" s="141"/>
      <c r="O211" s="141">
        <f>12000-12000</f>
        <v>0</v>
      </c>
      <c r="P211" s="141">
        <f t="shared" ref="P211:P216" si="83">E211+J211</f>
        <v>5613200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</row>
    <row r="212" spans="1:525" s="22" customFormat="1" ht="78" customHeight="1" x14ac:dyDescent="0.25">
      <c r="A212" s="56" t="s">
        <v>329</v>
      </c>
      <c r="B212" s="84">
        <v>3111</v>
      </c>
      <c r="C212" s="84">
        <v>1040</v>
      </c>
      <c r="D212" s="36" t="str">
        <f>'дод 5'!C119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12" s="141">
        <f t="shared" si="82"/>
        <v>227280</v>
      </c>
      <c r="F212" s="141">
        <v>227280</v>
      </c>
      <c r="G212" s="141"/>
      <c r="H212" s="141"/>
      <c r="I212" s="141"/>
      <c r="J212" s="141">
        <f t="shared" ref="J212:J216" si="84">L212+O212</f>
        <v>0</v>
      </c>
      <c r="K212" s="141">
        <f>21140-21140</f>
        <v>0</v>
      </c>
      <c r="L212" s="141"/>
      <c r="M212" s="141"/>
      <c r="N212" s="141"/>
      <c r="O212" s="141">
        <f>21140-21140</f>
        <v>0</v>
      </c>
      <c r="P212" s="141">
        <f t="shared" si="83"/>
        <v>227280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</row>
    <row r="213" spans="1:525" s="22" customFormat="1" ht="31.5" customHeight="1" x14ac:dyDescent="0.25">
      <c r="A213" s="56" t="s">
        <v>188</v>
      </c>
      <c r="B213" s="84" t="str">
        <f>'дод 5'!A120</f>
        <v>3112</v>
      </c>
      <c r="C213" s="84" t="str">
        <f>'дод 5'!B120</f>
        <v>1040</v>
      </c>
      <c r="D213" s="57" t="str">
        <f>'дод 5'!C120</f>
        <v>Заходи державної політики з питань дітей та їх соціального захисту</v>
      </c>
      <c r="E213" s="141">
        <f t="shared" si="82"/>
        <v>195460</v>
      </c>
      <c r="F213" s="141">
        <f>101100+94360</f>
        <v>195460</v>
      </c>
      <c r="G213" s="141"/>
      <c r="H213" s="141"/>
      <c r="I213" s="141"/>
      <c r="J213" s="141">
        <f t="shared" si="84"/>
        <v>0</v>
      </c>
      <c r="K213" s="141"/>
      <c r="L213" s="141"/>
      <c r="M213" s="141"/>
      <c r="N213" s="141"/>
      <c r="O213" s="141"/>
      <c r="P213" s="141">
        <f t="shared" si="83"/>
        <v>195460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</row>
    <row r="214" spans="1:525" s="22" customFormat="1" ht="31.5" hidden="1" customHeight="1" x14ac:dyDescent="0.25">
      <c r="A214" s="56" t="s">
        <v>586</v>
      </c>
      <c r="B214" s="84">
        <v>3242</v>
      </c>
      <c r="C214" s="37" t="s">
        <v>55</v>
      </c>
      <c r="D214" s="3" t="s">
        <v>406</v>
      </c>
      <c r="E214" s="141">
        <f t="shared" si="82"/>
        <v>0</v>
      </c>
      <c r="F214" s="141"/>
      <c r="G214" s="141"/>
      <c r="H214" s="141"/>
      <c r="I214" s="141"/>
      <c r="J214" s="141">
        <f t="shared" si="84"/>
        <v>0</v>
      </c>
      <c r="K214" s="141"/>
      <c r="L214" s="141"/>
      <c r="M214" s="141"/>
      <c r="N214" s="141"/>
      <c r="O214" s="141"/>
      <c r="P214" s="141">
        <f t="shared" si="83"/>
        <v>0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</row>
    <row r="215" spans="1:525" s="22" customFormat="1" ht="94.5" hidden="1" customHeight="1" x14ac:dyDescent="0.25">
      <c r="A215" s="56" t="s">
        <v>427</v>
      </c>
      <c r="B215" s="84">
        <v>6083</v>
      </c>
      <c r="C215" s="56" t="s">
        <v>67</v>
      </c>
      <c r="D215" s="11" t="s">
        <v>428</v>
      </c>
      <c r="E215" s="141">
        <f t="shared" si="82"/>
        <v>0</v>
      </c>
      <c r="F215" s="141"/>
      <c r="G215" s="141"/>
      <c r="H215" s="141"/>
      <c r="I215" s="141"/>
      <c r="J215" s="141">
        <f t="shared" si="84"/>
        <v>0</v>
      </c>
      <c r="K215" s="141"/>
      <c r="L215" s="141"/>
      <c r="M215" s="141"/>
      <c r="N215" s="141"/>
      <c r="O215" s="141"/>
      <c r="P215" s="141">
        <f t="shared" si="83"/>
        <v>0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</row>
    <row r="216" spans="1:525" s="24" customFormat="1" ht="138.75" hidden="1" customHeight="1" x14ac:dyDescent="0.25">
      <c r="A216" s="76"/>
      <c r="B216" s="97"/>
      <c r="C216" s="76"/>
      <c r="D216" s="82" t="s">
        <v>574</v>
      </c>
      <c r="E216" s="141">
        <f t="shared" si="82"/>
        <v>0</v>
      </c>
      <c r="F216" s="142"/>
      <c r="G216" s="142"/>
      <c r="H216" s="142"/>
      <c r="I216" s="142"/>
      <c r="J216" s="141">
        <f t="shared" si="84"/>
        <v>0</v>
      </c>
      <c r="K216" s="142"/>
      <c r="L216" s="142"/>
      <c r="M216" s="142"/>
      <c r="N216" s="142"/>
      <c r="O216" s="142"/>
      <c r="P216" s="141">
        <f t="shared" si="83"/>
        <v>0</v>
      </c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  <c r="IW216" s="30"/>
      <c r="IX216" s="30"/>
      <c r="IY216" s="30"/>
      <c r="IZ216" s="30"/>
      <c r="JA216" s="30"/>
      <c r="JB216" s="30"/>
      <c r="JC216" s="30"/>
      <c r="JD216" s="30"/>
      <c r="JE216" s="30"/>
      <c r="JF216" s="30"/>
      <c r="JG216" s="30"/>
      <c r="JH216" s="30"/>
      <c r="JI216" s="30"/>
      <c r="JJ216" s="30"/>
      <c r="JK216" s="30"/>
      <c r="JL216" s="30"/>
      <c r="JM216" s="30"/>
      <c r="JN216" s="30"/>
      <c r="JO216" s="30"/>
      <c r="JP216" s="30"/>
      <c r="JQ216" s="30"/>
      <c r="JR216" s="30"/>
      <c r="JS216" s="30"/>
      <c r="JT216" s="30"/>
      <c r="JU216" s="30"/>
      <c r="JV216" s="30"/>
      <c r="JW216" s="30"/>
      <c r="JX216" s="30"/>
      <c r="JY216" s="30"/>
      <c r="JZ216" s="30"/>
      <c r="KA216" s="30"/>
      <c r="KB216" s="30"/>
      <c r="KC216" s="30"/>
      <c r="KD216" s="30"/>
      <c r="KE216" s="30"/>
      <c r="KF216" s="30"/>
      <c r="KG216" s="30"/>
      <c r="KH216" s="30"/>
      <c r="KI216" s="30"/>
      <c r="KJ216" s="30"/>
      <c r="KK216" s="30"/>
      <c r="KL216" s="30"/>
      <c r="KM216" s="30"/>
      <c r="KN216" s="30"/>
      <c r="KO216" s="30"/>
      <c r="KP216" s="30"/>
      <c r="KQ216" s="30"/>
      <c r="KR216" s="30"/>
      <c r="KS216" s="30"/>
      <c r="KT216" s="30"/>
      <c r="KU216" s="30"/>
      <c r="KV216" s="30"/>
      <c r="KW216" s="30"/>
      <c r="KX216" s="30"/>
      <c r="KY216" s="30"/>
      <c r="KZ216" s="30"/>
      <c r="LA216" s="30"/>
      <c r="LB216" s="30"/>
      <c r="LC216" s="30"/>
      <c r="LD216" s="30"/>
      <c r="LE216" s="30"/>
      <c r="LF216" s="30"/>
      <c r="LG216" s="30"/>
      <c r="LH216" s="30"/>
      <c r="LI216" s="30"/>
      <c r="LJ216" s="30"/>
      <c r="LK216" s="30"/>
      <c r="LL216" s="30"/>
      <c r="LM216" s="30"/>
      <c r="LN216" s="30"/>
      <c r="LO216" s="30"/>
      <c r="LP216" s="30"/>
      <c r="LQ216" s="30"/>
      <c r="LR216" s="30"/>
      <c r="LS216" s="30"/>
      <c r="LT216" s="30"/>
      <c r="LU216" s="30"/>
      <c r="LV216" s="30"/>
      <c r="LW216" s="30"/>
      <c r="LX216" s="30"/>
      <c r="LY216" s="30"/>
      <c r="LZ216" s="30"/>
      <c r="MA216" s="30"/>
      <c r="MB216" s="30"/>
      <c r="MC216" s="30"/>
      <c r="MD216" s="30"/>
      <c r="ME216" s="30"/>
      <c r="MF216" s="30"/>
      <c r="MG216" s="30"/>
      <c r="MH216" s="30"/>
      <c r="MI216" s="30"/>
      <c r="MJ216" s="30"/>
      <c r="MK216" s="30"/>
      <c r="ML216" s="30"/>
      <c r="MM216" s="30"/>
      <c r="MN216" s="30"/>
      <c r="MO216" s="30"/>
      <c r="MP216" s="30"/>
      <c r="MQ216" s="30"/>
      <c r="MR216" s="30"/>
      <c r="MS216" s="30"/>
      <c r="MT216" s="30"/>
      <c r="MU216" s="30"/>
      <c r="MV216" s="30"/>
      <c r="MW216" s="30"/>
      <c r="MX216" s="30"/>
      <c r="MY216" s="30"/>
      <c r="MZ216" s="30"/>
      <c r="NA216" s="30"/>
      <c r="NB216" s="30"/>
      <c r="NC216" s="30"/>
      <c r="ND216" s="30"/>
      <c r="NE216" s="30"/>
      <c r="NF216" s="30"/>
      <c r="NG216" s="30"/>
      <c r="NH216" s="30"/>
      <c r="NI216" s="30"/>
      <c r="NJ216" s="30"/>
      <c r="NK216" s="30"/>
      <c r="NL216" s="30"/>
      <c r="NM216" s="30"/>
      <c r="NN216" s="30"/>
      <c r="NO216" s="30"/>
      <c r="NP216" s="30"/>
      <c r="NQ216" s="30"/>
      <c r="NR216" s="30"/>
      <c r="NS216" s="30"/>
      <c r="NT216" s="30"/>
      <c r="NU216" s="30"/>
      <c r="NV216" s="30"/>
      <c r="NW216" s="30"/>
      <c r="NX216" s="30"/>
      <c r="NY216" s="30"/>
      <c r="NZ216" s="30"/>
      <c r="OA216" s="30"/>
      <c r="OB216" s="30"/>
      <c r="OC216" s="30"/>
      <c r="OD216" s="30"/>
      <c r="OE216" s="30"/>
      <c r="OF216" s="30"/>
      <c r="OG216" s="30"/>
      <c r="OH216" s="30"/>
      <c r="OI216" s="30"/>
      <c r="OJ216" s="30"/>
      <c r="OK216" s="30"/>
      <c r="OL216" s="30"/>
      <c r="OM216" s="30"/>
      <c r="ON216" s="30"/>
      <c r="OO216" s="30"/>
      <c r="OP216" s="30"/>
      <c r="OQ216" s="30"/>
      <c r="OR216" s="30"/>
      <c r="OS216" s="30"/>
      <c r="OT216" s="30"/>
      <c r="OU216" s="30"/>
      <c r="OV216" s="30"/>
      <c r="OW216" s="30"/>
      <c r="OX216" s="30"/>
      <c r="OY216" s="30"/>
      <c r="OZ216" s="30"/>
      <c r="PA216" s="30"/>
      <c r="PB216" s="30"/>
      <c r="PC216" s="30"/>
      <c r="PD216" s="30"/>
      <c r="PE216" s="30"/>
      <c r="PF216" s="30"/>
      <c r="PG216" s="30"/>
      <c r="PH216" s="30"/>
      <c r="PI216" s="30"/>
      <c r="PJ216" s="30"/>
      <c r="PK216" s="30"/>
      <c r="PL216" s="30"/>
      <c r="PM216" s="30"/>
      <c r="PN216" s="30"/>
      <c r="PO216" s="30"/>
      <c r="PP216" s="30"/>
      <c r="PQ216" s="30"/>
      <c r="PR216" s="30"/>
      <c r="PS216" s="30"/>
      <c r="PT216" s="30"/>
      <c r="PU216" s="30"/>
      <c r="PV216" s="30"/>
      <c r="PW216" s="30"/>
      <c r="PX216" s="30"/>
      <c r="PY216" s="30"/>
      <c r="PZ216" s="30"/>
      <c r="QA216" s="30"/>
      <c r="QB216" s="30"/>
      <c r="QC216" s="30"/>
      <c r="QD216" s="30"/>
      <c r="QE216" s="30"/>
      <c r="QF216" s="30"/>
      <c r="QG216" s="30"/>
      <c r="QH216" s="30"/>
      <c r="QI216" s="30"/>
      <c r="QJ216" s="30"/>
      <c r="QK216" s="30"/>
      <c r="QL216" s="30"/>
      <c r="QM216" s="30"/>
      <c r="QN216" s="30"/>
      <c r="QO216" s="30"/>
      <c r="QP216" s="30"/>
      <c r="QQ216" s="30"/>
      <c r="QR216" s="30"/>
      <c r="QS216" s="30"/>
      <c r="QT216" s="30"/>
      <c r="QU216" s="30"/>
      <c r="QV216" s="30"/>
      <c r="QW216" s="30"/>
      <c r="QX216" s="30"/>
      <c r="QY216" s="30"/>
      <c r="QZ216" s="30"/>
      <c r="RA216" s="30"/>
      <c r="RB216" s="30"/>
      <c r="RC216" s="30"/>
      <c r="RD216" s="30"/>
      <c r="RE216" s="30"/>
      <c r="RF216" s="30"/>
      <c r="RG216" s="30"/>
      <c r="RH216" s="30"/>
      <c r="RI216" s="30"/>
      <c r="RJ216" s="30"/>
      <c r="RK216" s="30"/>
      <c r="RL216" s="30"/>
      <c r="RM216" s="30"/>
      <c r="RN216" s="30"/>
      <c r="RO216" s="30"/>
      <c r="RP216" s="30"/>
      <c r="RQ216" s="30"/>
      <c r="RR216" s="30"/>
      <c r="RS216" s="30"/>
      <c r="RT216" s="30"/>
      <c r="RU216" s="30"/>
      <c r="RV216" s="30"/>
      <c r="RW216" s="30"/>
      <c r="RX216" s="30"/>
      <c r="RY216" s="30"/>
      <c r="RZ216" s="30"/>
      <c r="SA216" s="30"/>
      <c r="SB216" s="30"/>
      <c r="SC216" s="30"/>
      <c r="SD216" s="30"/>
      <c r="SE216" s="30"/>
      <c r="SF216" s="30"/>
      <c r="SG216" s="30"/>
      <c r="SH216" s="30"/>
      <c r="SI216" s="30"/>
      <c r="SJ216" s="30"/>
      <c r="SK216" s="30"/>
      <c r="SL216" s="30"/>
      <c r="SM216" s="30"/>
      <c r="SN216" s="30"/>
      <c r="SO216" s="30"/>
      <c r="SP216" s="30"/>
      <c r="SQ216" s="30"/>
      <c r="SR216" s="30"/>
      <c r="SS216" s="30"/>
      <c r="ST216" s="30"/>
      <c r="SU216" s="30"/>
      <c r="SV216" s="30"/>
      <c r="SW216" s="30"/>
      <c r="SX216" s="30"/>
      <c r="SY216" s="30"/>
      <c r="SZ216" s="30"/>
      <c r="TA216" s="30"/>
      <c r="TB216" s="30"/>
      <c r="TC216" s="30"/>
      <c r="TD216" s="30"/>
      <c r="TE216" s="30"/>
    </row>
    <row r="217" spans="1:525" s="27" customFormat="1" ht="22.5" customHeight="1" x14ac:dyDescent="0.25">
      <c r="A217" s="96" t="s">
        <v>25</v>
      </c>
      <c r="B217" s="98"/>
      <c r="C217" s="98"/>
      <c r="D217" s="93" t="s">
        <v>330</v>
      </c>
      <c r="E217" s="139">
        <f>E218</f>
        <v>92036100</v>
      </c>
      <c r="F217" s="139">
        <f t="shared" ref="F217:J217" si="85">F218</f>
        <v>92036100</v>
      </c>
      <c r="G217" s="139">
        <f t="shared" si="85"/>
        <v>67371900</v>
      </c>
      <c r="H217" s="139">
        <f t="shared" si="85"/>
        <v>4516350</v>
      </c>
      <c r="I217" s="139">
        <f t="shared" si="85"/>
        <v>0</v>
      </c>
      <c r="J217" s="139">
        <f t="shared" si="85"/>
        <v>3663070</v>
      </c>
      <c r="K217" s="139">
        <f t="shared" ref="K217" si="86">K218</f>
        <v>750000</v>
      </c>
      <c r="L217" s="139">
        <f t="shared" ref="L217" si="87">L218</f>
        <v>2909940</v>
      </c>
      <c r="M217" s="139">
        <f t="shared" ref="M217" si="88">M218</f>
        <v>2360710</v>
      </c>
      <c r="N217" s="139">
        <f t="shared" ref="N217" si="89">N218</f>
        <v>3300</v>
      </c>
      <c r="O217" s="139">
        <f t="shared" ref="O217:P217" si="90">O218</f>
        <v>753130</v>
      </c>
      <c r="P217" s="139">
        <f t="shared" si="90"/>
        <v>95699170</v>
      </c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  <c r="IP217" s="32"/>
      <c r="IQ217" s="32"/>
      <c r="IR217" s="32"/>
      <c r="IS217" s="32"/>
      <c r="IT217" s="32"/>
      <c r="IU217" s="32"/>
      <c r="IV217" s="32"/>
      <c r="IW217" s="32"/>
      <c r="IX217" s="32"/>
      <c r="IY217" s="32"/>
      <c r="IZ217" s="32"/>
      <c r="JA217" s="32"/>
      <c r="JB217" s="32"/>
      <c r="JC217" s="32"/>
      <c r="JD217" s="32"/>
      <c r="JE217" s="32"/>
      <c r="JF217" s="32"/>
      <c r="JG217" s="32"/>
      <c r="JH217" s="32"/>
      <c r="JI217" s="32"/>
      <c r="JJ217" s="32"/>
      <c r="JK217" s="32"/>
      <c r="JL217" s="32"/>
      <c r="JM217" s="32"/>
      <c r="JN217" s="32"/>
      <c r="JO217" s="32"/>
      <c r="JP217" s="32"/>
      <c r="JQ217" s="32"/>
      <c r="JR217" s="32"/>
      <c r="JS217" s="32"/>
      <c r="JT217" s="32"/>
      <c r="JU217" s="32"/>
      <c r="JV217" s="32"/>
      <c r="JW217" s="32"/>
      <c r="JX217" s="32"/>
      <c r="JY217" s="32"/>
      <c r="JZ217" s="32"/>
      <c r="KA217" s="32"/>
      <c r="KB217" s="32"/>
      <c r="KC217" s="32"/>
      <c r="KD217" s="32"/>
      <c r="KE217" s="32"/>
      <c r="KF217" s="32"/>
      <c r="KG217" s="32"/>
      <c r="KH217" s="32"/>
      <c r="KI217" s="32"/>
      <c r="KJ217" s="32"/>
      <c r="KK217" s="32"/>
      <c r="KL217" s="32"/>
      <c r="KM217" s="32"/>
      <c r="KN217" s="32"/>
      <c r="KO217" s="32"/>
      <c r="KP217" s="32"/>
      <c r="KQ217" s="32"/>
      <c r="KR217" s="32"/>
      <c r="KS217" s="32"/>
      <c r="KT217" s="32"/>
      <c r="KU217" s="32"/>
      <c r="KV217" s="32"/>
      <c r="KW217" s="32"/>
      <c r="KX217" s="32"/>
      <c r="KY217" s="32"/>
      <c r="KZ217" s="32"/>
      <c r="LA217" s="32"/>
      <c r="LB217" s="32"/>
      <c r="LC217" s="32"/>
      <c r="LD217" s="32"/>
      <c r="LE217" s="32"/>
      <c r="LF217" s="32"/>
      <c r="LG217" s="32"/>
      <c r="LH217" s="32"/>
      <c r="LI217" s="32"/>
      <c r="LJ217" s="32"/>
      <c r="LK217" s="32"/>
      <c r="LL217" s="32"/>
      <c r="LM217" s="32"/>
      <c r="LN217" s="32"/>
      <c r="LO217" s="32"/>
      <c r="LP217" s="32"/>
      <c r="LQ217" s="32"/>
      <c r="LR217" s="32"/>
      <c r="LS217" s="32"/>
      <c r="LT217" s="32"/>
      <c r="LU217" s="32"/>
      <c r="LV217" s="32"/>
      <c r="LW217" s="32"/>
      <c r="LX217" s="32"/>
      <c r="LY217" s="32"/>
      <c r="LZ217" s="32"/>
      <c r="MA217" s="32"/>
      <c r="MB217" s="32"/>
      <c r="MC217" s="32"/>
      <c r="MD217" s="32"/>
      <c r="ME217" s="32"/>
      <c r="MF217" s="32"/>
      <c r="MG217" s="32"/>
      <c r="MH217" s="32"/>
      <c r="MI217" s="32"/>
      <c r="MJ217" s="32"/>
      <c r="MK217" s="32"/>
      <c r="ML217" s="32"/>
      <c r="MM217" s="32"/>
      <c r="MN217" s="32"/>
      <c r="MO217" s="32"/>
      <c r="MP217" s="32"/>
      <c r="MQ217" s="32"/>
      <c r="MR217" s="32"/>
      <c r="MS217" s="32"/>
      <c r="MT217" s="32"/>
      <c r="MU217" s="32"/>
      <c r="MV217" s="32"/>
      <c r="MW217" s="32"/>
      <c r="MX217" s="32"/>
      <c r="MY217" s="32"/>
      <c r="MZ217" s="32"/>
      <c r="NA217" s="32"/>
      <c r="NB217" s="32"/>
      <c r="NC217" s="32"/>
      <c r="ND217" s="32"/>
      <c r="NE217" s="32"/>
      <c r="NF217" s="32"/>
      <c r="NG217" s="32"/>
      <c r="NH217" s="32"/>
      <c r="NI217" s="32"/>
      <c r="NJ217" s="32"/>
      <c r="NK217" s="32"/>
      <c r="NL217" s="32"/>
      <c r="NM217" s="32"/>
      <c r="NN217" s="32"/>
      <c r="NO217" s="32"/>
      <c r="NP217" s="32"/>
      <c r="NQ217" s="32"/>
      <c r="NR217" s="32"/>
      <c r="NS217" s="32"/>
      <c r="NT217" s="32"/>
      <c r="NU217" s="32"/>
      <c r="NV217" s="32"/>
      <c r="NW217" s="32"/>
      <c r="NX217" s="32"/>
      <c r="NY217" s="32"/>
      <c r="NZ217" s="32"/>
      <c r="OA217" s="32"/>
      <c r="OB217" s="32"/>
      <c r="OC217" s="32"/>
      <c r="OD217" s="32"/>
      <c r="OE217" s="32"/>
      <c r="OF217" s="32"/>
      <c r="OG217" s="32"/>
      <c r="OH217" s="32"/>
      <c r="OI217" s="32"/>
      <c r="OJ217" s="32"/>
      <c r="OK217" s="32"/>
      <c r="OL217" s="32"/>
      <c r="OM217" s="32"/>
      <c r="ON217" s="32"/>
      <c r="OO217" s="32"/>
      <c r="OP217" s="32"/>
      <c r="OQ217" s="32"/>
      <c r="OR217" s="32"/>
      <c r="OS217" s="32"/>
      <c r="OT217" s="32"/>
      <c r="OU217" s="32"/>
      <c r="OV217" s="32"/>
      <c r="OW217" s="32"/>
      <c r="OX217" s="32"/>
      <c r="OY217" s="32"/>
      <c r="OZ217" s="32"/>
      <c r="PA217" s="32"/>
      <c r="PB217" s="32"/>
      <c r="PC217" s="32"/>
      <c r="PD217" s="32"/>
      <c r="PE217" s="32"/>
      <c r="PF217" s="32"/>
      <c r="PG217" s="32"/>
      <c r="PH217" s="32"/>
      <c r="PI217" s="32"/>
      <c r="PJ217" s="32"/>
      <c r="PK217" s="32"/>
      <c r="PL217" s="32"/>
      <c r="PM217" s="32"/>
      <c r="PN217" s="32"/>
      <c r="PO217" s="32"/>
      <c r="PP217" s="32"/>
      <c r="PQ217" s="32"/>
      <c r="PR217" s="32"/>
      <c r="PS217" s="32"/>
      <c r="PT217" s="32"/>
      <c r="PU217" s="32"/>
      <c r="PV217" s="32"/>
      <c r="PW217" s="32"/>
      <c r="PX217" s="32"/>
      <c r="PY217" s="32"/>
      <c r="PZ217" s="32"/>
      <c r="QA217" s="32"/>
      <c r="QB217" s="32"/>
      <c r="QC217" s="32"/>
      <c r="QD217" s="32"/>
      <c r="QE217" s="32"/>
      <c r="QF217" s="32"/>
      <c r="QG217" s="32"/>
      <c r="QH217" s="32"/>
      <c r="QI217" s="32"/>
      <c r="QJ217" s="32"/>
      <c r="QK217" s="32"/>
      <c r="QL217" s="32"/>
      <c r="QM217" s="32"/>
      <c r="QN217" s="32"/>
      <c r="QO217" s="32"/>
      <c r="QP217" s="32"/>
      <c r="QQ217" s="32"/>
      <c r="QR217" s="32"/>
      <c r="QS217" s="32"/>
      <c r="QT217" s="32"/>
      <c r="QU217" s="32"/>
      <c r="QV217" s="32"/>
      <c r="QW217" s="32"/>
      <c r="QX217" s="32"/>
      <c r="QY217" s="32"/>
      <c r="QZ217" s="32"/>
      <c r="RA217" s="32"/>
      <c r="RB217" s="32"/>
      <c r="RC217" s="32"/>
      <c r="RD217" s="32"/>
      <c r="RE217" s="32"/>
      <c r="RF217" s="32"/>
      <c r="RG217" s="32"/>
      <c r="RH217" s="32"/>
      <c r="RI217" s="32"/>
      <c r="RJ217" s="32"/>
      <c r="RK217" s="32"/>
      <c r="RL217" s="32"/>
      <c r="RM217" s="32"/>
      <c r="RN217" s="32"/>
      <c r="RO217" s="32"/>
      <c r="RP217" s="32"/>
      <c r="RQ217" s="32"/>
      <c r="RR217" s="32"/>
      <c r="RS217" s="32"/>
      <c r="RT217" s="32"/>
      <c r="RU217" s="32"/>
      <c r="RV217" s="32"/>
      <c r="RW217" s="32"/>
      <c r="RX217" s="32"/>
      <c r="RY217" s="32"/>
      <c r="RZ217" s="32"/>
      <c r="SA217" s="32"/>
      <c r="SB217" s="32"/>
      <c r="SC217" s="32"/>
      <c r="SD217" s="32"/>
      <c r="SE217" s="32"/>
      <c r="SF217" s="32"/>
      <c r="SG217" s="32"/>
      <c r="SH217" s="32"/>
      <c r="SI217" s="32"/>
      <c r="SJ217" s="32"/>
      <c r="SK217" s="32"/>
      <c r="SL217" s="32"/>
      <c r="SM217" s="32"/>
      <c r="SN217" s="32"/>
      <c r="SO217" s="32"/>
      <c r="SP217" s="32"/>
      <c r="SQ217" s="32"/>
      <c r="SR217" s="32"/>
      <c r="SS217" s="32"/>
      <c r="ST217" s="32"/>
      <c r="SU217" s="32"/>
      <c r="SV217" s="32"/>
      <c r="SW217" s="32"/>
      <c r="SX217" s="32"/>
      <c r="SY217" s="32"/>
      <c r="SZ217" s="32"/>
      <c r="TA217" s="32"/>
      <c r="TB217" s="32"/>
      <c r="TC217" s="32"/>
      <c r="TD217" s="32"/>
      <c r="TE217" s="32"/>
    </row>
    <row r="218" spans="1:525" s="34" customFormat="1" ht="21.75" customHeight="1" x14ac:dyDescent="0.25">
      <c r="A218" s="86" t="s">
        <v>189</v>
      </c>
      <c r="B218" s="95"/>
      <c r="C218" s="95"/>
      <c r="D218" s="70" t="s">
        <v>330</v>
      </c>
      <c r="E218" s="140">
        <f>E219+E220+E221+E223+E224++E226+E222+E225+E227</f>
        <v>92036100</v>
      </c>
      <c r="F218" s="140">
        <f t="shared" ref="F218:P218" si="91">F219+F220+F221+F223+F224++F226+F222+F225+F227</f>
        <v>92036100</v>
      </c>
      <c r="G218" s="140">
        <f t="shared" si="91"/>
        <v>67371900</v>
      </c>
      <c r="H218" s="140">
        <f t="shared" si="91"/>
        <v>4516350</v>
      </c>
      <c r="I218" s="140">
        <f t="shared" si="91"/>
        <v>0</v>
      </c>
      <c r="J218" s="140">
        <f t="shared" si="91"/>
        <v>3663070</v>
      </c>
      <c r="K218" s="140">
        <f t="shared" si="91"/>
        <v>750000</v>
      </c>
      <c r="L218" s="140">
        <f t="shared" si="91"/>
        <v>2909940</v>
      </c>
      <c r="M218" s="140">
        <f t="shared" si="91"/>
        <v>2360710</v>
      </c>
      <c r="N218" s="140">
        <f t="shared" si="91"/>
        <v>3300</v>
      </c>
      <c r="O218" s="140">
        <f t="shared" si="91"/>
        <v>753130</v>
      </c>
      <c r="P218" s="140">
        <f t="shared" si="91"/>
        <v>95699170</v>
      </c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  <c r="GE218" s="33"/>
      <c r="GF218" s="33"/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33"/>
      <c r="GZ218" s="33"/>
      <c r="HA218" s="33"/>
      <c r="HB218" s="33"/>
      <c r="HC218" s="33"/>
      <c r="HD218" s="3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33"/>
      <c r="IA218" s="33"/>
      <c r="IB218" s="33"/>
      <c r="IC218" s="33"/>
      <c r="ID218" s="33"/>
      <c r="IE218" s="33"/>
      <c r="IF218" s="33"/>
      <c r="IG218" s="33"/>
      <c r="IH218" s="33"/>
      <c r="II218" s="33"/>
      <c r="IJ218" s="33"/>
      <c r="IK218" s="33"/>
      <c r="IL218" s="33"/>
      <c r="IM218" s="33"/>
      <c r="IN218" s="33"/>
      <c r="IO218" s="33"/>
      <c r="IP218" s="33"/>
      <c r="IQ218" s="33"/>
      <c r="IR218" s="33"/>
      <c r="IS218" s="33"/>
      <c r="IT218" s="33"/>
      <c r="IU218" s="33"/>
      <c r="IV218" s="33"/>
      <c r="IW218" s="33"/>
      <c r="IX218" s="33"/>
      <c r="IY218" s="33"/>
      <c r="IZ218" s="33"/>
      <c r="JA218" s="33"/>
      <c r="JB218" s="33"/>
      <c r="JC218" s="33"/>
      <c r="JD218" s="33"/>
      <c r="JE218" s="33"/>
      <c r="JF218" s="33"/>
      <c r="JG218" s="33"/>
      <c r="JH218" s="33"/>
      <c r="JI218" s="33"/>
      <c r="JJ218" s="33"/>
      <c r="JK218" s="33"/>
      <c r="JL218" s="33"/>
      <c r="JM218" s="33"/>
      <c r="JN218" s="33"/>
      <c r="JO218" s="33"/>
      <c r="JP218" s="33"/>
      <c r="JQ218" s="33"/>
      <c r="JR218" s="33"/>
      <c r="JS218" s="33"/>
      <c r="JT218" s="33"/>
      <c r="JU218" s="33"/>
      <c r="JV218" s="33"/>
      <c r="JW218" s="33"/>
      <c r="JX218" s="33"/>
      <c r="JY218" s="33"/>
      <c r="JZ218" s="33"/>
      <c r="KA218" s="33"/>
      <c r="KB218" s="33"/>
      <c r="KC218" s="33"/>
      <c r="KD218" s="33"/>
      <c r="KE218" s="33"/>
      <c r="KF218" s="33"/>
      <c r="KG218" s="33"/>
      <c r="KH218" s="33"/>
      <c r="KI218" s="33"/>
      <c r="KJ218" s="33"/>
      <c r="KK218" s="33"/>
      <c r="KL218" s="33"/>
      <c r="KM218" s="33"/>
      <c r="KN218" s="33"/>
      <c r="KO218" s="33"/>
      <c r="KP218" s="33"/>
      <c r="KQ218" s="33"/>
      <c r="KR218" s="33"/>
      <c r="KS218" s="33"/>
      <c r="KT218" s="33"/>
      <c r="KU218" s="33"/>
      <c r="KV218" s="33"/>
      <c r="KW218" s="33"/>
      <c r="KX218" s="33"/>
      <c r="KY218" s="33"/>
      <c r="KZ218" s="33"/>
      <c r="LA218" s="33"/>
      <c r="LB218" s="33"/>
      <c r="LC218" s="33"/>
      <c r="LD218" s="33"/>
      <c r="LE218" s="33"/>
      <c r="LF218" s="33"/>
      <c r="LG218" s="33"/>
      <c r="LH218" s="33"/>
      <c r="LI218" s="33"/>
      <c r="LJ218" s="33"/>
      <c r="LK218" s="33"/>
      <c r="LL218" s="33"/>
      <c r="LM218" s="33"/>
      <c r="LN218" s="33"/>
      <c r="LO218" s="33"/>
      <c r="LP218" s="33"/>
      <c r="LQ218" s="33"/>
      <c r="LR218" s="33"/>
      <c r="LS218" s="33"/>
      <c r="LT218" s="33"/>
      <c r="LU218" s="33"/>
      <c r="LV218" s="33"/>
      <c r="LW218" s="33"/>
      <c r="LX218" s="33"/>
      <c r="LY218" s="33"/>
      <c r="LZ218" s="33"/>
      <c r="MA218" s="33"/>
      <c r="MB218" s="33"/>
      <c r="MC218" s="33"/>
      <c r="MD218" s="33"/>
      <c r="ME218" s="33"/>
      <c r="MF218" s="33"/>
      <c r="MG218" s="33"/>
      <c r="MH218" s="33"/>
      <c r="MI218" s="33"/>
      <c r="MJ218" s="33"/>
      <c r="MK218" s="33"/>
      <c r="ML218" s="33"/>
      <c r="MM218" s="33"/>
      <c r="MN218" s="33"/>
      <c r="MO218" s="33"/>
      <c r="MP218" s="33"/>
      <c r="MQ218" s="33"/>
      <c r="MR218" s="33"/>
      <c r="MS218" s="33"/>
      <c r="MT218" s="33"/>
      <c r="MU218" s="33"/>
      <c r="MV218" s="33"/>
      <c r="MW218" s="33"/>
      <c r="MX218" s="33"/>
      <c r="MY218" s="33"/>
      <c r="MZ218" s="33"/>
      <c r="NA218" s="33"/>
      <c r="NB218" s="33"/>
      <c r="NC218" s="33"/>
      <c r="ND218" s="33"/>
      <c r="NE218" s="33"/>
      <c r="NF218" s="33"/>
      <c r="NG218" s="33"/>
      <c r="NH218" s="33"/>
      <c r="NI218" s="33"/>
      <c r="NJ218" s="33"/>
      <c r="NK218" s="33"/>
      <c r="NL218" s="33"/>
      <c r="NM218" s="33"/>
      <c r="NN218" s="33"/>
      <c r="NO218" s="33"/>
      <c r="NP218" s="33"/>
      <c r="NQ218" s="33"/>
      <c r="NR218" s="33"/>
      <c r="NS218" s="33"/>
      <c r="NT218" s="33"/>
      <c r="NU218" s="33"/>
      <c r="NV218" s="33"/>
      <c r="NW218" s="33"/>
      <c r="NX218" s="33"/>
      <c r="NY218" s="33"/>
      <c r="NZ218" s="33"/>
      <c r="OA218" s="33"/>
      <c r="OB218" s="33"/>
      <c r="OC218" s="33"/>
      <c r="OD218" s="33"/>
      <c r="OE218" s="33"/>
      <c r="OF218" s="33"/>
      <c r="OG218" s="33"/>
      <c r="OH218" s="33"/>
      <c r="OI218" s="33"/>
      <c r="OJ218" s="33"/>
      <c r="OK218" s="33"/>
      <c r="OL218" s="33"/>
      <c r="OM218" s="33"/>
      <c r="ON218" s="33"/>
      <c r="OO218" s="33"/>
      <c r="OP218" s="33"/>
      <c r="OQ218" s="33"/>
      <c r="OR218" s="33"/>
      <c r="OS218" s="33"/>
      <c r="OT218" s="33"/>
      <c r="OU218" s="33"/>
      <c r="OV218" s="33"/>
      <c r="OW218" s="33"/>
      <c r="OX218" s="33"/>
      <c r="OY218" s="33"/>
      <c r="OZ218" s="33"/>
      <c r="PA218" s="33"/>
      <c r="PB218" s="33"/>
      <c r="PC218" s="33"/>
      <c r="PD218" s="33"/>
      <c r="PE218" s="33"/>
      <c r="PF218" s="33"/>
      <c r="PG218" s="33"/>
      <c r="PH218" s="33"/>
      <c r="PI218" s="33"/>
      <c r="PJ218" s="33"/>
      <c r="PK218" s="33"/>
      <c r="PL218" s="33"/>
      <c r="PM218" s="33"/>
      <c r="PN218" s="33"/>
      <c r="PO218" s="33"/>
      <c r="PP218" s="33"/>
      <c r="PQ218" s="33"/>
      <c r="PR218" s="33"/>
      <c r="PS218" s="33"/>
      <c r="PT218" s="33"/>
      <c r="PU218" s="33"/>
      <c r="PV218" s="33"/>
      <c r="PW218" s="33"/>
      <c r="PX218" s="33"/>
      <c r="PY218" s="33"/>
      <c r="PZ218" s="33"/>
      <c r="QA218" s="33"/>
      <c r="QB218" s="33"/>
      <c r="QC218" s="33"/>
      <c r="QD218" s="33"/>
      <c r="QE218" s="33"/>
      <c r="QF218" s="33"/>
      <c r="QG218" s="33"/>
      <c r="QH218" s="33"/>
      <c r="QI218" s="33"/>
      <c r="QJ218" s="33"/>
      <c r="QK218" s="33"/>
      <c r="QL218" s="33"/>
      <c r="QM218" s="33"/>
      <c r="QN218" s="33"/>
      <c r="QO218" s="33"/>
      <c r="QP218" s="33"/>
      <c r="QQ218" s="33"/>
      <c r="QR218" s="33"/>
      <c r="QS218" s="33"/>
      <c r="QT218" s="33"/>
      <c r="QU218" s="33"/>
      <c r="QV218" s="33"/>
      <c r="QW218" s="33"/>
      <c r="QX218" s="33"/>
      <c r="QY218" s="33"/>
      <c r="QZ218" s="33"/>
      <c r="RA218" s="33"/>
      <c r="RB218" s="33"/>
      <c r="RC218" s="33"/>
      <c r="RD218" s="33"/>
      <c r="RE218" s="33"/>
      <c r="RF218" s="33"/>
      <c r="RG218" s="33"/>
      <c r="RH218" s="33"/>
      <c r="RI218" s="33"/>
      <c r="RJ218" s="33"/>
      <c r="RK218" s="33"/>
      <c r="RL218" s="33"/>
      <c r="RM218" s="33"/>
      <c r="RN218" s="33"/>
      <c r="RO218" s="33"/>
      <c r="RP218" s="33"/>
      <c r="RQ218" s="33"/>
      <c r="RR218" s="33"/>
      <c r="RS218" s="33"/>
      <c r="RT218" s="33"/>
      <c r="RU218" s="33"/>
      <c r="RV218" s="33"/>
      <c r="RW218" s="33"/>
      <c r="RX218" s="33"/>
      <c r="RY218" s="33"/>
      <c r="RZ218" s="33"/>
      <c r="SA218" s="33"/>
      <c r="SB218" s="33"/>
      <c r="SC218" s="33"/>
      <c r="SD218" s="33"/>
      <c r="SE218" s="33"/>
      <c r="SF218" s="33"/>
      <c r="SG218" s="33"/>
      <c r="SH218" s="33"/>
      <c r="SI218" s="33"/>
      <c r="SJ218" s="33"/>
      <c r="SK218" s="33"/>
      <c r="SL218" s="33"/>
      <c r="SM218" s="33"/>
      <c r="SN218" s="33"/>
      <c r="SO218" s="33"/>
      <c r="SP218" s="33"/>
      <c r="SQ218" s="33"/>
      <c r="SR218" s="33"/>
      <c r="SS218" s="33"/>
      <c r="ST218" s="33"/>
      <c r="SU218" s="33"/>
      <c r="SV218" s="33"/>
      <c r="SW218" s="33"/>
      <c r="SX218" s="33"/>
      <c r="SY218" s="33"/>
      <c r="SZ218" s="33"/>
      <c r="TA218" s="33"/>
      <c r="TB218" s="33"/>
      <c r="TC218" s="33"/>
      <c r="TD218" s="33"/>
      <c r="TE218" s="33"/>
    </row>
    <row r="219" spans="1:525" s="22" customFormat="1" ht="47.25" x14ac:dyDescent="0.25">
      <c r="A219" s="56" t="s">
        <v>136</v>
      </c>
      <c r="B219" s="84" t="str">
        <f>'дод 5'!A18</f>
        <v>0160</v>
      </c>
      <c r="C219" s="84" t="str">
        <f>'дод 5'!B18</f>
        <v>0111</v>
      </c>
      <c r="D219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19" s="141">
        <f t="shared" ref="E219:E227" si="92">F219+I219</f>
        <v>2106700</v>
      </c>
      <c r="F219" s="141">
        <f>2254900-148200</f>
        <v>2106700</v>
      </c>
      <c r="G219" s="141">
        <f>1735600-121500</f>
        <v>1614100</v>
      </c>
      <c r="H219" s="141">
        <v>43400</v>
      </c>
      <c r="I219" s="141"/>
      <c r="J219" s="141">
        <f>L219+O219</f>
        <v>0</v>
      </c>
      <c r="K219" s="141"/>
      <c r="L219" s="141"/>
      <c r="M219" s="141"/>
      <c r="N219" s="141"/>
      <c r="O219" s="141"/>
      <c r="P219" s="141">
        <f t="shared" ref="P219:P227" si="93">E219+J219</f>
        <v>2106700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</row>
    <row r="220" spans="1:525" s="22" customFormat="1" ht="33" customHeight="1" x14ac:dyDescent="0.25">
      <c r="A220" s="56" t="s">
        <v>491</v>
      </c>
      <c r="B220" s="84">
        <v>1080</v>
      </c>
      <c r="C220" s="56" t="s">
        <v>56</v>
      </c>
      <c r="D220" s="57" t="str">
        <f>'дод 5'!C60</f>
        <v>Надання спеціалізованої освіти мистецькими школами</v>
      </c>
      <c r="E220" s="141">
        <f t="shared" si="92"/>
        <v>55584500</v>
      </c>
      <c r="F220" s="141">
        <f>55504500+80000</f>
        <v>55584500</v>
      </c>
      <c r="G220" s="141">
        <v>43494200</v>
      </c>
      <c r="H220" s="141">
        <v>1592300</v>
      </c>
      <c r="I220" s="141"/>
      <c r="J220" s="141">
        <f t="shared" ref="J220:J227" si="94">L220+O220</f>
        <v>3174570</v>
      </c>
      <c r="K220" s="141">
        <v>300000</v>
      </c>
      <c r="L220" s="141">
        <v>2871440</v>
      </c>
      <c r="M220" s="141">
        <v>2346150</v>
      </c>
      <c r="N220" s="141"/>
      <c r="O220" s="141">
        <f>300000+3130</f>
        <v>303130</v>
      </c>
      <c r="P220" s="141">
        <f t="shared" si="93"/>
        <v>58759070</v>
      </c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</row>
    <row r="221" spans="1:525" s="22" customFormat="1" ht="21" customHeight="1" x14ac:dyDescent="0.25">
      <c r="A221" s="56" t="s">
        <v>190</v>
      </c>
      <c r="B221" s="84" t="str">
        <f>'дод 5'!A145</f>
        <v>4030</v>
      </c>
      <c r="C221" s="84" t="str">
        <f>'дод 5'!B145</f>
        <v>0824</v>
      </c>
      <c r="D221" s="57" t="str">
        <f>'дод 5'!C145</f>
        <v>Забезпечення діяльності бібліотек</v>
      </c>
      <c r="E221" s="141">
        <f t="shared" si="92"/>
        <v>25433800</v>
      </c>
      <c r="F221" s="141">
        <v>25433800</v>
      </c>
      <c r="G221" s="141">
        <v>17662700</v>
      </c>
      <c r="H221" s="141">
        <v>2568100</v>
      </c>
      <c r="I221" s="141"/>
      <c r="J221" s="141">
        <f t="shared" si="94"/>
        <v>28000</v>
      </c>
      <c r="K221" s="141">
        <f>400000-400000</f>
        <v>0</v>
      </c>
      <c r="L221" s="141">
        <v>28000</v>
      </c>
      <c r="M221" s="141">
        <v>14560</v>
      </c>
      <c r="N221" s="141"/>
      <c r="O221" s="141">
        <f>400000-400000</f>
        <v>0</v>
      </c>
      <c r="P221" s="141">
        <f t="shared" si="93"/>
        <v>25461800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</row>
    <row r="222" spans="1:525" s="22" customFormat="1" ht="48.75" customHeight="1" x14ac:dyDescent="0.25">
      <c r="A222" s="56">
        <v>1014060</v>
      </c>
      <c r="B222" s="84" t="str">
        <f>'дод 5'!A146</f>
        <v>4060</v>
      </c>
      <c r="C222" s="84" t="str">
        <f>'дод 5'!B146</f>
        <v>0828</v>
      </c>
      <c r="D222" s="57" t="str">
        <f>'дод 5'!C146</f>
        <v>Забезпечення діяльності палаців i будинків культури, клубів, центрів дозвілля та iнших клубних закладів</v>
      </c>
      <c r="E222" s="141">
        <f t="shared" si="92"/>
        <v>3820600</v>
      </c>
      <c r="F222" s="141">
        <v>3820600</v>
      </c>
      <c r="G222" s="141">
        <v>2669200</v>
      </c>
      <c r="H222" s="141">
        <v>247850</v>
      </c>
      <c r="I222" s="141"/>
      <c r="J222" s="141">
        <f t="shared" si="94"/>
        <v>456000</v>
      </c>
      <c r="K222" s="141">
        <f>1650000+50000-1250000</f>
        <v>450000</v>
      </c>
      <c r="L222" s="141">
        <v>6000</v>
      </c>
      <c r="M222" s="141"/>
      <c r="N222" s="141">
        <v>3300</v>
      </c>
      <c r="O222" s="141">
        <f>1650000+50000-1250000</f>
        <v>450000</v>
      </c>
      <c r="P222" s="141">
        <f t="shared" si="93"/>
        <v>4276600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</row>
    <row r="223" spans="1:525" s="24" customFormat="1" ht="33.75" customHeight="1" x14ac:dyDescent="0.25">
      <c r="A223" s="56">
        <v>1014081</v>
      </c>
      <c r="B223" s="84" t="str">
        <f>'дод 5'!A147</f>
        <v>4081</v>
      </c>
      <c r="C223" s="84" t="str">
        <f>'дод 5'!B147</f>
        <v>0829</v>
      </c>
      <c r="D223" s="57" t="str">
        <f>'дод 5'!C147</f>
        <v>Забезпечення діяльності інших закладів в галузі культури і мистецтва</v>
      </c>
      <c r="E223" s="141">
        <f t="shared" si="92"/>
        <v>2570500</v>
      </c>
      <c r="F223" s="141">
        <v>2570500</v>
      </c>
      <c r="G223" s="141">
        <v>1931700</v>
      </c>
      <c r="H223" s="141">
        <v>64700</v>
      </c>
      <c r="I223" s="141"/>
      <c r="J223" s="141">
        <f t="shared" si="94"/>
        <v>0</v>
      </c>
      <c r="K223" s="141"/>
      <c r="L223" s="141"/>
      <c r="M223" s="141"/>
      <c r="N223" s="141"/>
      <c r="O223" s="141"/>
      <c r="P223" s="141">
        <f t="shared" si="93"/>
        <v>2570500</v>
      </c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  <c r="IG223" s="30"/>
      <c r="IH223" s="30"/>
      <c r="II223" s="30"/>
      <c r="IJ223" s="30"/>
      <c r="IK223" s="30"/>
      <c r="IL223" s="30"/>
      <c r="IM223" s="30"/>
      <c r="IN223" s="30"/>
      <c r="IO223" s="30"/>
      <c r="IP223" s="30"/>
      <c r="IQ223" s="30"/>
      <c r="IR223" s="30"/>
      <c r="IS223" s="30"/>
      <c r="IT223" s="30"/>
      <c r="IU223" s="30"/>
      <c r="IV223" s="30"/>
      <c r="IW223" s="30"/>
      <c r="IX223" s="30"/>
      <c r="IY223" s="30"/>
      <c r="IZ223" s="30"/>
      <c r="JA223" s="30"/>
      <c r="JB223" s="30"/>
      <c r="JC223" s="30"/>
      <c r="JD223" s="30"/>
      <c r="JE223" s="30"/>
      <c r="JF223" s="30"/>
      <c r="JG223" s="30"/>
      <c r="JH223" s="30"/>
      <c r="JI223" s="30"/>
      <c r="JJ223" s="30"/>
      <c r="JK223" s="30"/>
      <c r="JL223" s="30"/>
      <c r="JM223" s="30"/>
      <c r="JN223" s="30"/>
      <c r="JO223" s="30"/>
      <c r="JP223" s="30"/>
      <c r="JQ223" s="30"/>
      <c r="JR223" s="30"/>
      <c r="JS223" s="30"/>
      <c r="JT223" s="30"/>
      <c r="JU223" s="30"/>
      <c r="JV223" s="30"/>
      <c r="JW223" s="30"/>
      <c r="JX223" s="30"/>
      <c r="JY223" s="30"/>
      <c r="JZ223" s="30"/>
      <c r="KA223" s="30"/>
      <c r="KB223" s="30"/>
      <c r="KC223" s="30"/>
      <c r="KD223" s="30"/>
      <c r="KE223" s="30"/>
      <c r="KF223" s="30"/>
      <c r="KG223" s="30"/>
      <c r="KH223" s="30"/>
      <c r="KI223" s="30"/>
      <c r="KJ223" s="30"/>
      <c r="KK223" s="30"/>
      <c r="KL223" s="30"/>
      <c r="KM223" s="30"/>
      <c r="KN223" s="30"/>
      <c r="KO223" s="30"/>
      <c r="KP223" s="30"/>
      <c r="KQ223" s="30"/>
      <c r="KR223" s="30"/>
      <c r="KS223" s="30"/>
      <c r="KT223" s="30"/>
      <c r="KU223" s="30"/>
      <c r="KV223" s="30"/>
      <c r="KW223" s="30"/>
      <c r="KX223" s="30"/>
      <c r="KY223" s="30"/>
      <c r="KZ223" s="30"/>
      <c r="LA223" s="30"/>
      <c r="LB223" s="30"/>
      <c r="LC223" s="30"/>
      <c r="LD223" s="30"/>
      <c r="LE223" s="30"/>
      <c r="LF223" s="30"/>
      <c r="LG223" s="30"/>
      <c r="LH223" s="30"/>
      <c r="LI223" s="30"/>
      <c r="LJ223" s="30"/>
      <c r="LK223" s="30"/>
      <c r="LL223" s="30"/>
      <c r="LM223" s="30"/>
      <c r="LN223" s="30"/>
      <c r="LO223" s="30"/>
      <c r="LP223" s="30"/>
      <c r="LQ223" s="30"/>
      <c r="LR223" s="30"/>
      <c r="LS223" s="30"/>
      <c r="LT223" s="30"/>
      <c r="LU223" s="30"/>
      <c r="LV223" s="30"/>
      <c r="LW223" s="30"/>
      <c r="LX223" s="30"/>
      <c r="LY223" s="30"/>
      <c r="LZ223" s="30"/>
      <c r="MA223" s="30"/>
      <c r="MB223" s="30"/>
      <c r="MC223" s="30"/>
      <c r="MD223" s="30"/>
      <c r="ME223" s="30"/>
      <c r="MF223" s="30"/>
      <c r="MG223" s="30"/>
      <c r="MH223" s="30"/>
      <c r="MI223" s="30"/>
      <c r="MJ223" s="30"/>
      <c r="MK223" s="30"/>
      <c r="ML223" s="30"/>
      <c r="MM223" s="30"/>
      <c r="MN223" s="30"/>
      <c r="MO223" s="30"/>
      <c r="MP223" s="30"/>
      <c r="MQ223" s="30"/>
      <c r="MR223" s="30"/>
      <c r="MS223" s="30"/>
      <c r="MT223" s="30"/>
      <c r="MU223" s="30"/>
      <c r="MV223" s="30"/>
      <c r="MW223" s="30"/>
      <c r="MX223" s="30"/>
      <c r="MY223" s="30"/>
      <c r="MZ223" s="30"/>
      <c r="NA223" s="30"/>
      <c r="NB223" s="30"/>
      <c r="NC223" s="30"/>
      <c r="ND223" s="30"/>
      <c r="NE223" s="30"/>
      <c r="NF223" s="30"/>
      <c r="NG223" s="30"/>
      <c r="NH223" s="30"/>
      <c r="NI223" s="30"/>
      <c r="NJ223" s="30"/>
      <c r="NK223" s="30"/>
      <c r="NL223" s="30"/>
      <c r="NM223" s="30"/>
      <c r="NN223" s="30"/>
      <c r="NO223" s="30"/>
      <c r="NP223" s="30"/>
      <c r="NQ223" s="30"/>
      <c r="NR223" s="30"/>
      <c r="NS223" s="30"/>
      <c r="NT223" s="30"/>
      <c r="NU223" s="30"/>
      <c r="NV223" s="30"/>
      <c r="NW223" s="30"/>
      <c r="NX223" s="30"/>
      <c r="NY223" s="30"/>
      <c r="NZ223" s="30"/>
      <c r="OA223" s="30"/>
      <c r="OB223" s="30"/>
      <c r="OC223" s="30"/>
      <c r="OD223" s="30"/>
      <c r="OE223" s="30"/>
      <c r="OF223" s="30"/>
      <c r="OG223" s="30"/>
      <c r="OH223" s="30"/>
      <c r="OI223" s="30"/>
      <c r="OJ223" s="30"/>
      <c r="OK223" s="30"/>
      <c r="OL223" s="30"/>
      <c r="OM223" s="30"/>
      <c r="ON223" s="30"/>
      <c r="OO223" s="30"/>
      <c r="OP223" s="30"/>
      <c r="OQ223" s="30"/>
      <c r="OR223" s="30"/>
      <c r="OS223" s="30"/>
      <c r="OT223" s="30"/>
      <c r="OU223" s="30"/>
      <c r="OV223" s="30"/>
      <c r="OW223" s="30"/>
      <c r="OX223" s="30"/>
      <c r="OY223" s="30"/>
      <c r="OZ223" s="30"/>
      <c r="PA223" s="30"/>
      <c r="PB223" s="30"/>
      <c r="PC223" s="30"/>
      <c r="PD223" s="30"/>
      <c r="PE223" s="30"/>
      <c r="PF223" s="30"/>
      <c r="PG223" s="30"/>
      <c r="PH223" s="30"/>
      <c r="PI223" s="30"/>
      <c r="PJ223" s="30"/>
      <c r="PK223" s="30"/>
      <c r="PL223" s="30"/>
      <c r="PM223" s="30"/>
      <c r="PN223" s="30"/>
      <c r="PO223" s="30"/>
      <c r="PP223" s="30"/>
      <c r="PQ223" s="30"/>
      <c r="PR223" s="30"/>
      <c r="PS223" s="30"/>
      <c r="PT223" s="30"/>
      <c r="PU223" s="30"/>
      <c r="PV223" s="30"/>
      <c r="PW223" s="30"/>
      <c r="PX223" s="30"/>
      <c r="PY223" s="30"/>
      <c r="PZ223" s="30"/>
      <c r="QA223" s="30"/>
      <c r="QB223" s="30"/>
      <c r="QC223" s="30"/>
      <c r="QD223" s="30"/>
      <c r="QE223" s="30"/>
      <c r="QF223" s="30"/>
      <c r="QG223" s="30"/>
      <c r="QH223" s="30"/>
      <c r="QI223" s="30"/>
      <c r="QJ223" s="30"/>
      <c r="QK223" s="30"/>
      <c r="QL223" s="30"/>
      <c r="QM223" s="30"/>
      <c r="QN223" s="30"/>
      <c r="QO223" s="30"/>
      <c r="QP223" s="30"/>
      <c r="QQ223" s="30"/>
      <c r="QR223" s="30"/>
      <c r="QS223" s="30"/>
      <c r="QT223" s="30"/>
      <c r="QU223" s="30"/>
      <c r="QV223" s="30"/>
      <c r="QW223" s="30"/>
      <c r="QX223" s="30"/>
      <c r="QY223" s="30"/>
      <c r="QZ223" s="30"/>
      <c r="RA223" s="30"/>
      <c r="RB223" s="30"/>
      <c r="RC223" s="30"/>
      <c r="RD223" s="30"/>
      <c r="RE223" s="30"/>
      <c r="RF223" s="30"/>
      <c r="RG223" s="30"/>
      <c r="RH223" s="30"/>
      <c r="RI223" s="30"/>
      <c r="RJ223" s="30"/>
      <c r="RK223" s="30"/>
      <c r="RL223" s="30"/>
      <c r="RM223" s="30"/>
      <c r="RN223" s="30"/>
      <c r="RO223" s="30"/>
      <c r="RP223" s="30"/>
      <c r="RQ223" s="30"/>
      <c r="RR223" s="30"/>
      <c r="RS223" s="30"/>
      <c r="RT223" s="30"/>
      <c r="RU223" s="30"/>
      <c r="RV223" s="30"/>
      <c r="RW223" s="30"/>
      <c r="RX223" s="30"/>
      <c r="RY223" s="30"/>
      <c r="RZ223" s="30"/>
      <c r="SA223" s="30"/>
      <c r="SB223" s="30"/>
      <c r="SC223" s="30"/>
      <c r="SD223" s="30"/>
      <c r="SE223" s="30"/>
      <c r="SF223" s="30"/>
      <c r="SG223" s="30"/>
      <c r="SH223" s="30"/>
      <c r="SI223" s="30"/>
      <c r="SJ223" s="30"/>
      <c r="SK223" s="30"/>
      <c r="SL223" s="30"/>
      <c r="SM223" s="30"/>
      <c r="SN223" s="30"/>
      <c r="SO223" s="30"/>
      <c r="SP223" s="30"/>
      <c r="SQ223" s="30"/>
      <c r="SR223" s="30"/>
      <c r="SS223" s="30"/>
      <c r="ST223" s="30"/>
      <c r="SU223" s="30"/>
      <c r="SV223" s="30"/>
      <c r="SW223" s="30"/>
      <c r="SX223" s="30"/>
      <c r="SY223" s="30"/>
      <c r="SZ223" s="30"/>
      <c r="TA223" s="30"/>
      <c r="TB223" s="30"/>
      <c r="TC223" s="30"/>
      <c r="TD223" s="30"/>
      <c r="TE223" s="30"/>
    </row>
    <row r="224" spans="1:525" s="24" customFormat="1" ht="25.5" customHeight="1" x14ac:dyDescent="0.25">
      <c r="A224" s="56">
        <v>1014082</v>
      </c>
      <c r="B224" s="84" t="str">
        <f>'дод 5'!A148</f>
        <v>4082</v>
      </c>
      <c r="C224" s="84" t="str">
        <f>'дод 5'!B148</f>
        <v>0829</v>
      </c>
      <c r="D224" s="57" t="str">
        <f>'дод 5'!C148</f>
        <v>Інші заходи в галузі культури і мистецтва</v>
      </c>
      <c r="E224" s="141">
        <f t="shared" si="92"/>
        <v>2520000</v>
      </c>
      <c r="F224" s="141">
        <f>2450000+70000</f>
        <v>2520000</v>
      </c>
      <c r="G224" s="141"/>
      <c r="H224" s="141"/>
      <c r="I224" s="141"/>
      <c r="J224" s="141">
        <f t="shared" si="94"/>
        <v>0</v>
      </c>
      <c r="K224" s="141"/>
      <c r="L224" s="141"/>
      <c r="M224" s="141"/>
      <c r="N224" s="141"/>
      <c r="O224" s="141"/>
      <c r="P224" s="141">
        <f t="shared" si="93"/>
        <v>2520000</v>
      </c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  <c r="IW224" s="30"/>
      <c r="IX224" s="30"/>
      <c r="IY224" s="30"/>
      <c r="IZ224" s="30"/>
      <c r="JA224" s="30"/>
      <c r="JB224" s="30"/>
      <c r="JC224" s="30"/>
      <c r="JD224" s="30"/>
      <c r="JE224" s="30"/>
      <c r="JF224" s="30"/>
      <c r="JG224" s="30"/>
      <c r="JH224" s="30"/>
      <c r="JI224" s="30"/>
      <c r="JJ224" s="30"/>
      <c r="JK224" s="30"/>
      <c r="JL224" s="30"/>
      <c r="JM224" s="30"/>
      <c r="JN224" s="30"/>
      <c r="JO224" s="30"/>
      <c r="JP224" s="30"/>
      <c r="JQ224" s="30"/>
      <c r="JR224" s="30"/>
      <c r="JS224" s="30"/>
      <c r="JT224" s="30"/>
      <c r="JU224" s="30"/>
      <c r="JV224" s="30"/>
      <c r="JW224" s="30"/>
      <c r="JX224" s="30"/>
      <c r="JY224" s="30"/>
      <c r="JZ224" s="30"/>
      <c r="KA224" s="30"/>
      <c r="KB224" s="30"/>
      <c r="KC224" s="30"/>
      <c r="KD224" s="30"/>
      <c r="KE224" s="30"/>
      <c r="KF224" s="30"/>
      <c r="KG224" s="30"/>
      <c r="KH224" s="30"/>
      <c r="KI224" s="30"/>
      <c r="KJ224" s="30"/>
      <c r="KK224" s="30"/>
      <c r="KL224" s="30"/>
      <c r="KM224" s="30"/>
      <c r="KN224" s="30"/>
      <c r="KO224" s="30"/>
      <c r="KP224" s="30"/>
      <c r="KQ224" s="30"/>
      <c r="KR224" s="30"/>
      <c r="KS224" s="30"/>
      <c r="KT224" s="30"/>
      <c r="KU224" s="30"/>
      <c r="KV224" s="30"/>
      <c r="KW224" s="30"/>
      <c r="KX224" s="30"/>
      <c r="KY224" s="30"/>
      <c r="KZ224" s="30"/>
      <c r="LA224" s="30"/>
      <c r="LB224" s="30"/>
      <c r="LC224" s="30"/>
      <c r="LD224" s="30"/>
      <c r="LE224" s="30"/>
      <c r="LF224" s="30"/>
      <c r="LG224" s="30"/>
      <c r="LH224" s="30"/>
      <c r="LI224" s="30"/>
      <c r="LJ224" s="30"/>
      <c r="LK224" s="30"/>
      <c r="LL224" s="30"/>
      <c r="LM224" s="30"/>
      <c r="LN224" s="30"/>
      <c r="LO224" s="30"/>
      <c r="LP224" s="30"/>
      <c r="LQ224" s="30"/>
      <c r="LR224" s="30"/>
      <c r="LS224" s="30"/>
      <c r="LT224" s="30"/>
      <c r="LU224" s="30"/>
      <c r="LV224" s="30"/>
      <c r="LW224" s="30"/>
      <c r="LX224" s="30"/>
      <c r="LY224" s="30"/>
      <c r="LZ224" s="30"/>
      <c r="MA224" s="30"/>
      <c r="MB224" s="30"/>
      <c r="MC224" s="30"/>
      <c r="MD224" s="30"/>
      <c r="ME224" s="30"/>
      <c r="MF224" s="30"/>
      <c r="MG224" s="30"/>
      <c r="MH224" s="30"/>
      <c r="MI224" s="30"/>
      <c r="MJ224" s="30"/>
      <c r="MK224" s="30"/>
      <c r="ML224" s="30"/>
      <c r="MM224" s="30"/>
      <c r="MN224" s="30"/>
      <c r="MO224" s="30"/>
      <c r="MP224" s="30"/>
      <c r="MQ224" s="30"/>
      <c r="MR224" s="30"/>
      <c r="MS224" s="30"/>
      <c r="MT224" s="30"/>
      <c r="MU224" s="30"/>
      <c r="MV224" s="30"/>
      <c r="MW224" s="30"/>
      <c r="MX224" s="30"/>
      <c r="MY224" s="30"/>
      <c r="MZ224" s="30"/>
      <c r="NA224" s="30"/>
      <c r="NB224" s="30"/>
      <c r="NC224" s="30"/>
      <c r="ND224" s="30"/>
      <c r="NE224" s="30"/>
      <c r="NF224" s="30"/>
      <c r="NG224" s="30"/>
      <c r="NH224" s="30"/>
      <c r="NI224" s="30"/>
      <c r="NJ224" s="30"/>
      <c r="NK224" s="30"/>
      <c r="NL224" s="30"/>
      <c r="NM224" s="30"/>
      <c r="NN224" s="30"/>
      <c r="NO224" s="30"/>
      <c r="NP224" s="30"/>
      <c r="NQ224" s="30"/>
      <c r="NR224" s="30"/>
      <c r="NS224" s="30"/>
      <c r="NT224" s="30"/>
      <c r="NU224" s="30"/>
      <c r="NV224" s="30"/>
      <c r="NW224" s="30"/>
      <c r="NX224" s="30"/>
      <c r="NY224" s="30"/>
      <c r="NZ224" s="30"/>
      <c r="OA224" s="30"/>
      <c r="OB224" s="30"/>
      <c r="OC224" s="30"/>
      <c r="OD224" s="30"/>
      <c r="OE224" s="30"/>
      <c r="OF224" s="30"/>
      <c r="OG224" s="30"/>
      <c r="OH224" s="30"/>
      <c r="OI224" s="30"/>
      <c r="OJ224" s="30"/>
      <c r="OK224" s="30"/>
      <c r="OL224" s="30"/>
      <c r="OM224" s="30"/>
      <c r="ON224" s="30"/>
      <c r="OO224" s="30"/>
      <c r="OP224" s="30"/>
      <c r="OQ224" s="30"/>
      <c r="OR224" s="30"/>
      <c r="OS224" s="30"/>
      <c r="OT224" s="30"/>
      <c r="OU224" s="30"/>
      <c r="OV224" s="30"/>
      <c r="OW224" s="30"/>
      <c r="OX224" s="30"/>
      <c r="OY224" s="30"/>
      <c r="OZ224" s="30"/>
      <c r="PA224" s="30"/>
      <c r="PB224" s="30"/>
      <c r="PC224" s="30"/>
      <c r="PD224" s="30"/>
      <c r="PE224" s="30"/>
      <c r="PF224" s="30"/>
      <c r="PG224" s="30"/>
      <c r="PH224" s="30"/>
      <c r="PI224" s="30"/>
      <c r="PJ224" s="30"/>
      <c r="PK224" s="30"/>
      <c r="PL224" s="30"/>
      <c r="PM224" s="30"/>
      <c r="PN224" s="30"/>
      <c r="PO224" s="30"/>
      <c r="PP224" s="30"/>
      <c r="PQ224" s="30"/>
      <c r="PR224" s="30"/>
      <c r="PS224" s="30"/>
      <c r="PT224" s="30"/>
      <c r="PU224" s="30"/>
      <c r="PV224" s="30"/>
      <c r="PW224" s="30"/>
      <c r="PX224" s="30"/>
      <c r="PY224" s="30"/>
      <c r="PZ224" s="30"/>
      <c r="QA224" s="30"/>
      <c r="QB224" s="30"/>
      <c r="QC224" s="30"/>
      <c r="QD224" s="30"/>
      <c r="QE224" s="30"/>
      <c r="QF224" s="30"/>
      <c r="QG224" s="30"/>
      <c r="QH224" s="30"/>
      <c r="QI224" s="30"/>
      <c r="QJ224" s="30"/>
      <c r="QK224" s="30"/>
      <c r="QL224" s="30"/>
      <c r="QM224" s="30"/>
      <c r="QN224" s="30"/>
      <c r="QO224" s="30"/>
      <c r="QP224" s="30"/>
      <c r="QQ224" s="30"/>
      <c r="QR224" s="30"/>
      <c r="QS224" s="30"/>
      <c r="QT224" s="30"/>
      <c r="QU224" s="30"/>
      <c r="QV224" s="30"/>
      <c r="QW224" s="30"/>
      <c r="QX224" s="30"/>
      <c r="QY224" s="30"/>
      <c r="QZ224" s="30"/>
      <c r="RA224" s="30"/>
      <c r="RB224" s="30"/>
      <c r="RC224" s="30"/>
      <c r="RD224" s="30"/>
      <c r="RE224" s="30"/>
      <c r="RF224" s="30"/>
      <c r="RG224" s="30"/>
      <c r="RH224" s="30"/>
      <c r="RI224" s="30"/>
      <c r="RJ224" s="30"/>
      <c r="RK224" s="30"/>
      <c r="RL224" s="30"/>
      <c r="RM224" s="30"/>
      <c r="RN224" s="30"/>
      <c r="RO224" s="30"/>
      <c r="RP224" s="30"/>
      <c r="RQ224" s="30"/>
      <c r="RR224" s="30"/>
      <c r="RS224" s="30"/>
      <c r="RT224" s="30"/>
      <c r="RU224" s="30"/>
      <c r="RV224" s="30"/>
      <c r="RW224" s="30"/>
      <c r="RX224" s="30"/>
      <c r="RY224" s="30"/>
      <c r="RZ224" s="30"/>
      <c r="SA224" s="30"/>
      <c r="SB224" s="30"/>
      <c r="SC224" s="30"/>
      <c r="SD224" s="30"/>
      <c r="SE224" s="30"/>
      <c r="SF224" s="30"/>
      <c r="SG224" s="30"/>
      <c r="SH224" s="30"/>
      <c r="SI224" s="30"/>
      <c r="SJ224" s="30"/>
      <c r="SK224" s="30"/>
      <c r="SL224" s="30"/>
      <c r="SM224" s="30"/>
      <c r="SN224" s="30"/>
      <c r="SO224" s="30"/>
      <c r="SP224" s="30"/>
      <c r="SQ224" s="30"/>
      <c r="SR224" s="30"/>
      <c r="SS224" s="30"/>
      <c r="ST224" s="30"/>
      <c r="SU224" s="30"/>
      <c r="SV224" s="30"/>
      <c r="SW224" s="30"/>
      <c r="SX224" s="30"/>
      <c r="SY224" s="30"/>
      <c r="SZ224" s="30"/>
      <c r="TA224" s="30"/>
      <c r="TB224" s="30"/>
      <c r="TC224" s="30"/>
      <c r="TD224" s="30"/>
      <c r="TE224" s="30"/>
    </row>
    <row r="225" spans="1:525" s="24" customFormat="1" ht="21.75" hidden="1" customHeight="1" x14ac:dyDescent="0.25">
      <c r="A225" s="56" t="s">
        <v>443</v>
      </c>
      <c r="B225" s="56" t="s">
        <v>444</v>
      </c>
      <c r="C225" s="56" t="s">
        <v>110</v>
      </c>
      <c r="D225" s="6" t="str">
        <f>'дод 5'!C186</f>
        <v>Будівництво1 установ та закладів культури</v>
      </c>
      <c r="E225" s="141">
        <f t="shared" si="92"/>
        <v>0</v>
      </c>
      <c r="F225" s="141"/>
      <c r="G225" s="141"/>
      <c r="H225" s="141"/>
      <c r="I225" s="141"/>
      <c r="J225" s="141">
        <f t="shared" si="94"/>
        <v>0</v>
      </c>
      <c r="K225" s="141"/>
      <c r="L225" s="141"/>
      <c r="M225" s="141"/>
      <c r="N225" s="141"/>
      <c r="O225" s="141"/>
      <c r="P225" s="141">
        <f t="shared" si="93"/>
        <v>0</v>
      </c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/>
      <c r="MA225" s="30"/>
      <c r="MB225" s="30"/>
      <c r="MC225" s="30"/>
      <c r="MD225" s="30"/>
      <c r="ME225" s="30"/>
      <c r="MF225" s="30"/>
      <c r="MG225" s="30"/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30"/>
      <c r="MW225" s="30"/>
      <c r="MX225" s="30"/>
      <c r="MY225" s="30"/>
      <c r="MZ225" s="30"/>
      <c r="NA225" s="30"/>
      <c r="NB225" s="30"/>
      <c r="NC225" s="30"/>
      <c r="ND225" s="30"/>
      <c r="NE225" s="30"/>
      <c r="NF225" s="30"/>
      <c r="NG225" s="30"/>
      <c r="NH225" s="30"/>
      <c r="NI225" s="30"/>
      <c r="NJ225" s="30"/>
      <c r="NK225" s="30"/>
      <c r="NL225" s="30"/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30"/>
      <c r="NY225" s="30"/>
      <c r="NZ225" s="30"/>
      <c r="OA225" s="30"/>
      <c r="OB225" s="30"/>
      <c r="OC225" s="30"/>
      <c r="OD225" s="30"/>
      <c r="OE225" s="30"/>
      <c r="OF225" s="30"/>
      <c r="OG225" s="30"/>
      <c r="OH225" s="30"/>
      <c r="OI225" s="30"/>
      <c r="OJ225" s="30"/>
      <c r="OK225" s="30"/>
      <c r="OL225" s="30"/>
      <c r="OM225" s="30"/>
      <c r="ON225" s="30"/>
      <c r="OO225" s="30"/>
      <c r="OP225" s="30"/>
      <c r="OQ225" s="30"/>
      <c r="OR225" s="30"/>
      <c r="OS225" s="30"/>
      <c r="OT225" s="30"/>
      <c r="OU225" s="30"/>
      <c r="OV225" s="30"/>
      <c r="OW225" s="30"/>
      <c r="OX225" s="30"/>
      <c r="OY225" s="30"/>
      <c r="OZ225" s="30"/>
      <c r="PA225" s="30"/>
      <c r="PB225" s="30"/>
      <c r="PC225" s="30"/>
      <c r="PD225" s="30"/>
      <c r="PE225" s="30"/>
      <c r="PF225" s="30"/>
      <c r="PG225" s="30"/>
      <c r="PH225" s="30"/>
      <c r="PI225" s="30"/>
      <c r="PJ225" s="30"/>
      <c r="PK225" s="30"/>
      <c r="PL225" s="30"/>
      <c r="PM225" s="30"/>
      <c r="PN225" s="30"/>
      <c r="PO225" s="30"/>
      <c r="PP225" s="30"/>
      <c r="PQ225" s="30"/>
      <c r="PR225" s="30"/>
      <c r="PS225" s="30"/>
      <c r="PT225" s="30"/>
      <c r="PU225" s="30"/>
      <c r="PV225" s="30"/>
      <c r="PW225" s="30"/>
      <c r="PX225" s="30"/>
      <c r="PY225" s="30"/>
      <c r="PZ225" s="30"/>
      <c r="QA225" s="30"/>
      <c r="QB225" s="30"/>
      <c r="QC225" s="30"/>
      <c r="QD225" s="30"/>
      <c r="QE225" s="30"/>
      <c r="QF225" s="30"/>
      <c r="QG225" s="30"/>
      <c r="QH225" s="30"/>
      <c r="QI225" s="30"/>
      <c r="QJ225" s="30"/>
      <c r="QK225" s="30"/>
      <c r="QL225" s="30"/>
      <c r="QM225" s="30"/>
      <c r="QN225" s="30"/>
      <c r="QO225" s="30"/>
      <c r="QP225" s="30"/>
      <c r="QQ225" s="30"/>
      <c r="QR225" s="30"/>
      <c r="QS225" s="30"/>
      <c r="QT225" s="30"/>
      <c r="QU225" s="30"/>
      <c r="QV225" s="30"/>
      <c r="QW225" s="30"/>
      <c r="QX225" s="30"/>
      <c r="QY225" s="30"/>
      <c r="QZ225" s="30"/>
      <c r="RA225" s="30"/>
      <c r="RB225" s="30"/>
      <c r="RC225" s="30"/>
      <c r="RD225" s="30"/>
      <c r="RE225" s="30"/>
      <c r="RF225" s="30"/>
      <c r="RG225" s="30"/>
      <c r="RH225" s="30"/>
      <c r="RI225" s="30"/>
      <c r="RJ225" s="30"/>
      <c r="RK225" s="30"/>
      <c r="RL225" s="30"/>
      <c r="RM225" s="30"/>
      <c r="RN225" s="30"/>
      <c r="RO225" s="30"/>
      <c r="RP225" s="30"/>
      <c r="RQ225" s="30"/>
      <c r="RR225" s="30"/>
      <c r="RS225" s="30"/>
      <c r="RT225" s="30"/>
      <c r="RU225" s="30"/>
      <c r="RV225" s="30"/>
      <c r="RW225" s="30"/>
      <c r="RX225" s="30"/>
      <c r="RY225" s="30"/>
      <c r="RZ225" s="30"/>
      <c r="SA225" s="30"/>
      <c r="SB225" s="30"/>
      <c r="SC225" s="30"/>
      <c r="SD225" s="30"/>
      <c r="SE225" s="30"/>
      <c r="SF225" s="30"/>
      <c r="SG225" s="30"/>
      <c r="SH225" s="30"/>
      <c r="SI225" s="30"/>
      <c r="SJ225" s="30"/>
      <c r="SK225" s="30"/>
      <c r="SL225" s="30"/>
      <c r="SM225" s="30"/>
      <c r="SN225" s="30"/>
      <c r="SO225" s="30"/>
      <c r="SP225" s="30"/>
      <c r="SQ225" s="30"/>
      <c r="SR225" s="30"/>
      <c r="SS225" s="30"/>
      <c r="ST225" s="30"/>
      <c r="SU225" s="30"/>
      <c r="SV225" s="30"/>
      <c r="SW225" s="30"/>
      <c r="SX225" s="30"/>
      <c r="SY225" s="30"/>
      <c r="SZ225" s="30"/>
      <c r="TA225" s="30"/>
      <c r="TB225" s="30"/>
      <c r="TC225" s="30"/>
      <c r="TD225" s="30"/>
      <c r="TE225" s="30"/>
    </row>
    <row r="226" spans="1:525" s="22" customFormat="1" ht="22.5" hidden="1" customHeight="1" x14ac:dyDescent="0.25">
      <c r="A226" s="56" t="s">
        <v>142</v>
      </c>
      <c r="B226" s="84" t="str">
        <f>'дод 5'!A219</f>
        <v>7640</v>
      </c>
      <c r="C226" s="84" t="str">
        <f>'дод 5'!B219</f>
        <v>0470</v>
      </c>
      <c r="D226" s="57" t="s">
        <v>416</v>
      </c>
      <c r="E226" s="141">
        <f t="shared" si="92"/>
        <v>0</v>
      </c>
      <c r="F226" s="141"/>
      <c r="G226" s="141"/>
      <c r="H226" s="141"/>
      <c r="I226" s="141"/>
      <c r="J226" s="141">
        <f t="shared" si="94"/>
        <v>0</v>
      </c>
      <c r="K226" s="141">
        <f>850000-500000-350000</f>
        <v>0</v>
      </c>
      <c r="L226" s="141"/>
      <c r="M226" s="141"/>
      <c r="N226" s="141"/>
      <c r="O226" s="141">
        <f>850000-500000-350000</f>
        <v>0</v>
      </c>
      <c r="P226" s="141">
        <f t="shared" si="93"/>
        <v>0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</row>
    <row r="227" spans="1:525" s="22" customFormat="1" ht="35.25" customHeight="1" x14ac:dyDescent="0.25">
      <c r="A227" s="56">
        <v>1018340</v>
      </c>
      <c r="B227" s="84" t="str">
        <f>'дод 5'!A241</f>
        <v>8340</v>
      </c>
      <c r="C227" s="84" t="str">
        <f>'дод 5'!B241</f>
        <v>0540</v>
      </c>
      <c r="D227" s="99" t="str">
        <f>'дод 5'!C241</f>
        <v>Природоохоронні заходи за рахунок цільових фондів</v>
      </c>
      <c r="E227" s="141">
        <f t="shared" si="92"/>
        <v>0</v>
      </c>
      <c r="F227" s="141"/>
      <c r="G227" s="141"/>
      <c r="H227" s="141"/>
      <c r="I227" s="141"/>
      <c r="J227" s="141">
        <f t="shared" si="94"/>
        <v>4500</v>
      </c>
      <c r="K227" s="141"/>
      <c r="L227" s="141">
        <v>4500</v>
      </c>
      <c r="M227" s="141"/>
      <c r="N227" s="141"/>
      <c r="O227" s="141"/>
      <c r="P227" s="141">
        <f t="shared" si="93"/>
        <v>4500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</row>
    <row r="228" spans="1:525" s="27" customFormat="1" ht="34.5" customHeight="1" x14ac:dyDescent="0.25">
      <c r="A228" s="96" t="s">
        <v>191</v>
      </c>
      <c r="B228" s="98"/>
      <c r="C228" s="98"/>
      <c r="D228" s="93" t="s">
        <v>31</v>
      </c>
      <c r="E228" s="139">
        <f>E229</f>
        <v>426330974</v>
      </c>
      <c r="F228" s="139">
        <f t="shared" ref="F228:J228" si="95">F229</f>
        <v>242949400</v>
      </c>
      <c r="G228" s="139">
        <f t="shared" si="95"/>
        <v>10792000</v>
      </c>
      <c r="H228" s="139">
        <f t="shared" si="95"/>
        <v>44870800</v>
      </c>
      <c r="I228" s="139">
        <f t="shared" si="95"/>
        <v>183381574</v>
      </c>
      <c r="J228" s="139">
        <f t="shared" si="95"/>
        <v>301135875</v>
      </c>
      <c r="K228" s="139">
        <f t="shared" ref="K228" si="96">K229</f>
        <v>293464440</v>
      </c>
      <c r="L228" s="139">
        <f t="shared" ref="L228" si="97">L229</f>
        <v>5361561</v>
      </c>
      <c r="M228" s="139">
        <f t="shared" ref="M228" si="98">M229</f>
        <v>0</v>
      </c>
      <c r="N228" s="139">
        <f t="shared" ref="N228" si="99">N229</f>
        <v>0</v>
      </c>
      <c r="O228" s="139">
        <f t="shared" ref="O228:P228" si="100">O229</f>
        <v>295774314</v>
      </c>
      <c r="P228" s="139">
        <f t="shared" si="100"/>
        <v>727466849</v>
      </c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  <c r="IT228" s="32"/>
      <c r="IU228" s="32"/>
      <c r="IV228" s="32"/>
      <c r="IW228" s="32"/>
      <c r="IX228" s="32"/>
      <c r="IY228" s="32"/>
      <c r="IZ228" s="32"/>
      <c r="JA228" s="32"/>
      <c r="JB228" s="32"/>
      <c r="JC228" s="32"/>
      <c r="JD228" s="32"/>
      <c r="JE228" s="32"/>
      <c r="JF228" s="32"/>
      <c r="JG228" s="32"/>
      <c r="JH228" s="32"/>
      <c r="JI228" s="32"/>
      <c r="JJ228" s="32"/>
      <c r="JK228" s="32"/>
      <c r="JL228" s="32"/>
      <c r="JM228" s="32"/>
      <c r="JN228" s="32"/>
      <c r="JO228" s="32"/>
      <c r="JP228" s="32"/>
      <c r="JQ228" s="32"/>
      <c r="JR228" s="32"/>
      <c r="JS228" s="32"/>
      <c r="JT228" s="32"/>
      <c r="JU228" s="32"/>
      <c r="JV228" s="32"/>
      <c r="JW228" s="32"/>
      <c r="JX228" s="32"/>
      <c r="JY228" s="32"/>
      <c r="JZ228" s="32"/>
      <c r="KA228" s="32"/>
      <c r="KB228" s="32"/>
      <c r="KC228" s="32"/>
      <c r="KD228" s="32"/>
      <c r="KE228" s="32"/>
      <c r="KF228" s="32"/>
      <c r="KG228" s="32"/>
      <c r="KH228" s="32"/>
      <c r="KI228" s="32"/>
      <c r="KJ228" s="32"/>
      <c r="KK228" s="32"/>
      <c r="KL228" s="32"/>
      <c r="KM228" s="32"/>
      <c r="KN228" s="32"/>
      <c r="KO228" s="32"/>
      <c r="KP228" s="32"/>
      <c r="KQ228" s="32"/>
      <c r="KR228" s="32"/>
      <c r="KS228" s="32"/>
      <c r="KT228" s="32"/>
      <c r="KU228" s="32"/>
      <c r="KV228" s="32"/>
      <c r="KW228" s="32"/>
      <c r="KX228" s="32"/>
      <c r="KY228" s="32"/>
      <c r="KZ228" s="32"/>
      <c r="LA228" s="32"/>
      <c r="LB228" s="32"/>
      <c r="LC228" s="32"/>
      <c r="LD228" s="32"/>
      <c r="LE228" s="32"/>
      <c r="LF228" s="32"/>
      <c r="LG228" s="32"/>
      <c r="LH228" s="32"/>
      <c r="LI228" s="32"/>
      <c r="LJ228" s="32"/>
      <c r="LK228" s="32"/>
      <c r="LL228" s="32"/>
      <c r="LM228" s="32"/>
      <c r="LN228" s="32"/>
      <c r="LO228" s="32"/>
      <c r="LP228" s="32"/>
      <c r="LQ228" s="32"/>
      <c r="LR228" s="32"/>
      <c r="LS228" s="32"/>
      <c r="LT228" s="32"/>
      <c r="LU228" s="32"/>
      <c r="LV228" s="32"/>
      <c r="LW228" s="32"/>
      <c r="LX228" s="32"/>
      <c r="LY228" s="32"/>
      <c r="LZ228" s="32"/>
      <c r="MA228" s="32"/>
      <c r="MB228" s="32"/>
      <c r="MC228" s="32"/>
      <c r="MD228" s="32"/>
      <c r="ME228" s="32"/>
      <c r="MF228" s="32"/>
      <c r="MG228" s="32"/>
      <c r="MH228" s="32"/>
      <c r="MI228" s="32"/>
      <c r="MJ228" s="32"/>
      <c r="MK228" s="32"/>
      <c r="ML228" s="32"/>
      <c r="MM228" s="32"/>
      <c r="MN228" s="32"/>
      <c r="MO228" s="32"/>
      <c r="MP228" s="32"/>
      <c r="MQ228" s="32"/>
      <c r="MR228" s="32"/>
      <c r="MS228" s="32"/>
      <c r="MT228" s="32"/>
      <c r="MU228" s="32"/>
      <c r="MV228" s="32"/>
      <c r="MW228" s="32"/>
      <c r="MX228" s="32"/>
      <c r="MY228" s="32"/>
      <c r="MZ228" s="32"/>
      <c r="NA228" s="32"/>
      <c r="NB228" s="32"/>
      <c r="NC228" s="32"/>
      <c r="ND228" s="32"/>
      <c r="NE228" s="32"/>
      <c r="NF228" s="32"/>
      <c r="NG228" s="32"/>
      <c r="NH228" s="32"/>
      <c r="NI228" s="32"/>
      <c r="NJ228" s="32"/>
      <c r="NK228" s="32"/>
      <c r="NL228" s="32"/>
      <c r="NM228" s="32"/>
      <c r="NN228" s="32"/>
      <c r="NO228" s="32"/>
      <c r="NP228" s="32"/>
      <c r="NQ228" s="32"/>
      <c r="NR228" s="32"/>
      <c r="NS228" s="32"/>
      <c r="NT228" s="32"/>
      <c r="NU228" s="32"/>
      <c r="NV228" s="32"/>
      <c r="NW228" s="32"/>
      <c r="NX228" s="32"/>
      <c r="NY228" s="32"/>
      <c r="NZ228" s="32"/>
      <c r="OA228" s="32"/>
      <c r="OB228" s="32"/>
      <c r="OC228" s="32"/>
      <c r="OD228" s="32"/>
      <c r="OE228" s="32"/>
      <c r="OF228" s="32"/>
      <c r="OG228" s="32"/>
      <c r="OH228" s="32"/>
      <c r="OI228" s="32"/>
      <c r="OJ228" s="32"/>
      <c r="OK228" s="32"/>
      <c r="OL228" s="32"/>
      <c r="OM228" s="32"/>
      <c r="ON228" s="32"/>
      <c r="OO228" s="32"/>
      <c r="OP228" s="32"/>
      <c r="OQ228" s="32"/>
      <c r="OR228" s="32"/>
      <c r="OS228" s="32"/>
      <c r="OT228" s="32"/>
      <c r="OU228" s="32"/>
      <c r="OV228" s="32"/>
      <c r="OW228" s="32"/>
      <c r="OX228" s="32"/>
      <c r="OY228" s="32"/>
      <c r="OZ228" s="32"/>
      <c r="PA228" s="32"/>
      <c r="PB228" s="32"/>
      <c r="PC228" s="32"/>
      <c r="PD228" s="32"/>
      <c r="PE228" s="32"/>
      <c r="PF228" s="32"/>
      <c r="PG228" s="32"/>
      <c r="PH228" s="32"/>
      <c r="PI228" s="32"/>
      <c r="PJ228" s="32"/>
      <c r="PK228" s="32"/>
      <c r="PL228" s="32"/>
      <c r="PM228" s="32"/>
      <c r="PN228" s="32"/>
      <c r="PO228" s="32"/>
      <c r="PP228" s="32"/>
      <c r="PQ228" s="32"/>
      <c r="PR228" s="32"/>
      <c r="PS228" s="32"/>
      <c r="PT228" s="32"/>
      <c r="PU228" s="32"/>
      <c r="PV228" s="32"/>
      <c r="PW228" s="32"/>
      <c r="PX228" s="32"/>
      <c r="PY228" s="32"/>
      <c r="PZ228" s="32"/>
      <c r="QA228" s="32"/>
      <c r="QB228" s="32"/>
      <c r="QC228" s="32"/>
      <c r="QD228" s="32"/>
      <c r="QE228" s="32"/>
      <c r="QF228" s="32"/>
      <c r="QG228" s="32"/>
      <c r="QH228" s="32"/>
      <c r="QI228" s="32"/>
      <c r="QJ228" s="32"/>
      <c r="QK228" s="32"/>
      <c r="QL228" s="32"/>
      <c r="QM228" s="32"/>
      <c r="QN228" s="32"/>
      <c r="QO228" s="32"/>
      <c r="QP228" s="32"/>
      <c r="QQ228" s="32"/>
      <c r="QR228" s="32"/>
      <c r="QS228" s="32"/>
      <c r="QT228" s="32"/>
      <c r="QU228" s="32"/>
      <c r="QV228" s="32"/>
      <c r="QW228" s="32"/>
      <c r="QX228" s="32"/>
      <c r="QY228" s="32"/>
      <c r="QZ228" s="32"/>
      <c r="RA228" s="32"/>
      <c r="RB228" s="32"/>
      <c r="RC228" s="32"/>
      <c r="RD228" s="32"/>
      <c r="RE228" s="32"/>
      <c r="RF228" s="32"/>
      <c r="RG228" s="32"/>
      <c r="RH228" s="32"/>
      <c r="RI228" s="32"/>
      <c r="RJ228" s="32"/>
      <c r="RK228" s="32"/>
      <c r="RL228" s="32"/>
      <c r="RM228" s="32"/>
      <c r="RN228" s="32"/>
      <c r="RO228" s="32"/>
      <c r="RP228" s="32"/>
      <c r="RQ228" s="32"/>
      <c r="RR228" s="32"/>
      <c r="RS228" s="32"/>
      <c r="RT228" s="32"/>
      <c r="RU228" s="32"/>
      <c r="RV228" s="32"/>
      <c r="RW228" s="32"/>
      <c r="RX228" s="32"/>
      <c r="RY228" s="32"/>
      <c r="RZ228" s="32"/>
      <c r="SA228" s="32"/>
      <c r="SB228" s="32"/>
      <c r="SC228" s="32"/>
      <c r="SD228" s="32"/>
      <c r="SE228" s="32"/>
      <c r="SF228" s="32"/>
      <c r="SG228" s="32"/>
      <c r="SH228" s="32"/>
      <c r="SI228" s="32"/>
      <c r="SJ228" s="32"/>
      <c r="SK228" s="32"/>
      <c r="SL228" s="32"/>
      <c r="SM228" s="32"/>
      <c r="SN228" s="32"/>
      <c r="SO228" s="32"/>
      <c r="SP228" s="32"/>
      <c r="SQ228" s="32"/>
      <c r="SR228" s="32"/>
      <c r="SS228" s="32"/>
      <c r="ST228" s="32"/>
      <c r="SU228" s="32"/>
      <c r="SV228" s="32"/>
      <c r="SW228" s="32"/>
      <c r="SX228" s="32"/>
      <c r="SY228" s="32"/>
      <c r="SZ228" s="32"/>
      <c r="TA228" s="32"/>
      <c r="TB228" s="32"/>
      <c r="TC228" s="32"/>
      <c r="TD228" s="32"/>
      <c r="TE228" s="32"/>
    </row>
    <row r="229" spans="1:525" s="34" customFormat="1" ht="31.5" x14ac:dyDescent="0.25">
      <c r="A229" s="86" t="s">
        <v>192</v>
      </c>
      <c r="B229" s="95"/>
      <c r="C229" s="95"/>
      <c r="D229" s="70" t="s">
        <v>31</v>
      </c>
      <c r="E229" s="140">
        <f>E236+E237+E238+E239+E240+E241+E242+E243+E244+E248+E249+E250+E252+E251+E254+E256+E261+E263+E264+E265+E267+E270+E271+E273+E253+E258+E269+E268+E245+E247+E272</f>
        <v>426330974</v>
      </c>
      <c r="F229" s="140">
        <f t="shared" ref="F229:P229" si="101">F236+F237+F238+F239+F240+F241+F242+F243+F244+F248+F249+F250+F252+F251+F254+F256+F261+F263+F264+F265+F267+F270+F271+F273+F253+F258+F269+F268+F245+F247+F272</f>
        <v>242949400</v>
      </c>
      <c r="G229" s="140">
        <f t="shared" si="101"/>
        <v>10792000</v>
      </c>
      <c r="H229" s="140">
        <f t="shared" si="101"/>
        <v>44870800</v>
      </c>
      <c r="I229" s="140">
        <f t="shared" si="101"/>
        <v>183381574</v>
      </c>
      <c r="J229" s="140">
        <f t="shared" si="101"/>
        <v>301135875</v>
      </c>
      <c r="K229" s="140">
        <f>K236+K237+K238+K239+K240+K241+K242+K243+K244+K248+K249+K250+K252+K251+K254+K256+K261+K263+K264+K265+K267+K270+K271+K273+K253+K258+K269+K268+K245+K247+K272</f>
        <v>293464440</v>
      </c>
      <c r="L229" s="140">
        <f t="shared" si="101"/>
        <v>5361561</v>
      </c>
      <c r="M229" s="140">
        <f t="shared" si="101"/>
        <v>0</v>
      </c>
      <c r="N229" s="140">
        <f t="shared" si="101"/>
        <v>0</v>
      </c>
      <c r="O229" s="140">
        <f t="shared" si="101"/>
        <v>295774314</v>
      </c>
      <c r="P229" s="140">
        <f t="shared" si="101"/>
        <v>727466849</v>
      </c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  <c r="SQ229" s="33"/>
      <c r="SR229" s="33"/>
      <c r="SS229" s="33"/>
      <c r="ST229" s="33"/>
      <c r="SU229" s="33"/>
      <c r="SV229" s="33"/>
      <c r="SW229" s="33"/>
      <c r="SX229" s="33"/>
      <c r="SY229" s="33"/>
      <c r="SZ229" s="33"/>
      <c r="TA229" s="33"/>
      <c r="TB229" s="33"/>
      <c r="TC229" s="33"/>
      <c r="TD229" s="33"/>
      <c r="TE229" s="33"/>
    </row>
    <row r="230" spans="1:525" s="34" customFormat="1" ht="117.75" hidden="1" customHeight="1" x14ac:dyDescent="0.25">
      <c r="A230" s="86"/>
      <c r="B230" s="95"/>
      <c r="C230" s="95"/>
      <c r="D230" s="70" t="s">
        <v>391</v>
      </c>
      <c r="E230" s="140">
        <f>E259</f>
        <v>0</v>
      </c>
      <c r="F230" s="140">
        <f t="shared" ref="F230:P230" si="102">F259</f>
        <v>0</v>
      </c>
      <c r="G230" s="140">
        <f t="shared" si="102"/>
        <v>0</v>
      </c>
      <c r="H230" s="140">
        <f t="shared" si="102"/>
        <v>0</v>
      </c>
      <c r="I230" s="140">
        <f t="shared" si="102"/>
        <v>0</v>
      </c>
      <c r="J230" s="140">
        <f t="shared" si="102"/>
        <v>0</v>
      </c>
      <c r="K230" s="140">
        <f t="shared" si="102"/>
        <v>0</v>
      </c>
      <c r="L230" s="140">
        <f t="shared" si="102"/>
        <v>0</v>
      </c>
      <c r="M230" s="140">
        <f t="shared" si="102"/>
        <v>0</v>
      </c>
      <c r="N230" s="140">
        <f t="shared" si="102"/>
        <v>0</v>
      </c>
      <c r="O230" s="140">
        <f t="shared" si="102"/>
        <v>0</v>
      </c>
      <c r="P230" s="140">
        <f t="shared" si="102"/>
        <v>0</v>
      </c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</row>
    <row r="231" spans="1:525" s="34" customFormat="1" ht="84" hidden="1" customHeight="1" x14ac:dyDescent="0.25">
      <c r="A231" s="86"/>
      <c r="B231" s="95"/>
      <c r="C231" s="95"/>
      <c r="D231" s="70" t="s">
        <v>517</v>
      </c>
      <c r="E231" s="140">
        <f>E260</f>
        <v>0</v>
      </c>
      <c r="F231" s="140">
        <f t="shared" ref="F231:P231" si="103">F260</f>
        <v>0</v>
      </c>
      <c r="G231" s="140">
        <f t="shared" si="103"/>
        <v>0</v>
      </c>
      <c r="H231" s="140">
        <f t="shared" si="103"/>
        <v>0</v>
      </c>
      <c r="I231" s="140">
        <f t="shared" si="103"/>
        <v>0</v>
      </c>
      <c r="J231" s="140">
        <f t="shared" si="103"/>
        <v>0</v>
      </c>
      <c r="K231" s="140">
        <f t="shared" si="103"/>
        <v>0</v>
      </c>
      <c r="L231" s="140">
        <f t="shared" si="103"/>
        <v>0</v>
      </c>
      <c r="M231" s="140">
        <f t="shared" si="103"/>
        <v>0</v>
      </c>
      <c r="N231" s="140">
        <f t="shared" si="103"/>
        <v>0</v>
      </c>
      <c r="O231" s="140">
        <f t="shared" si="103"/>
        <v>0</v>
      </c>
      <c r="P231" s="140">
        <f t="shared" si="103"/>
        <v>0</v>
      </c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</row>
    <row r="232" spans="1:525" s="34" customFormat="1" ht="61.5" hidden="1" customHeight="1" x14ac:dyDescent="0.25">
      <c r="A232" s="86"/>
      <c r="B232" s="95"/>
      <c r="C232" s="95"/>
      <c r="D232" s="70" t="s">
        <v>383</v>
      </c>
      <c r="E232" s="140">
        <f>E255</f>
        <v>0</v>
      </c>
      <c r="F232" s="140">
        <f t="shared" ref="F232:P232" si="104">F255</f>
        <v>0</v>
      </c>
      <c r="G232" s="140">
        <f t="shared" si="104"/>
        <v>0</v>
      </c>
      <c r="H232" s="140">
        <f t="shared" si="104"/>
        <v>0</v>
      </c>
      <c r="I232" s="140">
        <f t="shared" si="104"/>
        <v>0</v>
      </c>
      <c r="J232" s="140">
        <f t="shared" si="104"/>
        <v>0</v>
      </c>
      <c r="K232" s="140">
        <f t="shared" si="104"/>
        <v>0</v>
      </c>
      <c r="L232" s="140">
        <f t="shared" si="104"/>
        <v>0</v>
      </c>
      <c r="M232" s="140">
        <f t="shared" si="104"/>
        <v>0</v>
      </c>
      <c r="N232" s="140">
        <f t="shared" si="104"/>
        <v>0</v>
      </c>
      <c r="O232" s="140">
        <f t="shared" si="104"/>
        <v>0</v>
      </c>
      <c r="P232" s="140">
        <f t="shared" si="104"/>
        <v>0</v>
      </c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</row>
    <row r="233" spans="1:525" s="34" customFormat="1" ht="141.75" hidden="1" customHeight="1" x14ac:dyDescent="0.25">
      <c r="A233" s="86"/>
      <c r="B233" s="95"/>
      <c r="C233" s="95"/>
      <c r="D233" s="124" t="s">
        <v>574</v>
      </c>
      <c r="E233" s="140">
        <f>E245</f>
        <v>0</v>
      </c>
      <c r="F233" s="140">
        <f t="shared" ref="F233:P233" si="105">F245</f>
        <v>0</v>
      </c>
      <c r="G233" s="140">
        <f t="shared" si="105"/>
        <v>0</v>
      </c>
      <c r="H233" s="140">
        <f t="shared" si="105"/>
        <v>0</v>
      </c>
      <c r="I233" s="140">
        <f t="shared" si="105"/>
        <v>0</v>
      </c>
      <c r="J233" s="140">
        <f t="shared" si="105"/>
        <v>0</v>
      </c>
      <c r="K233" s="140">
        <f t="shared" si="105"/>
        <v>0</v>
      </c>
      <c r="L233" s="140">
        <f t="shared" si="105"/>
        <v>0</v>
      </c>
      <c r="M233" s="140">
        <f t="shared" si="105"/>
        <v>0</v>
      </c>
      <c r="N233" s="140">
        <f t="shared" si="105"/>
        <v>0</v>
      </c>
      <c r="O233" s="140">
        <f t="shared" si="105"/>
        <v>0</v>
      </c>
      <c r="P233" s="140">
        <f t="shared" si="105"/>
        <v>0</v>
      </c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  <c r="SQ233" s="33"/>
      <c r="SR233" s="33"/>
      <c r="SS233" s="33"/>
      <c r="ST233" s="33"/>
      <c r="SU233" s="33"/>
      <c r="SV233" s="33"/>
      <c r="SW233" s="33"/>
      <c r="SX233" s="33"/>
      <c r="SY233" s="33"/>
      <c r="SZ233" s="33"/>
      <c r="TA233" s="33"/>
      <c r="TB233" s="33"/>
      <c r="TC233" s="33"/>
      <c r="TD233" s="33"/>
      <c r="TE233" s="33"/>
    </row>
    <row r="234" spans="1:525" s="34" customFormat="1" ht="15.75" hidden="1" customHeight="1" x14ac:dyDescent="0.25">
      <c r="A234" s="86"/>
      <c r="B234" s="95"/>
      <c r="C234" s="95"/>
      <c r="D234" s="75" t="s">
        <v>388</v>
      </c>
      <c r="E234" s="140">
        <f>E257+E262</f>
        <v>0</v>
      </c>
      <c r="F234" s="140">
        <f t="shared" ref="F234:P234" si="106">F257+F262</f>
        <v>0</v>
      </c>
      <c r="G234" s="140">
        <f t="shared" si="106"/>
        <v>0</v>
      </c>
      <c r="H234" s="140">
        <f t="shared" si="106"/>
        <v>0</v>
      </c>
      <c r="I234" s="140">
        <f t="shared" si="106"/>
        <v>0</v>
      </c>
      <c r="J234" s="140">
        <f t="shared" si="106"/>
        <v>0</v>
      </c>
      <c r="K234" s="140">
        <f t="shared" si="106"/>
        <v>0</v>
      </c>
      <c r="L234" s="140">
        <f t="shared" si="106"/>
        <v>0</v>
      </c>
      <c r="M234" s="140">
        <f t="shared" si="106"/>
        <v>0</v>
      </c>
      <c r="N234" s="140">
        <f t="shared" si="106"/>
        <v>0</v>
      </c>
      <c r="O234" s="140">
        <f t="shared" si="106"/>
        <v>0</v>
      </c>
      <c r="P234" s="140">
        <f t="shared" si="106"/>
        <v>0</v>
      </c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</row>
    <row r="235" spans="1:525" s="34" customFormat="1" ht="15.75" x14ac:dyDescent="0.25">
      <c r="A235" s="86"/>
      <c r="B235" s="95"/>
      <c r="C235" s="95"/>
      <c r="D235" s="75" t="s">
        <v>413</v>
      </c>
      <c r="E235" s="140">
        <f>E266</f>
        <v>0</v>
      </c>
      <c r="F235" s="140">
        <f t="shared" ref="F235:P235" si="107">F266</f>
        <v>0</v>
      </c>
      <c r="G235" s="140">
        <f t="shared" si="107"/>
        <v>0</v>
      </c>
      <c r="H235" s="140">
        <f t="shared" si="107"/>
        <v>0</v>
      </c>
      <c r="I235" s="140">
        <f t="shared" si="107"/>
        <v>0</v>
      </c>
      <c r="J235" s="140">
        <f t="shared" si="107"/>
        <v>47115000</v>
      </c>
      <c r="K235" s="140">
        <f t="shared" si="107"/>
        <v>47115000</v>
      </c>
      <c r="L235" s="140">
        <f t="shared" si="107"/>
        <v>0</v>
      </c>
      <c r="M235" s="140">
        <f t="shared" si="107"/>
        <v>0</v>
      </c>
      <c r="N235" s="140">
        <f t="shared" si="107"/>
        <v>0</v>
      </c>
      <c r="O235" s="140">
        <f t="shared" si="107"/>
        <v>47115000</v>
      </c>
      <c r="P235" s="140">
        <f t="shared" si="107"/>
        <v>47115000</v>
      </c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3"/>
      <c r="HG235" s="33"/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  <c r="IU235" s="33"/>
      <c r="IV235" s="33"/>
      <c r="IW235" s="33"/>
      <c r="IX235" s="33"/>
      <c r="IY235" s="33"/>
      <c r="IZ235" s="33"/>
      <c r="JA235" s="33"/>
      <c r="JB235" s="33"/>
      <c r="JC235" s="33"/>
      <c r="JD235" s="33"/>
      <c r="JE235" s="33"/>
      <c r="JF235" s="33"/>
      <c r="JG235" s="33"/>
      <c r="JH235" s="33"/>
      <c r="JI235" s="33"/>
      <c r="JJ235" s="33"/>
      <c r="JK235" s="33"/>
      <c r="JL235" s="33"/>
      <c r="JM235" s="33"/>
      <c r="JN235" s="33"/>
      <c r="JO235" s="33"/>
      <c r="JP235" s="33"/>
      <c r="JQ235" s="33"/>
      <c r="JR235" s="33"/>
      <c r="JS235" s="33"/>
      <c r="JT235" s="33"/>
      <c r="JU235" s="33"/>
      <c r="JV235" s="33"/>
      <c r="JW235" s="33"/>
      <c r="JX235" s="33"/>
      <c r="JY235" s="33"/>
      <c r="JZ235" s="33"/>
      <c r="KA235" s="33"/>
      <c r="KB235" s="33"/>
      <c r="KC235" s="33"/>
      <c r="KD235" s="33"/>
      <c r="KE235" s="33"/>
      <c r="KF235" s="33"/>
      <c r="KG235" s="33"/>
      <c r="KH235" s="33"/>
      <c r="KI235" s="33"/>
      <c r="KJ235" s="33"/>
      <c r="KK235" s="33"/>
      <c r="KL235" s="33"/>
      <c r="KM235" s="33"/>
      <c r="KN235" s="33"/>
      <c r="KO235" s="33"/>
      <c r="KP235" s="33"/>
      <c r="KQ235" s="33"/>
      <c r="KR235" s="33"/>
      <c r="KS235" s="33"/>
      <c r="KT235" s="33"/>
      <c r="KU235" s="33"/>
      <c r="KV235" s="33"/>
      <c r="KW235" s="33"/>
      <c r="KX235" s="33"/>
      <c r="KY235" s="33"/>
      <c r="KZ235" s="33"/>
      <c r="LA235" s="33"/>
      <c r="LB235" s="33"/>
      <c r="LC235" s="33"/>
      <c r="LD235" s="33"/>
      <c r="LE235" s="33"/>
      <c r="LF235" s="33"/>
      <c r="LG235" s="33"/>
      <c r="LH235" s="33"/>
      <c r="LI235" s="33"/>
      <c r="LJ235" s="33"/>
      <c r="LK235" s="33"/>
      <c r="LL235" s="33"/>
      <c r="LM235" s="33"/>
      <c r="LN235" s="33"/>
      <c r="LO235" s="33"/>
      <c r="LP235" s="33"/>
      <c r="LQ235" s="33"/>
      <c r="LR235" s="33"/>
      <c r="LS235" s="33"/>
      <c r="LT235" s="33"/>
      <c r="LU235" s="33"/>
      <c r="LV235" s="33"/>
      <c r="LW235" s="33"/>
      <c r="LX235" s="33"/>
      <c r="LY235" s="33"/>
      <c r="LZ235" s="33"/>
      <c r="MA235" s="33"/>
      <c r="MB235" s="33"/>
      <c r="MC235" s="33"/>
      <c r="MD235" s="33"/>
      <c r="ME235" s="33"/>
      <c r="MF235" s="33"/>
      <c r="MG235" s="33"/>
      <c r="MH235" s="33"/>
      <c r="MI235" s="33"/>
      <c r="MJ235" s="33"/>
      <c r="MK235" s="33"/>
      <c r="ML235" s="33"/>
      <c r="MM235" s="33"/>
      <c r="MN235" s="33"/>
      <c r="MO235" s="33"/>
      <c r="MP235" s="33"/>
      <c r="MQ235" s="33"/>
      <c r="MR235" s="33"/>
      <c r="MS235" s="33"/>
      <c r="MT235" s="33"/>
      <c r="MU235" s="33"/>
      <c r="MV235" s="33"/>
      <c r="MW235" s="33"/>
      <c r="MX235" s="33"/>
      <c r="MY235" s="33"/>
      <c r="MZ235" s="33"/>
      <c r="NA235" s="33"/>
      <c r="NB235" s="33"/>
      <c r="NC235" s="33"/>
      <c r="ND235" s="33"/>
      <c r="NE235" s="33"/>
      <c r="NF235" s="33"/>
      <c r="NG235" s="33"/>
      <c r="NH235" s="33"/>
      <c r="NI235" s="33"/>
      <c r="NJ235" s="33"/>
      <c r="NK235" s="33"/>
      <c r="NL235" s="33"/>
      <c r="NM235" s="33"/>
      <c r="NN235" s="33"/>
      <c r="NO235" s="33"/>
      <c r="NP235" s="33"/>
      <c r="NQ235" s="33"/>
      <c r="NR235" s="33"/>
      <c r="NS235" s="33"/>
      <c r="NT235" s="33"/>
      <c r="NU235" s="33"/>
      <c r="NV235" s="33"/>
      <c r="NW235" s="33"/>
      <c r="NX235" s="33"/>
      <c r="NY235" s="33"/>
      <c r="NZ235" s="33"/>
      <c r="OA235" s="33"/>
      <c r="OB235" s="33"/>
      <c r="OC235" s="33"/>
      <c r="OD235" s="33"/>
      <c r="OE235" s="33"/>
      <c r="OF235" s="33"/>
      <c r="OG235" s="33"/>
      <c r="OH235" s="33"/>
      <c r="OI235" s="33"/>
      <c r="OJ235" s="33"/>
      <c r="OK235" s="33"/>
      <c r="OL235" s="33"/>
      <c r="OM235" s="33"/>
      <c r="ON235" s="33"/>
      <c r="OO235" s="33"/>
      <c r="OP235" s="33"/>
      <c r="OQ235" s="33"/>
      <c r="OR235" s="33"/>
      <c r="OS235" s="33"/>
      <c r="OT235" s="33"/>
      <c r="OU235" s="33"/>
      <c r="OV235" s="33"/>
      <c r="OW235" s="33"/>
      <c r="OX235" s="33"/>
      <c r="OY235" s="33"/>
      <c r="OZ235" s="33"/>
      <c r="PA235" s="33"/>
      <c r="PB235" s="33"/>
      <c r="PC235" s="33"/>
      <c r="PD235" s="33"/>
      <c r="PE235" s="33"/>
      <c r="PF235" s="33"/>
      <c r="PG235" s="33"/>
      <c r="PH235" s="33"/>
      <c r="PI235" s="33"/>
      <c r="PJ235" s="33"/>
      <c r="PK235" s="33"/>
      <c r="PL235" s="33"/>
      <c r="PM235" s="33"/>
      <c r="PN235" s="33"/>
      <c r="PO235" s="33"/>
      <c r="PP235" s="33"/>
      <c r="PQ235" s="33"/>
      <c r="PR235" s="33"/>
      <c r="PS235" s="33"/>
      <c r="PT235" s="33"/>
      <c r="PU235" s="33"/>
      <c r="PV235" s="33"/>
      <c r="PW235" s="33"/>
      <c r="PX235" s="33"/>
      <c r="PY235" s="33"/>
      <c r="PZ235" s="33"/>
      <c r="QA235" s="33"/>
      <c r="QB235" s="33"/>
      <c r="QC235" s="33"/>
      <c r="QD235" s="33"/>
      <c r="QE235" s="33"/>
      <c r="QF235" s="33"/>
      <c r="QG235" s="33"/>
      <c r="QH235" s="33"/>
      <c r="QI235" s="33"/>
      <c r="QJ235" s="33"/>
      <c r="QK235" s="33"/>
      <c r="QL235" s="33"/>
      <c r="QM235" s="33"/>
      <c r="QN235" s="33"/>
      <c r="QO235" s="33"/>
      <c r="QP235" s="33"/>
      <c r="QQ235" s="33"/>
      <c r="QR235" s="33"/>
      <c r="QS235" s="33"/>
      <c r="QT235" s="33"/>
      <c r="QU235" s="33"/>
      <c r="QV235" s="33"/>
      <c r="QW235" s="33"/>
      <c r="QX235" s="33"/>
      <c r="QY235" s="33"/>
      <c r="QZ235" s="33"/>
      <c r="RA235" s="33"/>
      <c r="RB235" s="33"/>
      <c r="RC235" s="33"/>
      <c r="RD235" s="33"/>
      <c r="RE235" s="33"/>
      <c r="RF235" s="33"/>
      <c r="RG235" s="33"/>
      <c r="RH235" s="33"/>
      <c r="RI235" s="33"/>
      <c r="RJ235" s="33"/>
      <c r="RK235" s="33"/>
      <c r="RL235" s="33"/>
      <c r="RM235" s="33"/>
      <c r="RN235" s="33"/>
      <c r="RO235" s="33"/>
      <c r="RP235" s="33"/>
      <c r="RQ235" s="33"/>
      <c r="RR235" s="33"/>
      <c r="RS235" s="33"/>
      <c r="RT235" s="33"/>
      <c r="RU235" s="33"/>
      <c r="RV235" s="33"/>
      <c r="RW235" s="33"/>
      <c r="RX235" s="33"/>
      <c r="RY235" s="33"/>
      <c r="RZ235" s="33"/>
      <c r="SA235" s="33"/>
      <c r="SB235" s="33"/>
      <c r="SC235" s="33"/>
      <c r="SD235" s="33"/>
      <c r="SE235" s="33"/>
      <c r="SF235" s="33"/>
      <c r="SG235" s="33"/>
      <c r="SH235" s="33"/>
      <c r="SI235" s="33"/>
      <c r="SJ235" s="33"/>
      <c r="SK235" s="33"/>
      <c r="SL235" s="33"/>
      <c r="SM235" s="33"/>
      <c r="SN235" s="33"/>
      <c r="SO235" s="33"/>
      <c r="SP235" s="33"/>
      <c r="SQ235" s="33"/>
      <c r="SR235" s="33"/>
      <c r="SS235" s="33"/>
      <c r="ST235" s="33"/>
      <c r="SU235" s="33"/>
      <c r="SV235" s="33"/>
      <c r="SW235" s="33"/>
      <c r="SX235" s="33"/>
      <c r="SY235" s="33"/>
      <c r="SZ235" s="33"/>
      <c r="TA235" s="33"/>
      <c r="TB235" s="33"/>
      <c r="TC235" s="33"/>
      <c r="TD235" s="33"/>
      <c r="TE235" s="33"/>
    </row>
    <row r="236" spans="1:525" s="22" customFormat="1" ht="47.25" x14ac:dyDescent="0.25">
      <c r="A236" s="56" t="s">
        <v>193</v>
      </c>
      <c r="B236" s="56" t="str">
        <f>'дод 5'!A18</f>
        <v>0160</v>
      </c>
      <c r="C236" s="56" t="str">
        <f>'дод 5'!B18</f>
        <v>0111</v>
      </c>
      <c r="D236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36" s="141">
        <f t="shared" ref="E236:E273" si="108">F236+I236</f>
        <v>14094400</v>
      </c>
      <c r="F236" s="141">
        <f>15256000-1161600</f>
        <v>14094400</v>
      </c>
      <c r="G236" s="141">
        <f>11744100-952100</f>
        <v>10792000</v>
      </c>
      <c r="H236" s="141">
        <v>400800</v>
      </c>
      <c r="I236" s="141"/>
      <c r="J236" s="141">
        <f>L236+O236</f>
        <v>200000</v>
      </c>
      <c r="K236" s="141">
        <v>200000</v>
      </c>
      <c r="L236" s="141"/>
      <c r="M236" s="141"/>
      <c r="N236" s="141"/>
      <c r="O236" s="141">
        <v>200000</v>
      </c>
      <c r="P236" s="141">
        <f t="shared" ref="P236:P273" si="109">E236+J236</f>
        <v>14294400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</row>
    <row r="237" spans="1:525" s="22" customFormat="1" ht="23.25" hidden="1" customHeight="1" x14ac:dyDescent="0.25">
      <c r="A237" s="56" t="s">
        <v>520</v>
      </c>
      <c r="B237" s="56" t="s">
        <v>44</v>
      </c>
      <c r="C237" s="56" t="s">
        <v>92</v>
      </c>
      <c r="D237" s="85" t="s">
        <v>239</v>
      </c>
      <c r="E237" s="141">
        <f t="shared" si="108"/>
        <v>0</v>
      </c>
      <c r="F237" s="141"/>
      <c r="G237" s="141"/>
      <c r="H237" s="141"/>
      <c r="I237" s="141"/>
      <c r="J237" s="141">
        <f>L237+O237</f>
        <v>0</v>
      </c>
      <c r="K237" s="141"/>
      <c r="L237" s="141"/>
      <c r="M237" s="141"/>
      <c r="N237" s="141"/>
      <c r="O237" s="141"/>
      <c r="P237" s="141">
        <f t="shared" si="109"/>
        <v>0</v>
      </c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</row>
    <row r="238" spans="1:525" s="22" customFormat="1" ht="19.5" customHeight="1" x14ac:dyDescent="0.25">
      <c r="A238" s="89" t="s">
        <v>297</v>
      </c>
      <c r="B238" s="42" t="str">
        <f>'дод 5'!A134</f>
        <v>3210</v>
      </c>
      <c r="C238" s="42" t="str">
        <f>'дод 5'!B134</f>
        <v>1050</v>
      </c>
      <c r="D238" s="36" t="str">
        <f>'дод 5'!C134</f>
        <v>Організація та проведення громадських робіт</v>
      </c>
      <c r="E238" s="141">
        <f t="shared" si="108"/>
        <v>200000</v>
      </c>
      <c r="F238" s="141">
        <v>200000</v>
      </c>
      <c r="G238" s="141"/>
      <c r="H238" s="141"/>
      <c r="I238" s="141"/>
      <c r="J238" s="141">
        <f t="shared" ref="J238:J273" si="110">L238+O238</f>
        <v>0</v>
      </c>
      <c r="K238" s="141"/>
      <c r="L238" s="141"/>
      <c r="M238" s="141"/>
      <c r="N238" s="141"/>
      <c r="O238" s="141"/>
      <c r="P238" s="141">
        <f t="shared" si="109"/>
        <v>200000</v>
      </c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</row>
    <row r="239" spans="1:525" s="22" customFormat="1" ht="33.75" customHeight="1" x14ac:dyDescent="0.25">
      <c r="A239" s="56" t="s">
        <v>194</v>
      </c>
      <c r="B239" s="84" t="str">
        <f>'дод 5'!A160</f>
        <v>6011</v>
      </c>
      <c r="C239" s="84" t="str">
        <f>'дод 5'!B160</f>
        <v>0610</v>
      </c>
      <c r="D239" s="57" t="str">
        <f>'дод 5'!C160</f>
        <v>Експлуатація та технічне обслуговування житлового фонду</v>
      </c>
      <c r="E239" s="141">
        <f t="shared" si="108"/>
        <v>0</v>
      </c>
      <c r="F239" s="141"/>
      <c r="G239" s="141"/>
      <c r="H239" s="141"/>
      <c r="I239" s="141"/>
      <c r="J239" s="141">
        <f t="shared" si="110"/>
        <v>5560000</v>
      </c>
      <c r="K239" s="141">
        <f>6000000+3000000-5000000+700000+860000</f>
        <v>5560000</v>
      </c>
      <c r="L239" s="141"/>
      <c r="M239" s="141"/>
      <c r="N239" s="141"/>
      <c r="O239" s="141">
        <f>6000000+3000000-5000000+700000+860000</f>
        <v>5560000</v>
      </c>
      <c r="P239" s="141">
        <f t="shared" si="109"/>
        <v>5560000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</row>
    <row r="240" spans="1:525" s="22" customFormat="1" ht="31.5" x14ac:dyDescent="0.25">
      <c r="A240" s="56" t="s">
        <v>195</v>
      </c>
      <c r="B240" s="84" t="str">
        <f>'дод 5'!A161</f>
        <v>6013</v>
      </c>
      <c r="C240" s="84" t="str">
        <f>'дод 5'!B161</f>
        <v>0620</v>
      </c>
      <c r="D240" s="57" t="str">
        <f>'дод 5'!C161</f>
        <v>Забезпечення діяльності водопровідно-каналізаційного господарства</v>
      </c>
      <c r="E240" s="141">
        <f t="shared" si="108"/>
        <v>576000</v>
      </c>
      <c r="F240" s="141">
        <v>376000</v>
      </c>
      <c r="G240" s="141"/>
      <c r="H240" s="141"/>
      <c r="I240" s="141">
        <v>200000</v>
      </c>
      <c r="J240" s="141">
        <f t="shared" si="110"/>
        <v>0</v>
      </c>
      <c r="K240" s="141"/>
      <c r="L240" s="141"/>
      <c r="M240" s="141"/>
      <c r="N240" s="141"/>
      <c r="O240" s="141"/>
      <c r="P240" s="141">
        <f t="shared" si="109"/>
        <v>576000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</row>
    <row r="241" spans="1:525" s="22" customFormat="1" ht="33" customHeight="1" x14ac:dyDescent="0.25">
      <c r="A241" s="56" t="s">
        <v>256</v>
      </c>
      <c r="B241" s="84" t="str">
        <f>'дод 5'!A162</f>
        <v>6015</v>
      </c>
      <c r="C241" s="84" t="str">
        <f>'дод 5'!B162</f>
        <v>0620</v>
      </c>
      <c r="D241" s="57" t="str">
        <f>'дод 5'!C162</f>
        <v>Забезпечення надійної та безперебійної експлуатації ліфтів</v>
      </c>
      <c r="E241" s="141">
        <f t="shared" si="108"/>
        <v>100000</v>
      </c>
      <c r="F241" s="141">
        <v>100000</v>
      </c>
      <c r="G241" s="141"/>
      <c r="H241" s="141"/>
      <c r="I241" s="141"/>
      <c r="J241" s="141">
        <f t="shared" si="110"/>
        <v>14472274</v>
      </c>
      <c r="K241" s="141">
        <f>7000000+5000000+300000+2080000</f>
        <v>14380000</v>
      </c>
      <c r="L241" s="141"/>
      <c r="M241" s="141"/>
      <c r="N241" s="141"/>
      <c r="O241" s="141">
        <f>7000000+92274+5000000+300000+2080000</f>
        <v>14472274</v>
      </c>
      <c r="P241" s="141">
        <f t="shared" si="109"/>
        <v>14572274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</row>
    <row r="242" spans="1:525" s="22" customFormat="1" ht="32.25" customHeight="1" x14ac:dyDescent="0.25">
      <c r="A242" s="56" t="s">
        <v>259</v>
      </c>
      <c r="B242" s="84" t="str">
        <f>'дод 5'!A163</f>
        <v>6017</v>
      </c>
      <c r="C242" s="84" t="str">
        <f>'дод 5'!B163</f>
        <v>0620</v>
      </c>
      <c r="D242" s="57" t="str">
        <f>'дод 5'!C163</f>
        <v>Інша діяльність, пов’язана з експлуатацією об’єктів житлово-комунального господарства</v>
      </c>
      <c r="E242" s="141">
        <f t="shared" si="108"/>
        <v>110000</v>
      </c>
      <c r="F242" s="141">
        <v>110000</v>
      </c>
      <c r="G242" s="141"/>
      <c r="H242" s="141"/>
      <c r="I242" s="141"/>
      <c r="J242" s="141">
        <f t="shared" si="110"/>
        <v>0</v>
      </c>
      <c r="K242" s="141"/>
      <c r="L242" s="141"/>
      <c r="M242" s="141"/>
      <c r="N242" s="141"/>
      <c r="O242" s="141"/>
      <c r="P242" s="141">
        <f t="shared" si="109"/>
        <v>110000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</row>
    <row r="243" spans="1:525" s="22" customFormat="1" ht="47.25" x14ac:dyDescent="0.25">
      <c r="A243" s="56" t="s">
        <v>196</v>
      </c>
      <c r="B243" s="84" t="str">
        <f>'дод 5'!A164</f>
        <v>6020</v>
      </c>
      <c r="C243" s="84" t="str">
        <f>'дод 5'!B164</f>
        <v>0620</v>
      </c>
      <c r="D243" s="57" t="str">
        <f>'дод 5'!C164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3" s="141">
        <f t="shared" si="108"/>
        <v>350000</v>
      </c>
      <c r="F243" s="141"/>
      <c r="G243" s="141"/>
      <c r="H243" s="141"/>
      <c r="I243" s="141">
        <v>350000</v>
      </c>
      <c r="J243" s="141">
        <f t="shared" si="110"/>
        <v>0</v>
      </c>
      <c r="K243" s="141"/>
      <c r="L243" s="141"/>
      <c r="M243" s="141"/>
      <c r="N243" s="141"/>
      <c r="O243" s="141"/>
      <c r="P243" s="141">
        <f t="shared" si="109"/>
        <v>350000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</row>
    <row r="244" spans="1:525" s="22" customFormat="1" ht="24.75" customHeight="1" x14ac:dyDescent="0.25">
      <c r="A244" s="56" t="s">
        <v>197</v>
      </c>
      <c r="B244" s="84" t="str">
        <f>'дод 5'!A165</f>
        <v>6030</v>
      </c>
      <c r="C244" s="84" t="str">
        <f>'дод 5'!B165</f>
        <v>0620</v>
      </c>
      <c r="D244" s="57" t="str">
        <f>'дод 5'!C165</f>
        <v>Організація благоустрою населених пунктів</v>
      </c>
      <c r="E244" s="141">
        <f t="shared" si="108"/>
        <v>190875000</v>
      </c>
      <c r="F244" s="141">
        <f>265050000-214000+250000+10400000-2690000+2600000-3885000+50000+400000+200000-81500000</f>
        <v>190661000</v>
      </c>
      <c r="G244" s="141"/>
      <c r="H244" s="141">
        <f>43800000+610000</f>
        <v>44410000</v>
      </c>
      <c r="I244" s="141">
        <v>214000</v>
      </c>
      <c r="J244" s="141">
        <f t="shared" si="110"/>
        <v>52950000</v>
      </c>
      <c r="K244" s="141">
        <f>37633000-9250000-5283000+500000+850000+9000000+19800000+750000+9000000+1500000+5000000+650000+10000000-1950000-24350000+1100000-2000000</f>
        <v>52950000</v>
      </c>
      <c r="L244" s="143"/>
      <c r="M244" s="141"/>
      <c r="N244" s="141"/>
      <c r="O244" s="141">
        <f>37633000-9250000-5283000+500000+850000+9000000+19800000+750000+9000000+1500000+5000000+650000+10000000-1950000-24350000+1100000-2000000</f>
        <v>52950000</v>
      </c>
      <c r="P244" s="141">
        <f t="shared" si="109"/>
        <v>243825000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</row>
    <row r="245" spans="1:525" s="22" customFormat="1" ht="99.75" hidden="1" customHeight="1" x14ac:dyDescent="0.25">
      <c r="A245" s="56" t="s">
        <v>568</v>
      </c>
      <c r="B245" s="84">
        <v>6083</v>
      </c>
      <c r="C245" s="56" t="s">
        <v>67</v>
      </c>
      <c r="D245" s="11" t="s">
        <v>428</v>
      </c>
      <c r="E245" s="141">
        <f>F245+I245</f>
        <v>0</v>
      </c>
      <c r="F245" s="141"/>
      <c r="G245" s="141"/>
      <c r="H245" s="141"/>
      <c r="I245" s="141"/>
      <c r="J245" s="141">
        <f t="shared" si="110"/>
        <v>0</v>
      </c>
      <c r="K245" s="141"/>
      <c r="L245" s="141"/>
      <c r="M245" s="141"/>
      <c r="N245" s="141"/>
      <c r="O245" s="141"/>
      <c r="P245" s="141">
        <f>E245+J245</f>
        <v>0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</row>
    <row r="246" spans="1:525" s="22" customFormat="1" ht="141.75" hidden="1" customHeight="1" x14ac:dyDescent="0.25">
      <c r="A246" s="76"/>
      <c r="B246" s="97"/>
      <c r="C246" s="76"/>
      <c r="D246" s="82" t="s">
        <v>574</v>
      </c>
      <c r="E246" s="141">
        <f>F246+I246</f>
        <v>0</v>
      </c>
      <c r="F246" s="142"/>
      <c r="G246" s="142"/>
      <c r="H246" s="142"/>
      <c r="I246" s="142"/>
      <c r="J246" s="141">
        <f t="shared" si="110"/>
        <v>0</v>
      </c>
      <c r="K246" s="142"/>
      <c r="L246" s="142"/>
      <c r="M246" s="142"/>
      <c r="N246" s="142"/>
      <c r="O246" s="142"/>
      <c r="P246" s="141">
        <f>E246+J246</f>
        <v>0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</row>
    <row r="247" spans="1:525" s="22" customFormat="1" ht="104.25" customHeight="1" x14ac:dyDescent="0.25">
      <c r="A247" s="56" t="s">
        <v>583</v>
      </c>
      <c r="B247" s="84">
        <v>6071</v>
      </c>
      <c r="C247" s="56" t="s">
        <v>307</v>
      </c>
      <c r="D247" s="57" t="str">
        <f>'дод 5'!C166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47" s="141">
        <f t="shared" ref="E247" si="111">F247+I247</f>
        <v>180117574</v>
      </c>
      <c r="F247" s="141"/>
      <c r="G247" s="141"/>
      <c r="H247" s="141"/>
      <c r="I247" s="141">
        <v>180117574</v>
      </c>
      <c r="J247" s="141">
        <f t="shared" ref="J247" si="112">L247+O247</f>
        <v>0</v>
      </c>
      <c r="K247" s="141"/>
      <c r="L247" s="143"/>
      <c r="M247" s="141"/>
      <c r="N247" s="141"/>
      <c r="O247" s="141"/>
      <c r="P247" s="141">
        <f t="shared" ref="P247" si="113">E247+J247</f>
        <v>180117574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</row>
    <row r="248" spans="1:525" s="22" customFormat="1" ht="31.5" customHeight="1" x14ac:dyDescent="0.25">
      <c r="A248" s="56" t="s">
        <v>249</v>
      </c>
      <c r="B248" s="84" t="str">
        <f>'дод 5'!A170</f>
        <v>6090</v>
      </c>
      <c r="C248" s="84" t="str">
        <f>'дод 5'!B170</f>
        <v>0640</v>
      </c>
      <c r="D248" s="57" t="str">
        <f>'дод 5'!C170</f>
        <v>Інша діяльність у сфері житлово-комунального господарства</v>
      </c>
      <c r="E248" s="141">
        <f t="shared" si="108"/>
        <v>28111760</v>
      </c>
      <c r="F248" s="141">
        <f>49111760-100000-21000000</f>
        <v>28011760</v>
      </c>
      <c r="G248" s="141"/>
      <c r="H248" s="141">
        <v>60000</v>
      </c>
      <c r="I248" s="141">
        <v>100000</v>
      </c>
      <c r="J248" s="141">
        <f t="shared" si="110"/>
        <v>1779900</v>
      </c>
      <c r="K248" s="141"/>
      <c r="L248" s="141">
        <v>1779900</v>
      </c>
      <c r="M248" s="141"/>
      <c r="N248" s="141"/>
      <c r="O248" s="141"/>
      <c r="P248" s="141">
        <f t="shared" si="109"/>
        <v>29891660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</row>
    <row r="249" spans="1:525" s="22" customFormat="1" ht="31.5" x14ac:dyDescent="0.25">
      <c r="A249" s="56" t="s">
        <v>268</v>
      </c>
      <c r="B249" s="84" t="str">
        <f>'дод 5'!A181</f>
        <v>7310</v>
      </c>
      <c r="C249" s="84" t="str">
        <f>'дод 5'!B181</f>
        <v>0443</v>
      </c>
      <c r="D249" s="6" t="str">
        <f>'дод 5'!C181</f>
        <v>Будівництво1 об'єктів житлово-комунального господарства</v>
      </c>
      <c r="E249" s="141">
        <f t="shared" si="108"/>
        <v>0</v>
      </c>
      <c r="F249" s="141"/>
      <c r="G249" s="141"/>
      <c r="H249" s="141"/>
      <c r="I249" s="141"/>
      <c r="J249" s="141">
        <f t="shared" si="110"/>
        <v>143355680</v>
      </c>
      <c r="K249" s="141">
        <f>7300000+1400000+4465000+52390680+81500000-3000000-700000</f>
        <v>143355680</v>
      </c>
      <c r="L249" s="141"/>
      <c r="M249" s="141"/>
      <c r="N249" s="141"/>
      <c r="O249" s="141">
        <f>7300000+1400000+4465000+52390680+81500000-3000000-700000</f>
        <v>143355680</v>
      </c>
      <c r="P249" s="141">
        <f t="shared" si="109"/>
        <v>143355680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</row>
    <row r="250" spans="1:525" s="22" customFormat="1" ht="30" customHeight="1" x14ac:dyDescent="0.25">
      <c r="A250" s="56" t="s">
        <v>270</v>
      </c>
      <c r="B250" s="84" t="str">
        <f>'дод 5'!A188</f>
        <v>7330</v>
      </c>
      <c r="C250" s="84" t="str">
        <f>'дод 5'!B188</f>
        <v>0443</v>
      </c>
      <c r="D250" s="6" t="str">
        <f>'дод 5'!C188</f>
        <v>Будівництво1 інших об'єктів комунальної власності</v>
      </c>
      <c r="E250" s="141">
        <f t="shared" si="108"/>
        <v>0</v>
      </c>
      <c r="F250" s="141"/>
      <c r="G250" s="141"/>
      <c r="H250" s="141"/>
      <c r="I250" s="141"/>
      <c r="J250" s="141">
        <f t="shared" si="110"/>
        <v>15000000</v>
      </c>
      <c r="K250" s="141">
        <f>500000+60100000+500000+1700000-20000000-1100000-1000000-1100000-400000-200000-24000000</f>
        <v>15000000</v>
      </c>
      <c r="L250" s="141"/>
      <c r="M250" s="141"/>
      <c r="N250" s="141"/>
      <c r="O250" s="141">
        <f>60600000+500000+1700000-20000000-1100000-1000000-1100000-400000-200000-24000000</f>
        <v>15000000</v>
      </c>
      <c r="P250" s="141">
        <f t="shared" si="109"/>
        <v>15000000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</row>
    <row r="251" spans="1:525" s="22" customFormat="1" ht="33" hidden="1" customHeight="1" x14ac:dyDescent="0.25">
      <c r="A251" s="56" t="s">
        <v>198</v>
      </c>
      <c r="B251" s="84">
        <v>7340</v>
      </c>
      <c r="C251" s="84" t="str">
        <f>'дод 5'!B187</f>
        <v>0443</v>
      </c>
      <c r="D251" s="57" t="str">
        <f>'дод 5'!C189</f>
        <v>Проектування, реставрація та охорона пам'яток архітектури</v>
      </c>
      <c r="E251" s="141">
        <f t="shared" ref="E251" si="114">F251+I251</f>
        <v>0</v>
      </c>
      <c r="F251" s="141"/>
      <c r="G251" s="141"/>
      <c r="H251" s="141"/>
      <c r="I251" s="141"/>
      <c r="J251" s="141">
        <f t="shared" si="110"/>
        <v>0</v>
      </c>
      <c r="K251" s="141"/>
      <c r="L251" s="141"/>
      <c r="M251" s="141"/>
      <c r="N251" s="141"/>
      <c r="O251" s="141"/>
      <c r="P251" s="141">
        <f t="shared" ref="P251" si="115">E251+J251</f>
        <v>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</row>
    <row r="252" spans="1:525" s="22" customFormat="1" ht="49.5" hidden="1" customHeight="1" x14ac:dyDescent="0.25">
      <c r="A252" s="56" t="s">
        <v>365</v>
      </c>
      <c r="B252" s="84">
        <f>'дод 5'!A191</f>
        <v>7361</v>
      </c>
      <c r="C252" s="84" t="str">
        <f>'дод 5'!B191</f>
        <v>0490</v>
      </c>
      <c r="D252" s="57" t="str">
        <f>'дод 5'!C191</f>
        <v>Співфінансування інвестиційних проектів, що реалізуються за рахунок коштів державного фонду регіонального розвитку</v>
      </c>
      <c r="E252" s="141">
        <f t="shared" si="108"/>
        <v>0</v>
      </c>
      <c r="F252" s="141"/>
      <c r="G252" s="141"/>
      <c r="H252" s="141"/>
      <c r="I252" s="141"/>
      <c r="J252" s="141">
        <f t="shared" si="110"/>
        <v>0</v>
      </c>
      <c r="K252" s="141"/>
      <c r="L252" s="141"/>
      <c r="M252" s="141"/>
      <c r="N252" s="141"/>
      <c r="O252" s="141"/>
      <c r="P252" s="141">
        <f t="shared" si="109"/>
        <v>0</v>
      </c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</row>
    <row r="253" spans="1:525" s="22" customFormat="1" ht="30" hidden="1" customHeight="1" x14ac:dyDescent="0.25">
      <c r="A253" s="56">
        <v>1217362</v>
      </c>
      <c r="B253" s="84">
        <f>'дод 5'!A192</f>
        <v>7362</v>
      </c>
      <c r="C253" s="84" t="str">
        <f>'дод 5'!B192</f>
        <v>0490</v>
      </c>
      <c r="D253" s="57" t="str">
        <f>'дод 5'!C192</f>
        <v>Виконання інвестиційних проектів в рамках підтримки розвитку об'єднаних територіальних громад</v>
      </c>
      <c r="E253" s="141">
        <f t="shared" si="108"/>
        <v>0</v>
      </c>
      <c r="F253" s="141"/>
      <c r="G253" s="141"/>
      <c r="H253" s="141"/>
      <c r="I253" s="141"/>
      <c r="J253" s="141">
        <f t="shared" si="110"/>
        <v>0</v>
      </c>
      <c r="K253" s="141"/>
      <c r="L253" s="141"/>
      <c r="M253" s="141"/>
      <c r="N253" s="141"/>
      <c r="O253" s="141"/>
      <c r="P253" s="141">
        <f t="shared" si="109"/>
        <v>0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</row>
    <row r="254" spans="1:525" s="22" customFormat="1" ht="56.25" customHeight="1" x14ac:dyDescent="0.25">
      <c r="A254" s="56" t="s">
        <v>363</v>
      </c>
      <c r="B254" s="84">
        <v>7363</v>
      </c>
      <c r="C254" s="37" t="s">
        <v>81</v>
      </c>
      <c r="D254" s="36" t="s">
        <v>606</v>
      </c>
      <c r="E254" s="141">
        <f t="shared" si="108"/>
        <v>0</v>
      </c>
      <c r="F254" s="141"/>
      <c r="G254" s="141"/>
      <c r="H254" s="141"/>
      <c r="I254" s="141"/>
      <c r="J254" s="141">
        <f t="shared" si="110"/>
        <v>6000000</v>
      </c>
      <c r="K254" s="141">
        <v>6000000</v>
      </c>
      <c r="L254" s="141"/>
      <c r="M254" s="141"/>
      <c r="N254" s="141"/>
      <c r="O254" s="141">
        <v>6000000</v>
      </c>
      <c r="P254" s="141">
        <f t="shared" si="109"/>
        <v>6000000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</row>
    <row r="255" spans="1:525" s="24" customFormat="1" ht="50.25" hidden="1" customHeight="1" x14ac:dyDescent="0.25">
      <c r="A255" s="76"/>
      <c r="B255" s="97"/>
      <c r="C255" s="97"/>
      <c r="D255" s="79" t="s">
        <v>383</v>
      </c>
      <c r="E255" s="142">
        <f t="shared" si="108"/>
        <v>0</v>
      </c>
      <c r="F255" s="142"/>
      <c r="G255" s="142"/>
      <c r="H255" s="142"/>
      <c r="I255" s="142"/>
      <c r="J255" s="142">
        <f t="shared" si="110"/>
        <v>0</v>
      </c>
      <c r="K255" s="142"/>
      <c r="L255" s="142"/>
      <c r="M255" s="142"/>
      <c r="N255" s="142"/>
      <c r="O255" s="142"/>
      <c r="P255" s="142">
        <f t="shared" si="109"/>
        <v>0</v>
      </c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  <c r="SQ255" s="30"/>
      <c r="SR255" s="30"/>
      <c r="SS255" s="30"/>
      <c r="ST255" s="30"/>
      <c r="SU255" s="30"/>
      <c r="SV255" s="30"/>
      <c r="SW255" s="30"/>
      <c r="SX255" s="30"/>
      <c r="SY255" s="30"/>
      <c r="SZ255" s="30"/>
      <c r="TA255" s="30"/>
      <c r="TB255" s="30"/>
      <c r="TC255" s="30"/>
      <c r="TD255" s="30"/>
      <c r="TE255" s="30"/>
    </row>
    <row r="256" spans="1:525" s="24" customFormat="1" ht="31.5" hidden="1" customHeight="1" x14ac:dyDescent="0.25">
      <c r="A256" s="56" t="s">
        <v>556</v>
      </c>
      <c r="B256" s="84">
        <v>7368</v>
      </c>
      <c r="C256" s="37" t="s">
        <v>81</v>
      </c>
      <c r="D256" s="36" t="s">
        <v>557</v>
      </c>
      <c r="E256" s="141">
        <f t="shared" si="108"/>
        <v>0</v>
      </c>
      <c r="F256" s="142"/>
      <c r="G256" s="142"/>
      <c r="H256" s="142"/>
      <c r="I256" s="142"/>
      <c r="J256" s="141">
        <f t="shared" si="110"/>
        <v>0</v>
      </c>
      <c r="K256" s="141"/>
      <c r="L256" s="141"/>
      <c r="M256" s="141"/>
      <c r="N256" s="141"/>
      <c r="O256" s="141"/>
      <c r="P256" s="141">
        <f t="shared" si="109"/>
        <v>0</v>
      </c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30"/>
      <c r="KL256" s="30"/>
      <c r="KM256" s="30"/>
      <c r="KN256" s="30"/>
      <c r="KO256" s="30"/>
      <c r="KP256" s="30"/>
      <c r="KQ256" s="30"/>
      <c r="KR256" s="30"/>
      <c r="KS256" s="30"/>
      <c r="KT256" s="30"/>
      <c r="KU256" s="30"/>
      <c r="KV256" s="30"/>
      <c r="KW256" s="30"/>
      <c r="KX256" s="30"/>
      <c r="KY256" s="30"/>
      <c r="KZ256" s="30"/>
      <c r="LA256" s="30"/>
      <c r="LB256" s="30"/>
      <c r="LC256" s="30"/>
      <c r="LD256" s="30"/>
      <c r="LE256" s="30"/>
      <c r="LF256" s="30"/>
      <c r="LG256" s="30"/>
      <c r="LH256" s="30"/>
      <c r="LI256" s="30"/>
      <c r="LJ256" s="30"/>
      <c r="LK256" s="30"/>
      <c r="LL256" s="30"/>
      <c r="LM256" s="30"/>
      <c r="LN256" s="30"/>
      <c r="LO256" s="30"/>
      <c r="LP256" s="30"/>
      <c r="LQ256" s="30"/>
      <c r="LR256" s="30"/>
      <c r="LS256" s="30"/>
      <c r="LT256" s="30"/>
      <c r="LU256" s="30"/>
      <c r="LV256" s="30"/>
      <c r="LW256" s="30"/>
      <c r="LX256" s="30"/>
      <c r="LY256" s="30"/>
      <c r="LZ256" s="30"/>
      <c r="MA256" s="30"/>
      <c r="MB256" s="30"/>
      <c r="MC256" s="30"/>
      <c r="MD256" s="30"/>
      <c r="ME256" s="30"/>
      <c r="MF256" s="30"/>
      <c r="MG256" s="30"/>
      <c r="MH256" s="30"/>
      <c r="MI256" s="30"/>
      <c r="MJ256" s="30"/>
      <c r="MK256" s="30"/>
      <c r="ML256" s="30"/>
      <c r="MM256" s="30"/>
      <c r="MN256" s="30"/>
      <c r="MO256" s="30"/>
      <c r="MP256" s="30"/>
      <c r="MQ256" s="30"/>
      <c r="MR256" s="30"/>
      <c r="MS256" s="30"/>
      <c r="MT256" s="30"/>
      <c r="MU256" s="30"/>
      <c r="MV256" s="30"/>
      <c r="MW256" s="30"/>
      <c r="MX256" s="30"/>
      <c r="MY256" s="30"/>
      <c r="MZ256" s="30"/>
      <c r="NA256" s="30"/>
      <c r="NB256" s="30"/>
      <c r="NC256" s="30"/>
      <c r="ND256" s="30"/>
      <c r="NE256" s="30"/>
      <c r="NF256" s="30"/>
      <c r="NG256" s="30"/>
      <c r="NH256" s="30"/>
      <c r="NI256" s="30"/>
      <c r="NJ256" s="30"/>
      <c r="NK256" s="30"/>
      <c r="NL256" s="30"/>
      <c r="NM256" s="30"/>
      <c r="NN256" s="30"/>
      <c r="NO256" s="30"/>
      <c r="NP256" s="30"/>
      <c r="NQ256" s="30"/>
      <c r="NR256" s="30"/>
      <c r="NS256" s="30"/>
      <c r="NT256" s="30"/>
      <c r="NU256" s="30"/>
      <c r="NV256" s="30"/>
      <c r="NW256" s="30"/>
      <c r="NX256" s="30"/>
      <c r="NY256" s="30"/>
      <c r="NZ256" s="30"/>
      <c r="OA256" s="30"/>
      <c r="OB256" s="30"/>
      <c r="OC256" s="30"/>
      <c r="OD256" s="30"/>
      <c r="OE256" s="30"/>
      <c r="OF256" s="30"/>
      <c r="OG256" s="30"/>
      <c r="OH256" s="30"/>
      <c r="OI256" s="30"/>
      <c r="OJ256" s="30"/>
      <c r="OK256" s="30"/>
      <c r="OL256" s="30"/>
      <c r="OM256" s="30"/>
      <c r="ON256" s="30"/>
      <c r="OO256" s="30"/>
      <c r="OP256" s="30"/>
      <c r="OQ256" s="30"/>
      <c r="OR256" s="30"/>
      <c r="OS256" s="30"/>
      <c r="OT256" s="30"/>
      <c r="OU256" s="30"/>
      <c r="OV256" s="30"/>
      <c r="OW256" s="30"/>
      <c r="OX256" s="30"/>
      <c r="OY256" s="30"/>
      <c r="OZ256" s="30"/>
      <c r="PA256" s="30"/>
      <c r="PB256" s="30"/>
      <c r="PC256" s="30"/>
      <c r="PD256" s="30"/>
      <c r="PE256" s="30"/>
      <c r="PF256" s="30"/>
      <c r="PG256" s="30"/>
      <c r="PH256" s="30"/>
      <c r="PI256" s="30"/>
      <c r="PJ256" s="30"/>
      <c r="PK256" s="30"/>
      <c r="PL256" s="30"/>
      <c r="PM256" s="30"/>
      <c r="PN256" s="30"/>
      <c r="PO256" s="30"/>
      <c r="PP256" s="30"/>
      <c r="PQ256" s="30"/>
      <c r="PR256" s="30"/>
      <c r="PS256" s="30"/>
      <c r="PT256" s="30"/>
      <c r="PU256" s="30"/>
      <c r="PV256" s="30"/>
      <c r="PW256" s="30"/>
      <c r="PX256" s="30"/>
      <c r="PY256" s="30"/>
      <c r="PZ256" s="30"/>
      <c r="QA256" s="30"/>
      <c r="QB256" s="30"/>
      <c r="QC256" s="30"/>
      <c r="QD256" s="30"/>
      <c r="QE256" s="30"/>
      <c r="QF256" s="30"/>
      <c r="QG256" s="30"/>
      <c r="QH256" s="30"/>
      <c r="QI256" s="30"/>
      <c r="QJ256" s="30"/>
      <c r="QK256" s="30"/>
      <c r="QL256" s="30"/>
      <c r="QM256" s="30"/>
      <c r="QN256" s="30"/>
      <c r="QO256" s="30"/>
      <c r="QP256" s="30"/>
      <c r="QQ256" s="30"/>
      <c r="QR256" s="30"/>
      <c r="QS256" s="30"/>
      <c r="QT256" s="30"/>
      <c r="QU256" s="30"/>
      <c r="QV256" s="30"/>
      <c r="QW256" s="30"/>
      <c r="QX256" s="30"/>
      <c r="QY256" s="30"/>
      <c r="QZ256" s="30"/>
      <c r="RA256" s="30"/>
      <c r="RB256" s="30"/>
      <c r="RC256" s="30"/>
      <c r="RD256" s="30"/>
      <c r="RE256" s="30"/>
      <c r="RF256" s="30"/>
      <c r="RG256" s="30"/>
      <c r="RH256" s="30"/>
      <c r="RI256" s="30"/>
      <c r="RJ256" s="30"/>
      <c r="RK256" s="30"/>
      <c r="RL256" s="30"/>
      <c r="RM256" s="30"/>
      <c r="RN256" s="30"/>
      <c r="RO256" s="30"/>
      <c r="RP256" s="30"/>
      <c r="RQ256" s="30"/>
      <c r="RR256" s="30"/>
      <c r="RS256" s="30"/>
      <c r="RT256" s="30"/>
      <c r="RU256" s="30"/>
      <c r="RV256" s="30"/>
      <c r="RW256" s="30"/>
      <c r="RX256" s="30"/>
      <c r="RY256" s="30"/>
      <c r="RZ256" s="30"/>
      <c r="SA256" s="30"/>
      <c r="SB256" s="30"/>
      <c r="SC256" s="30"/>
      <c r="SD256" s="30"/>
      <c r="SE256" s="30"/>
      <c r="SF256" s="30"/>
      <c r="SG256" s="30"/>
      <c r="SH256" s="30"/>
      <c r="SI256" s="30"/>
      <c r="SJ256" s="30"/>
      <c r="SK256" s="30"/>
      <c r="SL256" s="30"/>
      <c r="SM256" s="30"/>
      <c r="SN256" s="30"/>
      <c r="SO256" s="30"/>
      <c r="SP256" s="30"/>
      <c r="SQ256" s="30"/>
      <c r="SR256" s="30"/>
      <c r="SS256" s="30"/>
      <c r="ST256" s="30"/>
      <c r="SU256" s="30"/>
      <c r="SV256" s="30"/>
      <c r="SW256" s="30"/>
      <c r="SX256" s="30"/>
      <c r="SY256" s="30"/>
      <c r="SZ256" s="30"/>
      <c r="TA256" s="30"/>
      <c r="TB256" s="30"/>
      <c r="TC256" s="30"/>
      <c r="TD256" s="30"/>
      <c r="TE256" s="30"/>
    </row>
    <row r="257" spans="1:525" s="24" customFormat="1" ht="15.75" hidden="1" customHeight="1" x14ac:dyDescent="0.25">
      <c r="A257" s="76"/>
      <c r="B257" s="97"/>
      <c r="C257" s="97"/>
      <c r="D257" s="77" t="s">
        <v>388</v>
      </c>
      <c r="E257" s="142">
        <f t="shared" si="108"/>
        <v>0</v>
      </c>
      <c r="F257" s="142"/>
      <c r="G257" s="142"/>
      <c r="H257" s="142"/>
      <c r="I257" s="142"/>
      <c r="J257" s="142">
        <f t="shared" si="110"/>
        <v>0</v>
      </c>
      <c r="K257" s="142"/>
      <c r="L257" s="142"/>
      <c r="M257" s="142"/>
      <c r="N257" s="142"/>
      <c r="O257" s="142"/>
      <c r="P257" s="142">
        <f t="shared" si="109"/>
        <v>0</v>
      </c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</row>
    <row r="258" spans="1:525" s="22" customFormat="1" ht="47.25" hidden="1" customHeight="1" x14ac:dyDescent="0.25">
      <c r="A258" s="56" t="s">
        <v>369</v>
      </c>
      <c r="B258" s="84">
        <f>'дод 5'!A206</f>
        <v>7462</v>
      </c>
      <c r="C258" s="56" t="s">
        <v>394</v>
      </c>
      <c r="D258" s="99" t="s">
        <v>393</v>
      </c>
      <c r="E258" s="141">
        <f t="shared" ref="E258:E263" si="116">F258+I258</f>
        <v>0</v>
      </c>
      <c r="F258" s="141"/>
      <c r="G258" s="141"/>
      <c r="H258" s="141"/>
      <c r="I258" s="141"/>
      <c r="J258" s="141">
        <f t="shared" ref="J258:J263" si="117">L258+O258</f>
        <v>0</v>
      </c>
      <c r="K258" s="141"/>
      <c r="L258" s="141"/>
      <c r="M258" s="141"/>
      <c r="N258" s="141"/>
      <c r="O258" s="141"/>
      <c r="P258" s="141">
        <f t="shared" ref="P258:P263" si="118">E258+J258</f>
        <v>0</v>
      </c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</row>
    <row r="259" spans="1:525" s="24" customFormat="1" ht="110.25" hidden="1" customHeight="1" x14ac:dyDescent="0.25">
      <c r="A259" s="76"/>
      <c r="B259" s="97"/>
      <c r="C259" s="97"/>
      <c r="D259" s="79" t="s">
        <v>391</v>
      </c>
      <c r="E259" s="142">
        <f t="shared" si="116"/>
        <v>0</v>
      </c>
      <c r="F259" s="142"/>
      <c r="G259" s="142"/>
      <c r="H259" s="142"/>
      <c r="I259" s="142"/>
      <c r="J259" s="142">
        <f t="shared" si="117"/>
        <v>0</v>
      </c>
      <c r="K259" s="142"/>
      <c r="L259" s="142"/>
      <c r="M259" s="142"/>
      <c r="N259" s="142"/>
      <c r="O259" s="142"/>
      <c r="P259" s="142">
        <f t="shared" si="118"/>
        <v>0</v>
      </c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  <c r="SQ259" s="30"/>
      <c r="SR259" s="30"/>
      <c r="SS259" s="30"/>
      <c r="ST259" s="30"/>
      <c r="SU259" s="30"/>
      <c r="SV259" s="30"/>
      <c r="SW259" s="30"/>
      <c r="SX259" s="30"/>
      <c r="SY259" s="30"/>
      <c r="SZ259" s="30"/>
      <c r="TA259" s="30"/>
      <c r="TB259" s="30"/>
      <c r="TC259" s="30"/>
      <c r="TD259" s="30"/>
      <c r="TE259" s="30"/>
    </row>
    <row r="260" spans="1:525" s="24" customFormat="1" ht="87" hidden="1" customHeight="1" x14ac:dyDescent="0.25">
      <c r="A260" s="76"/>
      <c r="B260" s="97"/>
      <c r="C260" s="76"/>
      <c r="D260" s="79" t="s">
        <v>517</v>
      </c>
      <c r="E260" s="142">
        <f t="shared" si="116"/>
        <v>0</v>
      </c>
      <c r="F260" s="142"/>
      <c r="G260" s="142"/>
      <c r="H260" s="142"/>
      <c r="I260" s="142"/>
      <c r="J260" s="142">
        <f t="shared" si="117"/>
        <v>0</v>
      </c>
      <c r="K260" s="142"/>
      <c r="L260" s="142"/>
      <c r="M260" s="142"/>
      <c r="N260" s="142"/>
      <c r="O260" s="142"/>
      <c r="P260" s="142">
        <f t="shared" si="118"/>
        <v>0</v>
      </c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</row>
    <row r="261" spans="1:525" s="24" customFormat="1" ht="63.75" hidden="1" customHeight="1" x14ac:dyDescent="0.25">
      <c r="A261" s="56" t="s">
        <v>554</v>
      </c>
      <c r="B261" s="84">
        <v>7463</v>
      </c>
      <c r="C261" s="56" t="s">
        <v>394</v>
      </c>
      <c r="D261" s="99" t="s">
        <v>555</v>
      </c>
      <c r="E261" s="141">
        <f t="shared" si="116"/>
        <v>0</v>
      </c>
      <c r="F261" s="141"/>
      <c r="G261" s="142"/>
      <c r="H261" s="142"/>
      <c r="I261" s="142"/>
      <c r="J261" s="141">
        <f t="shared" si="117"/>
        <v>0</v>
      </c>
      <c r="K261" s="142"/>
      <c r="L261" s="142"/>
      <c r="M261" s="142"/>
      <c r="N261" s="142"/>
      <c r="O261" s="142"/>
      <c r="P261" s="141">
        <f t="shared" si="118"/>
        <v>0</v>
      </c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  <c r="SQ261" s="30"/>
      <c r="SR261" s="30"/>
      <c r="SS261" s="30"/>
      <c r="ST261" s="30"/>
      <c r="SU261" s="30"/>
      <c r="SV261" s="30"/>
      <c r="SW261" s="30"/>
      <c r="SX261" s="30"/>
      <c r="SY261" s="30"/>
      <c r="SZ261" s="30"/>
      <c r="TA261" s="30"/>
      <c r="TB261" s="30"/>
      <c r="TC261" s="30"/>
      <c r="TD261" s="30"/>
      <c r="TE261" s="30"/>
    </row>
    <row r="262" spans="1:525" s="24" customFormat="1" ht="15.75" hidden="1" customHeight="1" x14ac:dyDescent="0.25">
      <c r="A262" s="76"/>
      <c r="B262" s="97"/>
      <c r="C262" s="76"/>
      <c r="D262" s="77" t="s">
        <v>388</v>
      </c>
      <c r="E262" s="142">
        <f t="shared" si="116"/>
        <v>0</v>
      </c>
      <c r="F262" s="142"/>
      <c r="G262" s="142"/>
      <c r="H262" s="142"/>
      <c r="I262" s="142"/>
      <c r="J262" s="142">
        <f t="shared" si="117"/>
        <v>0</v>
      </c>
      <c r="K262" s="142"/>
      <c r="L262" s="142"/>
      <c r="M262" s="142"/>
      <c r="N262" s="142"/>
      <c r="O262" s="142"/>
      <c r="P262" s="142">
        <f t="shared" si="118"/>
        <v>0</v>
      </c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  <c r="SQ262" s="30"/>
      <c r="SR262" s="30"/>
      <c r="SS262" s="30"/>
      <c r="ST262" s="30"/>
      <c r="SU262" s="30"/>
      <c r="SV262" s="30"/>
      <c r="SW262" s="30"/>
      <c r="SX262" s="30"/>
      <c r="SY262" s="30"/>
      <c r="SZ262" s="30"/>
      <c r="TA262" s="30"/>
      <c r="TB262" s="30"/>
      <c r="TC262" s="30"/>
      <c r="TD262" s="30"/>
      <c r="TE262" s="30"/>
    </row>
    <row r="263" spans="1:525" s="24" customFormat="1" ht="31.5" hidden="1" customHeight="1" x14ac:dyDescent="0.25">
      <c r="A263" s="56" t="s">
        <v>419</v>
      </c>
      <c r="B263" s="84">
        <v>7530</v>
      </c>
      <c r="C263" s="56" t="s">
        <v>233</v>
      </c>
      <c r="D263" s="85" t="s">
        <v>231</v>
      </c>
      <c r="E263" s="141">
        <f t="shared" si="116"/>
        <v>0</v>
      </c>
      <c r="F263" s="141"/>
      <c r="G263" s="142"/>
      <c r="H263" s="142"/>
      <c r="I263" s="142"/>
      <c r="J263" s="141">
        <f t="shared" si="117"/>
        <v>0</v>
      </c>
      <c r="K263" s="141"/>
      <c r="L263" s="141"/>
      <c r="M263" s="141"/>
      <c r="N263" s="141"/>
      <c r="O263" s="141"/>
      <c r="P263" s="141">
        <f t="shared" si="118"/>
        <v>0</v>
      </c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  <c r="IW263" s="30"/>
      <c r="IX263" s="30"/>
      <c r="IY263" s="30"/>
      <c r="IZ263" s="30"/>
      <c r="JA263" s="30"/>
      <c r="JB263" s="30"/>
      <c r="JC263" s="30"/>
      <c r="JD263" s="30"/>
      <c r="JE263" s="30"/>
      <c r="JF263" s="30"/>
      <c r="JG263" s="30"/>
      <c r="JH263" s="30"/>
      <c r="JI263" s="30"/>
      <c r="JJ263" s="30"/>
      <c r="JK263" s="30"/>
      <c r="JL263" s="30"/>
      <c r="JM263" s="30"/>
      <c r="JN263" s="30"/>
      <c r="JO263" s="30"/>
      <c r="JP263" s="30"/>
      <c r="JQ263" s="30"/>
      <c r="JR263" s="30"/>
      <c r="JS263" s="30"/>
      <c r="JT263" s="30"/>
      <c r="JU263" s="30"/>
      <c r="JV263" s="30"/>
      <c r="JW263" s="30"/>
      <c r="JX263" s="30"/>
      <c r="JY263" s="30"/>
      <c r="JZ263" s="30"/>
      <c r="KA263" s="30"/>
      <c r="KB263" s="30"/>
      <c r="KC263" s="30"/>
      <c r="KD263" s="30"/>
      <c r="KE263" s="30"/>
      <c r="KF263" s="30"/>
      <c r="KG263" s="30"/>
      <c r="KH263" s="30"/>
      <c r="KI263" s="30"/>
      <c r="KJ263" s="30"/>
      <c r="KK263" s="30"/>
      <c r="KL263" s="30"/>
      <c r="KM263" s="30"/>
      <c r="KN263" s="30"/>
      <c r="KO263" s="30"/>
      <c r="KP263" s="30"/>
      <c r="KQ263" s="30"/>
      <c r="KR263" s="30"/>
      <c r="KS263" s="30"/>
      <c r="KT263" s="30"/>
      <c r="KU263" s="30"/>
      <c r="KV263" s="30"/>
      <c r="KW263" s="30"/>
      <c r="KX263" s="30"/>
      <c r="KY263" s="30"/>
      <c r="KZ263" s="30"/>
      <c r="LA263" s="30"/>
      <c r="LB263" s="30"/>
      <c r="LC263" s="30"/>
      <c r="LD263" s="30"/>
      <c r="LE263" s="30"/>
      <c r="LF263" s="30"/>
      <c r="LG263" s="30"/>
      <c r="LH263" s="30"/>
      <c r="LI263" s="30"/>
      <c r="LJ263" s="30"/>
      <c r="LK263" s="30"/>
      <c r="LL263" s="30"/>
      <c r="LM263" s="30"/>
      <c r="LN263" s="30"/>
      <c r="LO263" s="30"/>
      <c r="LP263" s="30"/>
      <c r="LQ263" s="30"/>
      <c r="LR263" s="30"/>
      <c r="LS263" s="30"/>
      <c r="LT263" s="30"/>
      <c r="LU263" s="30"/>
      <c r="LV263" s="30"/>
      <c r="LW263" s="30"/>
      <c r="LX263" s="30"/>
      <c r="LY263" s="30"/>
      <c r="LZ263" s="30"/>
      <c r="MA263" s="30"/>
      <c r="MB263" s="30"/>
      <c r="MC263" s="30"/>
      <c r="MD263" s="30"/>
      <c r="ME263" s="30"/>
      <c r="MF263" s="30"/>
      <c r="MG263" s="30"/>
      <c r="MH263" s="30"/>
      <c r="MI263" s="30"/>
      <c r="MJ263" s="30"/>
      <c r="MK263" s="30"/>
      <c r="ML263" s="30"/>
      <c r="MM263" s="30"/>
      <c r="MN263" s="30"/>
      <c r="MO263" s="30"/>
      <c r="MP263" s="30"/>
      <c r="MQ263" s="30"/>
      <c r="MR263" s="30"/>
      <c r="MS263" s="30"/>
      <c r="MT263" s="30"/>
      <c r="MU263" s="30"/>
      <c r="MV263" s="30"/>
      <c r="MW263" s="30"/>
      <c r="MX263" s="30"/>
      <c r="MY263" s="30"/>
      <c r="MZ263" s="30"/>
      <c r="NA263" s="30"/>
      <c r="NB263" s="30"/>
      <c r="NC263" s="30"/>
      <c r="ND263" s="30"/>
      <c r="NE263" s="30"/>
      <c r="NF263" s="30"/>
      <c r="NG263" s="30"/>
      <c r="NH263" s="30"/>
      <c r="NI263" s="30"/>
      <c r="NJ263" s="30"/>
      <c r="NK263" s="30"/>
      <c r="NL263" s="30"/>
      <c r="NM263" s="30"/>
      <c r="NN263" s="30"/>
      <c r="NO263" s="30"/>
      <c r="NP263" s="30"/>
      <c r="NQ263" s="30"/>
      <c r="NR263" s="30"/>
      <c r="NS263" s="30"/>
      <c r="NT263" s="30"/>
      <c r="NU263" s="30"/>
      <c r="NV263" s="30"/>
      <c r="NW263" s="30"/>
      <c r="NX263" s="30"/>
      <c r="NY263" s="30"/>
      <c r="NZ263" s="30"/>
      <c r="OA263" s="30"/>
      <c r="OB263" s="30"/>
      <c r="OC263" s="30"/>
      <c r="OD263" s="30"/>
      <c r="OE263" s="30"/>
      <c r="OF263" s="30"/>
      <c r="OG263" s="30"/>
      <c r="OH263" s="30"/>
      <c r="OI263" s="30"/>
      <c r="OJ263" s="30"/>
      <c r="OK263" s="30"/>
      <c r="OL263" s="30"/>
      <c r="OM263" s="30"/>
      <c r="ON263" s="30"/>
      <c r="OO263" s="30"/>
      <c r="OP263" s="30"/>
      <c r="OQ263" s="30"/>
      <c r="OR263" s="30"/>
      <c r="OS263" s="30"/>
      <c r="OT263" s="30"/>
      <c r="OU263" s="30"/>
      <c r="OV263" s="30"/>
      <c r="OW263" s="30"/>
      <c r="OX263" s="30"/>
      <c r="OY263" s="30"/>
      <c r="OZ263" s="30"/>
      <c r="PA263" s="30"/>
      <c r="PB263" s="30"/>
      <c r="PC263" s="30"/>
      <c r="PD263" s="30"/>
      <c r="PE263" s="30"/>
      <c r="PF263" s="30"/>
      <c r="PG263" s="30"/>
      <c r="PH263" s="30"/>
      <c r="PI263" s="30"/>
      <c r="PJ263" s="30"/>
      <c r="PK263" s="30"/>
      <c r="PL263" s="30"/>
      <c r="PM263" s="30"/>
      <c r="PN263" s="30"/>
      <c r="PO263" s="30"/>
      <c r="PP263" s="30"/>
      <c r="PQ263" s="30"/>
      <c r="PR263" s="30"/>
      <c r="PS263" s="30"/>
      <c r="PT263" s="30"/>
      <c r="PU263" s="30"/>
      <c r="PV263" s="30"/>
      <c r="PW263" s="30"/>
      <c r="PX263" s="30"/>
      <c r="PY263" s="30"/>
      <c r="PZ263" s="30"/>
      <c r="QA263" s="30"/>
      <c r="QB263" s="30"/>
      <c r="QC263" s="30"/>
      <c r="QD263" s="30"/>
      <c r="QE263" s="30"/>
      <c r="QF263" s="30"/>
      <c r="QG263" s="30"/>
      <c r="QH263" s="30"/>
      <c r="QI263" s="30"/>
      <c r="QJ263" s="30"/>
      <c r="QK263" s="30"/>
      <c r="QL263" s="30"/>
      <c r="QM263" s="30"/>
      <c r="QN263" s="30"/>
      <c r="QO263" s="30"/>
      <c r="QP263" s="30"/>
      <c r="QQ263" s="30"/>
      <c r="QR263" s="30"/>
      <c r="QS263" s="30"/>
      <c r="QT263" s="30"/>
      <c r="QU263" s="30"/>
      <c r="QV263" s="30"/>
      <c r="QW263" s="30"/>
      <c r="QX263" s="30"/>
      <c r="QY263" s="30"/>
      <c r="QZ263" s="30"/>
      <c r="RA263" s="30"/>
      <c r="RB263" s="30"/>
      <c r="RC263" s="30"/>
      <c r="RD263" s="30"/>
      <c r="RE263" s="30"/>
      <c r="RF263" s="30"/>
      <c r="RG263" s="30"/>
      <c r="RH263" s="30"/>
      <c r="RI263" s="30"/>
      <c r="RJ263" s="30"/>
      <c r="RK263" s="30"/>
      <c r="RL263" s="30"/>
      <c r="RM263" s="30"/>
      <c r="RN263" s="30"/>
      <c r="RO263" s="30"/>
      <c r="RP263" s="30"/>
      <c r="RQ263" s="30"/>
      <c r="RR263" s="30"/>
      <c r="RS263" s="30"/>
      <c r="RT263" s="30"/>
      <c r="RU263" s="30"/>
      <c r="RV263" s="30"/>
      <c r="RW263" s="30"/>
      <c r="RX263" s="30"/>
      <c r="RY263" s="30"/>
      <c r="RZ263" s="30"/>
      <c r="SA263" s="30"/>
      <c r="SB263" s="30"/>
      <c r="SC263" s="30"/>
      <c r="SD263" s="30"/>
      <c r="SE263" s="30"/>
      <c r="SF263" s="30"/>
      <c r="SG263" s="30"/>
      <c r="SH263" s="30"/>
      <c r="SI263" s="30"/>
      <c r="SJ263" s="30"/>
      <c r="SK263" s="30"/>
      <c r="SL263" s="30"/>
      <c r="SM263" s="30"/>
      <c r="SN263" s="30"/>
      <c r="SO263" s="30"/>
      <c r="SP263" s="30"/>
      <c r="SQ263" s="30"/>
      <c r="SR263" s="30"/>
      <c r="SS263" s="30"/>
      <c r="ST263" s="30"/>
      <c r="SU263" s="30"/>
      <c r="SV263" s="30"/>
      <c r="SW263" s="30"/>
      <c r="SX263" s="30"/>
      <c r="SY263" s="30"/>
      <c r="SZ263" s="30"/>
      <c r="TA263" s="30"/>
      <c r="TB263" s="30"/>
      <c r="TC263" s="30"/>
      <c r="TD263" s="30"/>
      <c r="TE263" s="30"/>
    </row>
    <row r="264" spans="1:525" s="22" customFormat="1" ht="20.25" customHeight="1" x14ac:dyDescent="0.25">
      <c r="A264" s="56" t="s">
        <v>199</v>
      </c>
      <c r="B264" s="84" t="str">
        <f>'дод 5'!A219</f>
        <v>7640</v>
      </c>
      <c r="C264" s="56" t="str">
        <f>'дод 5'!B219</f>
        <v>0470</v>
      </c>
      <c r="D264" s="57" t="s">
        <v>416</v>
      </c>
      <c r="E264" s="141">
        <f t="shared" si="108"/>
        <v>2900000</v>
      </c>
      <c r="F264" s="141">
        <v>500000</v>
      </c>
      <c r="G264" s="141"/>
      <c r="H264" s="141"/>
      <c r="I264" s="141">
        <v>2400000</v>
      </c>
      <c r="J264" s="141">
        <f t="shared" si="110"/>
        <v>0</v>
      </c>
      <c r="K264" s="141"/>
      <c r="L264" s="141"/>
      <c r="M264" s="141"/>
      <c r="N264" s="141"/>
      <c r="O264" s="141"/>
      <c r="P264" s="141">
        <f t="shared" si="109"/>
        <v>2900000</v>
      </c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</row>
    <row r="265" spans="1:525" s="22" customFormat="1" ht="39" customHeight="1" x14ac:dyDescent="0.25">
      <c r="A265" s="56" t="s">
        <v>326</v>
      </c>
      <c r="B265" s="84" t="str">
        <f>'дод 5'!A223</f>
        <v>7670</v>
      </c>
      <c r="C265" s="56" t="str">
        <f>'дод 5'!B223</f>
        <v>0490</v>
      </c>
      <c r="D265" s="57" t="str">
        <f>'дод 5'!C223</f>
        <v>Внески до статутного капіталу суб'єктів господарювання, у т. ч. за рахунок:</v>
      </c>
      <c r="E265" s="141">
        <f t="shared" si="108"/>
        <v>0</v>
      </c>
      <c r="F265" s="141"/>
      <c r="G265" s="141"/>
      <c r="H265" s="141"/>
      <c r="I265" s="141"/>
      <c r="J265" s="141">
        <f t="shared" si="110"/>
        <v>52115000</v>
      </c>
      <c r="K265" s="141">
        <f>47115000+5000000</f>
        <v>52115000</v>
      </c>
      <c r="L265" s="141"/>
      <c r="M265" s="141"/>
      <c r="N265" s="141"/>
      <c r="O265" s="141">
        <f>47115000+5000000</f>
        <v>52115000</v>
      </c>
      <c r="P265" s="141">
        <f t="shared" si="109"/>
        <v>52115000</v>
      </c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</row>
    <row r="266" spans="1:525" s="24" customFormat="1" ht="18.75" customHeight="1" x14ac:dyDescent="0.25">
      <c r="A266" s="76"/>
      <c r="B266" s="97"/>
      <c r="C266" s="97"/>
      <c r="D266" s="77" t="s">
        <v>413</v>
      </c>
      <c r="E266" s="142">
        <f t="shared" si="108"/>
        <v>0</v>
      </c>
      <c r="F266" s="142"/>
      <c r="G266" s="142"/>
      <c r="H266" s="142"/>
      <c r="I266" s="142"/>
      <c r="J266" s="142">
        <f t="shared" si="110"/>
        <v>47115000</v>
      </c>
      <c r="K266" s="142">
        <v>47115000</v>
      </c>
      <c r="L266" s="142"/>
      <c r="M266" s="142"/>
      <c r="N266" s="142"/>
      <c r="O266" s="142">
        <v>47115000</v>
      </c>
      <c r="P266" s="142">
        <f t="shared" si="109"/>
        <v>47115000</v>
      </c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  <c r="HP266" s="30"/>
      <c r="HQ266" s="30"/>
      <c r="HR266" s="30"/>
      <c r="HS266" s="30"/>
      <c r="HT266" s="30"/>
      <c r="HU266" s="30"/>
      <c r="HV266" s="30"/>
      <c r="HW266" s="30"/>
      <c r="HX266" s="30"/>
      <c r="HY266" s="30"/>
      <c r="HZ266" s="30"/>
      <c r="IA266" s="30"/>
      <c r="IB266" s="30"/>
      <c r="IC266" s="30"/>
      <c r="ID266" s="30"/>
      <c r="IE266" s="30"/>
      <c r="IF266" s="30"/>
      <c r="IG266" s="30"/>
      <c r="IH266" s="30"/>
      <c r="II266" s="30"/>
      <c r="IJ266" s="30"/>
      <c r="IK266" s="30"/>
      <c r="IL266" s="30"/>
      <c r="IM266" s="30"/>
      <c r="IN266" s="30"/>
      <c r="IO266" s="30"/>
      <c r="IP266" s="30"/>
      <c r="IQ266" s="30"/>
      <c r="IR266" s="30"/>
      <c r="IS266" s="30"/>
      <c r="IT266" s="30"/>
      <c r="IU266" s="30"/>
      <c r="IV266" s="30"/>
      <c r="IW266" s="30"/>
      <c r="IX266" s="30"/>
      <c r="IY266" s="30"/>
      <c r="IZ266" s="30"/>
      <c r="JA266" s="30"/>
      <c r="JB266" s="30"/>
      <c r="JC266" s="30"/>
      <c r="JD266" s="30"/>
      <c r="JE266" s="30"/>
      <c r="JF266" s="30"/>
      <c r="JG266" s="30"/>
      <c r="JH266" s="30"/>
      <c r="JI266" s="30"/>
      <c r="JJ266" s="30"/>
      <c r="JK266" s="30"/>
      <c r="JL266" s="30"/>
      <c r="JM266" s="30"/>
      <c r="JN266" s="30"/>
      <c r="JO266" s="30"/>
      <c r="JP266" s="30"/>
      <c r="JQ266" s="30"/>
      <c r="JR266" s="30"/>
      <c r="JS266" s="30"/>
      <c r="JT266" s="30"/>
      <c r="JU266" s="30"/>
      <c r="JV266" s="30"/>
      <c r="JW266" s="30"/>
      <c r="JX266" s="30"/>
      <c r="JY266" s="30"/>
      <c r="JZ266" s="30"/>
      <c r="KA266" s="30"/>
      <c r="KB266" s="30"/>
      <c r="KC266" s="30"/>
      <c r="KD266" s="30"/>
      <c r="KE266" s="30"/>
      <c r="KF266" s="30"/>
      <c r="KG266" s="30"/>
      <c r="KH266" s="30"/>
      <c r="KI266" s="30"/>
      <c r="KJ266" s="30"/>
      <c r="KK266" s="30"/>
      <c r="KL266" s="30"/>
      <c r="KM266" s="30"/>
      <c r="KN266" s="30"/>
      <c r="KO266" s="30"/>
      <c r="KP266" s="30"/>
      <c r="KQ266" s="30"/>
      <c r="KR266" s="30"/>
      <c r="KS266" s="30"/>
      <c r="KT266" s="30"/>
      <c r="KU266" s="30"/>
      <c r="KV266" s="30"/>
      <c r="KW266" s="30"/>
      <c r="KX266" s="30"/>
      <c r="KY266" s="30"/>
      <c r="KZ266" s="30"/>
      <c r="LA266" s="30"/>
      <c r="LB266" s="30"/>
      <c r="LC266" s="30"/>
      <c r="LD266" s="30"/>
      <c r="LE266" s="30"/>
      <c r="LF266" s="30"/>
      <c r="LG266" s="30"/>
      <c r="LH266" s="30"/>
      <c r="LI266" s="30"/>
      <c r="LJ266" s="30"/>
      <c r="LK266" s="30"/>
      <c r="LL266" s="30"/>
      <c r="LM266" s="30"/>
      <c r="LN266" s="30"/>
      <c r="LO266" s="30"/>
      <c r="LP266" s="30"/>
      <c r="LQ266" s="30"/>
      <c r="LR266" s="30"/>
      <c r="LS266" s="30"/>
      <c r="LT266" s="30"/>
      <c r="LU266" s="30"/>
      <c r="LV266" s="30"/>
      <c r="LW266" s="30"/>
      <c r="LX266" s="30"/>
      <c r="LY266" s="30"/>
      <c r="LZ266" s="30"/>
      <c r="MA266" s="30"/>
      <c r="MB266" s="30"/>
      <c r="MC266" s="30"/>
      <c r="MD266" s="30"/>
      <c r="ME266" s="30"/>
      <c r="MF266" s="30"/>
      <c r="MG266" s="30"/>
      <c r="MH266" s="30"/>
      <c r="MI266" s="30"/>
      <c r="MJ266" s="30"/>
      <c r="MK266" s="30"/>
      <c r="ML266" s="30"/>
      <c r="MM266" s="30"/>
      <c r="MN266" s="30"/>
      <c r="MO266" s="30"/>
      <c r="MP266" s="30"/>
      <c r="MQ266" s="30"/>
      <c r="MR266" s="30"/>
      <c r="MS266" s="30"/>
      <c r="MT266" s="30"/>
      <c r="MU266" s="30"/>
      <c r="MV266" s="30"/>
      <c r="MW266" s="30"/>
      <c r="MX266" s="30"/>
      <c r="MY266" s="30"/>
      <c r="MZ266" s="30"/>
      <c r="NA266" s="30"/>
      <c r="NB266" s="30"/>
      <c r="NC266" s="30"/>
      <c r="ND266" s="30"/>
      <c r="NE266" s="30"/>
      <c r="NF266" s="30"/>
      <c r="NG266" s="30"/>
      <c r="NH266" s="30"/>
      <c r="NI266" s="30"/>
      <c r="NJ266" s="30"/>
      <c r="NK266" s="30"/>
      <c r="NL266" s="30"/>
      <c r="NM266" s="30"/>
      <c r="NN266" s="30"/>
      <c r="NO266" s="30"/>
      <c r="NP266" s="30"/>
      <c r="NQ266" s="30"/>
      <c r="NR266" s="30"/>
      <c r="NS266" s="30"/>
      <c r="NT266" s="30"/>
      <c r="NU266" s="30"/>
      <c r="NV266" s="30"/>
      <c r="NW266" s="30"/>
      <c r="NX266" s="30"/>
      <c r="NY266" s="30"/>
      <c r="NZ266" s="30"/>
      <c r="OA266" s="30"/>
      <c r="OB266" s="30"/>
      <c r="OC266" s="30"/>
      <c r="OD266" s="30"/>
      <c r="OE266" s="30"/>
      <c r="OF266" s="30"/>
      <c r="OG266" s="30"/>
      <c r="OH266" s="30"/>
      <c r="OI266" s="30"/>
      <c r="OJ266" s="30"/>
      <c r="OK266" s="30"/>
      <c r="OL266" s="30"/>
      <c r="OM266" s="30"/>
      <c r="ON266" s="30"/>
      <c r="OO266" s="30"/>
      <c r="OP266" s="30"/>
      <c r="OQ266" s="30"/>
      <c r="OR266" s="30"/>
      <c r="OS266" s="30"/>
      <c r="OT266" s="30"/>
      <c r="OU266" s="30"/>
      <c r="OV266" s="30"/>
      <c r="OW266" s="30"/>
      <c r="OX266" s="30"/>
      <c r="OY266" s="30"/>
      <c r="OZ266" s="30"/>
      <c r="PA266" s="30"/>
      <c r="PB266" s="30"/>
      <c r="PC266" s="30"/>
      <c r="PD266" s="30"/>
      <c r="PE266" s="30"/>
      <c r="PF266" s="30"/>
      <c r="PG266" s="30"/>
      <c r="PH266" s="30"/>
      <c r="PI266" s="30"/>
      <c r="PJ266" s="30"/>
      <c r="PK266" s="30"/>
      <c r="PL266" s="30"/>
      <c r="PM266" s="30"/>
      <c r="PN266" s="30"/>
      <c r="PO266" s="30"/>
      <c r="PP266" s="30"/>
      <c r="PQ266" s="30"/>
      <c r="PR266" s="30"/>
      <c r="PS266" s="30"/>
      <c r="PT266" s="30"/>
      <c r="PU266" s="30"/>
      <c r="PV266" s="30"/>
      <c r="PW266" s="30"/>
      <c r="PX266" s="30"/>
      <c r="PY266" s="30"/>
      <c r="PZ266" s="30"/>
      <c r="QA266" s="30"/>
      <c r="QB266" s="30"/>
      <c r="QC266" s="30"/>
      <c r="QD266" s="30"/>
      <c r="QE266" s="30"/>
      <c r="QF266" s="30"/>
      <c r="QG266" s="30"/>
      <c r="QH266" s="30"/>
      <c r="QI266" s="30"/>
      <c r="QJ266" s="30"/>
      <c r="QK266" s="30"/>
      <c r="QL266" s="30"/>
      <c r="QM266" s="30"/>
      <c r="QN266" s="30"/>
      <c r="QO266" s="30"/>
      <c r="QP266" s="30"/>
      <c r="QQ266" s="30"/>
      <c r="QR266" s="30"/>
      <c r="QS266" s="30"/>
      <c r="QT266" s="30"/>
      <c r="QU266" s="30"/>
      <c r="QV266" s="30"/>
      <c r="QW266" s="30"/>
      <c r="QX266" s="30"/>
      <c r="QY266" s="30"/>
      <c r="QZ266" s="30"/>
      <c r="RA266" s="30"/>
      <c r="RB266" s="30"/>
      <c r="RC266" s="30"/>
      <c r="RD266" s="30"/>
      <c r="RE266" s="30"/>
      <c r="RF266" s="30"/>
      <c r="RG266" s="30"/>
      <c r="RH266" s="30"/>
      <c r="RI266" s="30"/>
      <c r="RJ266" s="30"/>
      <c r="RK266" s="30"/>
      <c r="RL266" s="30"/>
      <c r="RM266" s="30"/>
      <c r="RN266" s="30"/>
      <c r="RO266" s="30"/>
      <c r="RP266" s="30"/>
      <c r="RQ266" s="30"/>
      <c r="RR266" s="30"/>
      <c r="RS266" s="30"/>
      <c r="RT266" s="30"/>
      <c r="RU266" s="30"/>
      <c r="RV266" s="30"/>
      <c r="RW266" s="30"/>
      <c r="RX266" s="30"/>
      <c r="RY266" s="30"/>
      <c r="RZ266" s="30"/>
      <c r="SA266" s="30"/>
      <c r="SB266" s="30"/>
      <c r="SC266" s="30"/>
      <c r="SD266" s="30"/>
      <c r="SE266" s="30"/>
      <c r="SF266" s="30"/>
      <c r="SG266" s="30"/>
      <c r="SH266" s="30"/>
      <c r="SI266" s="30"/>
      <c r="SJ266" s="30"/>
      <c r="SK266" s="30"/>
      <c r="SL266" s="30"/>
      <c r="SM266" s="30"/>
      <c r="SN266" s="30"/>
      <c r="SO266" s="30"/>
      <c r="SP266" s="30"/>
      <c r="SQ266" s="30"/>
      <c r="SR266" s="30"/>
      <c r="SS266" s="30"/>
      <c r="ST266" s="30"/>
      <c r="SU266" s="30"/>
      <c r="SV266" s="30"/>
      <c r="SW266" s="30"/>
      <c r="SX266" s="30"/>
      <c r="SY266" s="30"/>
      <c r="SZ266" s="30"/>
      <c r="TA266" s="30"/>
      <c r="TB266" s="30"/>
      <c r="TC266" s="30"/>
      <c r="TD266" s="30"/>
      <c r="TE266" s="30"/>
    </row>
    <row r="267" spans="1:525" s="22" customFormat="1" ht="120.75" customHeight="1" x14ac:dyDescent="0.25">
      <c r="A267" s="89" t="s">
        <v>295</v>
      </c>
      <c r="B267" s="42">
        <v>7691</v>
      </c>
      <c r="C267" s="42" t="s">
        <v>81</v>
      </c>
      <c r="D267" s="36" t="str">
        <f>'дод 5'!C226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7" s="141">
        <f t="shared" si="108"/>
        <v>0</v>
      </c>
      <c r="F267" s="141"/>
      <c r="G267" s="141"/>
      <c r="H267" s="141"/>
      <c r="I267" s="141"/>
      <c r="J267" s="141">
        <f t="shared" si="110"/>
        <v>2208261</v>
      </c>
      <c r="K267" s="141"/>
      <c r="L267" s="141">
        <v>300661</v>
      </c>
      <c r="M267" s="141"/>
      <c r="N267" s="141"/>
      <c r="O267" s="141">
        <v>1907600</v>
      </c>
      <c r="P267" s="141">
        <f t="shared" si="109"/>
        <v>2208261</v>
      </c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</row>
    <row r="268" spans="1:525" s="22" customFormat="1" ht="31.5" hidden="1" customHeight="1" x14ac:dyDescent="0.25">
      <c r="A268" s="89" t="s">
        <v>375</v>
      </c>
      <c r="B268" s="42" t="str">
        <f>'дод 5'!A234</f>
        <v>8110</v>
      </c>
      <c r="C268" s="42" t="str">
        <f>'дод 5'!B234</f>
        <v>0320</v>
      </c>
      <c r="D268" s="90" t="str">
        <f>'дод 5'!C234</f>
        <v>Заходи із запобігання та ліквідації надзвичайних ситуацій та наслідків стихійного лиха</v>
      </c>
      <c r="E268" s="141">
        <f t="shared" ref="E268" si="119">F268+I268</f>
        <v>0</v>
      </c>
      <c r="F268" s="141"/>
      <c r="G268" s="141"/>
      <c r="H268" s="141"/>
      <c r="I268" s="141"/>
      <c r="J268" s="141">
        <f t="shared" ref="J268" si="120">L268+O268</f>
        <v>0</v>
      </c>
      <c r="K268" s="141"/>
      <c r="L268" s="141"/>
      <c r="M268" s="141"/>
      <c r="N268" s="141"/>
      <c r="O268" s="141"/>
      <c r="P268" s="141">
        <f t="shared" ref="P268" si="121">E268+J268</f>
        <v>0</v>
      </c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</row>
    <row r="269" spans="1:525" s="22" customFormat="1" ht="15.75" hidden="1" customHeight="1" x14ac:dyDescent="0.25">
      <c r="A269" s="89" t="s">
        <v>374</v>
      </c>
      <c r="B269" s="42" t="str">
        <f>'дод 5'!A238</f>
        <v>8230</v>
      </c>
      <c r="C269" s="42" t="str">
        <f>'дод 5'!B238</f>
        <v>0380</v>
      </c>
      <c r="D269" s="90" t="str">
        <f>'дод 5'!C238</f>
        <v>Інші заходи громадського порядку та безпеки</v>
      </c>
      <c r="E269" s="141">
        <f t="shared" ref="E269" si="122">F269+I269</f>
        <v>0</v>
      </c>
      <c r="F269" s="141"/>
      <c r="G269" s="141"/>
      <c r="H269" s="141"/>
      <c r="I269" s="141"/>
      <c r="J269" s="141">
        <f t="shared" ref="J269" si="123">L269+O269</f>
        <v>0</v>
      </c>
      <c r="K269" s="141"/>
      <c r="L269" s="141"/>
      <c r="M269" s="141"/>
      <c r="N269" s="141"/>
      <c r="O269" s="141"/>
      <c r="P269" s="141">
        <f t="shared" ref="P269" si="124">E269+J269</f>
        <v>0</v>
      </c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</row>
    <row r="270" spans="1:525" s="22" customFormat="1" ht="35.25" customHeight="1" x14ac:dyDescent="0.25">
      <c r="A270" s="56" t="s">
        <v>200</v>
      </c>
      <c r="B270" s="84" t="str">
        <f>'дод 5'!A241</f>
        <v>8340</v>
      </c>
      <c r="C270" s="84" t="str">
        <f>'дод 5'!B241</f>
        <v>0540</v>
      </c>
      <c r="D270" s="57" t="str">
        <f>'дод 5'!C241</f>
        <v>Природоохоронні заходи за рахунок цільових фондів</v>
      </c>
      <c r="E270" s="141">
        <f t="shared" si="108"/>
        <v>0</v>
      </c>
      <c r="F270" s="141"/>
      <c r="G270" s="141"/>
      <c r="H270" s="141"/>
      <c r="I270" s="141"/>
      <c r="J270" s="141">
        <f t="shared" si="110"/>
        <v>3591000</v>
      </c>
      <c r="K270" s="141"/>
      <c r="L270" s="141">
        <f>3591000-310000</f>
        <v>3281000</v>
      </c>
      <c r="M270" s="141"/>
      <c r="N270" s="141"/>
      <c r="O270" s="141">
        <v>310000</v>
      </c>
      <c r="P270" s="141">
        <f t="shared" si="109"/>
        <v>3591000</v>
      </c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</row>
    <row r="271" spans="1:525" s="22" customFormat="1" ht="78.75" hidden="1" x14ac:dyDescent="0.25">
      <c r="A271" s="56" t="s">
        <v>547</v>
      </c>
      <c r="B271" s="84">
        <v>9730</v>
      </c>
      <c r="C271" s="56" t="s">
        <v>44</v>
      </c>
      <c r="D271" s="57" t="s">
        <v>548</v>
      </c>
      <c r="E271" s="141">
        <f t="shared" si="108"/>
        <v>0</v>
      </c>
      <c r="F271" s="141"/>
      <c r="G271" s="141"/>
      <c r="H271" s="141"/>
      <c r="I271" s="141"/>
      <c r="J271" s="141">
        <f t="shared" si="110"/>
        <v>0</v>
      </c>
      <c r="K271" s="141"/>
      <c r="L271" s="141"/>
      <c r="M271" s="141"/>
      <c r="N271" s="141"/>
      <c r="O271" s="141"/>
      <c r="P271" s="141">
        <f t="shared" si="109"/>
        <v>0</v>
      </c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</row>
    <row r="272" spans="1:525" s="22" customFormat="1" ht="36" customHeight="1" x14ac:dyDescent="0.25">
      <c r="A272" s="56" t="s">
        <v>608</v>
      </c>
      <c r="B272" s="84">
        <v>9750</v>
      </c>
      <c r="C272" s="56" t="s">
        <v>44</v>
      </c>
      <c r="D272" s="57" t="s">
        <v>508</v>
      </c>
      <c r="E272" s="141">
        <f t="shared" ref="E272" si="125">F272+I272</f>
        <v>0</v>
      </c>
      <c r="F272" s="141"/>
      <c r="G272" s="141"/>
      <c r="H272" s="141"/>
      <c r="I272" s="141"/>
      <c r="J272" s="141">
        <f t="shared" ref="J272" si="126">L272+O272</f>
        <v>800000</v>
      </c>
      <c r="K272" s="141">
        <v>800000</v>
      </c>
      <c r="L272" s="141"/>
      <c r="M272" s="141"/>
      <c r="N272" s="141"/>
      <c r="O272" s="141">
        <v>800000</v>
      </c>
      <c r="P272" s="141">
        <f t="shared" si="109"/>
        <v>800000</v>
      </c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</row>
    <row r="273" spans="1:525" s="22" customFormat="1" ht="20.25" customHeight="1" x14ac:dyDescent="0.25">
      <c r="A273" s="56" t="s">
        <v>201</v>
      </c>
      <c r="B273" s="84" t="str">
        <f>'дод 5'!A257</f>
        <v>9770</v>
      </c>
      <c r="C273" s="84" t="str">
        <f>'дод 5'!B257</f>
        <v>0180</v>
      </c>
      <c r="D273" s="57" t="str">
        <f>'дод 5'!C257</f>
        <v>Інші субвенції з місцевого бюджету</v>
      </c>
      <c r="E273" s="141">
        <f t="shared" si="108"/>
        <v>8896240</v>
      </c>
      <c r="F273" s="141">
        <v>8896240</v>
      </c>
      <c r="G273" s="141"/>
      <c r="H273" s="141"/>
      <c r="I273" s="141"/>
      <c r="J273" s="141">
        <f t="shared" si="110"/>
        <v>3103760</v>
      </c>
      <c r="K273" s="141">
        <v>3103760</v>
      </c>
      <c r="L273" s="141"/>
      <c r="M273" s="141"/>
      <c r="N273" s="141"/>
      <c r="O273" s="141">
        <v>3103760</v>
      </c>
      <c r="P273" s="141">
        <f t="shared" si="109"/>
        <v>12000000</v>
      </c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</row>
    <row r="274" spans="1:525" s="27" customFormat="1" ht="33.75" customHeight="1" x14ac:dyDescent="0.25">
      <c r="A274" s="96" t="s">
        <v>26</v>
      </c>
      <c r="B274" s="98"/>
      <c r="C274" s="98"/>
      <c r="D274" s="93" t="s">
        <v>33</v>
      </c>
      <c r="E274" s="139">
        <f>E275</f>
        <v>3433200</v>
      </c>
      <c r="F274" s="139">
        <f t="shared" ref="F274:J275" si="127">F275</f>
        <v>3433200</v>
      </c>
      <c r="G274" s="139">
        <f t="shared" si="127"/>
        <v>2493300</v>
      </c>
      <c r="H274" s="139">
        <f t="shared" si="127"/>
        <v>164100</v>
      </c>
      <c r="I274" s="139">
        <f t="shared" si="127"/>
        <v>0</v>
      </c>
      <c r="J274" s="139">
        <f t="shared" si="127"/>
        <v>0</v>
      </c>
      <c r="K274" s="139">
        <f t="shared" ref="K274:K275" si="128">K275</f>
        <v>0</v>
      </c>
      <c r="L274" s="139">
        <f t="shared" ref="L274:L275" si="129">L275</f>
        <v>0</v>
      </c>
      <c r="M274" s="139">
        <f t="shared" ref="M274:M275" si="130">M275</f>
        <v>0</v>
      </c>
      <c r="N274" s="139">
        <f t="shared" ref="N274:N275" si="131">N275</f>
        <v>0</v>
      </c>
      <c r="O274" s="139">
        <f t="shared" ref="O274:P275" si="132">O275</f>
        <v>0</v>
      </c>
      <c r="P274" s="139">
        <f t="shared" si="132"/>
        <v>3433200</v>
      </c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  <c r="IT274" s="32"/>
      <c r="IU274" s="32"/>
      <c r="IV274" s="32"/>
      <c r="IW274" s="32"/>
      <c r="IX274" s="32"/>
      <c r="IY274" s="32"/>
      <c r="IZ274" s="32"/>
      <c r="JA274" s="32"/>
      <c r="JB274" s="32"/>
      <c r="JC274" s="32"/>
      <c r="JD274" s="32"/>
      <c r="JE274" s="32"/>
      <c r="JF274" s="32"/>
      <c r="JG274" s="32"/>
      <c r="JH274" s="32"/>
      <c r="JI274" s="32"/>
      <c r="JJ274" s="32"/>
      <c r="JK274" s="32"/>
      <c r="JL274" s="32"/>
      <c r="JM274" s="32"/>
      <c r="JN274" s="32"/>
      <c r="JO274" s="32"/>
      <c r="JP274" s="32"/>
      <c r="JQ274" s="32"/>
      <c r="JR274" s="32"/>
      <c r="JS274" s="32"/>
      <c r="JT274" s="32"/>
      <c r="JU274" s="32"/>
      <c r="JV274" s="32"/>
      <c r="JW274" s="32"/>
      <c r="JX274" s="32"/>
      <c r="JY274" s="32"/>
      <c r="JZ274" s="32"/>
      <c r="KA274" s="32"/>
      <c r="KB274" s="32"/>
      <c r="KC274" s="32"/>
      <c r="KD274" s="32"/>
      <c r="KE274" s="32"/>
      <c r="KF274" s="32"/>
      <c r="KG274" s="32"/>
      <c r="KH274" s="32"/>
      <c r="KI274" s="32"/>
      <c r="KJ274" s="32"/>
      <c r="KK274" s="32"/>
      <c r="KL274" s="32"/>
      <c r="KM274" s="32"/>
      <c r="KN274" s="32"/>
      <c r="KO274" s="32"/>
      <c r="KP274" s="32"/>
      <c r="KQ274" s="32"/>
      <c r="KR274" s="32"/>
      <c r="KS274" s="32"/>
      <c r="KT274" s="32"/>
      <c r="KU274" s="32"/>
      <c r="KV274" s="32"/>
      <c r="KW274" s="32"/>
      <c r="KX274" s="32"/>
      <c r="KY274" s="32"/>
      <c r="KZ274" s="32"/>
      <c r="LA274" s="32"/>
      <c r="LB274" s="32"/>
      <c r="LC274" s="32"/>
      <c r="LD274" s="32"/>
      <c r="LE274" s="32"/>
      <c r="LF274" s="32"/>
      <c r="LG274" s="32"/>
      <c r="LH274" s="32"/>
      <c r="LI274" s="32"/>
      <c r="LJ274" s="32"/>
      <c r="LK274" s="32"/>
      <c r="LL274" s="32"/>
      <c r="LM274" s="32"/>
      <c r="LN274" s="32"/>
      <c r="LO274" s="32"/>
      <c r="LP274" s="32"/>
      <c r="LQ274" s="32"/>
      <c r="LR274" s="32"/>
      <c r="LS274" s="32"/>
      <c r="LT274" s="32"/>
      <c r="LU274" s="32"/>
      <c r="LV274" s="32"/>
      <c r="LW274" s="32"/>
      <c r="LX274" s="32"/>
      <c r="LY274" s="32"/>
      <c r="LZ274" s="32"/>
      <c r="MA274" s="32"/>
      <c r="MB274" s="32"/>
      <c r="MC274" s="32"/>
      <c r="MD274" s="32"/>
      <c r="ME274" s="32"/>
      <c r="MF274" s="32"/>
      <c r="MG274" s="32"/>
      <c r="MH274" s="32"/>
      <c r="MI274" s="32"/>
      <c r="MJ274" s="32"/>
      <c r="MK274" s="32"/>
      <c r="ML274" s="32"/>
      <c r="MM274" s="32"/>
      <c r="MN274" s="32"/>
      <c r="MO274" s="32"/>
      <c r="MP274" s="32"/>
      <c r="MQ274" s="32"/>
      <c r="MR274" s="32"/>
      <c r="MS274" s="32"/>
      <c r="MT274" s="32"/>
      <c r="MU274" s="32"/>
      <c r="MV274" s="32"/>
      <c r="MW274" s="32"/>
      <c r="MX274" s="32"/>
      <c r="MY274" s="32"/>
      <c r="MZ274" s="32"/>
      <c r="NA274" s="32"/>
      <c r="NB274" s="32"/>
      <c r="NC274" s="32"/>
      <c r="ND274" s="32"/>
      <c r="NE274" s="32"/>
      <c r="NF274" s="32"/>
      <c r="NG274" s="32"/>
      <c r="NH274" s="32"/>
      <c r="NI274" s="32"/>
      <c r="NJ274" s="32"/>
      <c r="NK274" s="32"/>
      <c r="NL274" s="32"/>
      <c r="NM274" s="32"/>
      <c r="NN274" s="32"/>
      <c r="NO274" s="32"/>
      <c r="NP274" s="32"/>
      <c r="NQ274" s="32"/>
      <c r="NR274" s="32"/>
      <c r="NS274" s="32"/>
      <c r="NT274" s="32"/>
      <c r="NU274" s="32"/>
      <c r="NV274" s="32"/>
      <c r="NW274" s="32"/>
      <c r="NX274" s="32"/>
      <c r="NY274" s="32"/>
      <c r="NZ274" s="32"/>
      <c r="OA274" s="32"/>
      <c r="OB274" s="32"/>
      <c r="OC274" s="32"/>
      <c r="OD274" s="32"/>
      <c r="OE274" s="32"/>
      <c r="OF274" s="32"/>
      <c r="OG274" s="32"/>
      <c r="OH274" s="32"/>
      <c r="OI274" s="32"/>
      <c r="OJ274" s="32"/>
      <c r="OK274" s="32"/>
      <c r="OL274" s="32"/>
      <c r="OM274" s="32"/>
      <c r="ON274" s="32"/>
      <c r="OO274" s="32"/>
      <c r="OP274" s="32"/>
      <c r="OQ274" s="32"/>
      <c r="OR274" s="32"/>
      <c r="OS274" s="32"/>
      <c r="OT274" s="32"/>
      <c r="OU274" s="32"/>
      <c r="OV274" s="32"/>
      <c r="OW274" s="32"/>
      <c r="OX274" s="32"/>
      <c r="OY274" s="32"/>
      <c r="OZ274" s="32"/>
      <c r="PA274" s="32"/>
      <c r="PB274" s="32"/>
      <c r="PC274" s="32"/>
      <c r="PD274" s="32"/>
      <c r="PE274" s="32"/>
      <c r="PF274" s="32"/>
      <c r="PG274" s="32"/>
      <c r="PH274" s="32"/>
      <c r="PI274" s="32"/>
      <c r="PJ274" s="32"/>
      <c r="PK274" s="32"/>
      <c r="PL274" s="32"/>
      <c r="PM274" s="32"/>
      <c r="PN274" s="32"/>
      <c r="PO274" s="32"/>
      <c r="PP274" s="32"/>
      <c r="PQ274" s="32"/>
      <c r="PR274" s="32"/>
      <c r="PS274" s="32"/>
      <c r="PT274" s="32"/>
      <c r="PU274" s="32"/>
      <c r="PV274" s="32"/>
      <c r="PW274" s="32"/>
      <c r="PX274" s="32"/>
      <c r="PY274" s="32"/>
      <c r="PZ274" s="32"/>
      <c r="QA274" s="32"/>
      <c r="QB274" s="32"/>
      <c r="QC274" s="32"/>
      <c r="QD274" s="32"/>
      <c r="QE274" s="32"/>
      <c r="QF274" s="32"/>
      <c r="QG274" s="32"/>
      <c r="QH274" s="32"/>
      <c r="QI274" s="32"/>
      <c r="QJ274" s="32"/>
      <c r="QK274" s="32"/>
      <c r="QL274" s="32"/>
      <c r="QM274" s="32"/>
      <c r="QN274" s="32"/>
      <c r="QO274" s="32"/>
      <c r="QP274" s="32"/>
      <c r="QQ274" s="32"/>
      <c r="QR274" s="32"/>
      <c r="QS274" s="32"/>
      <c r="QT274" s="32"/>
      <c r="QU274" s="32"/>
      <c r="QV274" s="32"/>
      <c r="QW274" s="32"/>
      <c r="QX274" s="32"/>
      <c r="QY274" s="32"/>
      <c r="QZ274" s="32"/>
      <c r="RA274" s="32"/>
      <c r="RB274" s="32"/>
      <c r="RC274" s="32"/>
      <c r="RD274" s="32"/>
      <c r="RE274" s="32"/>
      <c r="RF274" s="32"/>
      <c r="RG274" s="32"/>
      <c r="RH274" s="32"/>
      <c r="RI274" s="32"/>
      <c r="RJ274" s="32"/>
      <c r="RK274" s="32"/>
      <c r="RL274" s="32"/>
      <c r="RM274" s="32"/>
      <c r="RN274" s="32"/>
      <c r="RO274" s="32"/>
      <c r="RP274" s="32"/>
      <c r="RQ274" s="32"/>
      <c r="RR274" s="32"/>
      <c r="RS274" s="32"/>
      <c r="RT274" s="32"/>
      <c r="RU274" s="32"/>
      <c r="RV274" s="32"/>
      <c r="RW274" s="32"/>
      <c r="RX274" s="32"/>
      <c r="RY274" s="32"/>
      <c r="RZ274" s="32"/>
      <c r="SA274" s="32"/>
      <c r="SB274" s="32"/>
      <c r="SC274" s="32"/>
      <c r="SD274" s="32"/>
      <c r="SE274" s="32"/>
      <c r="SF274" s="32"/>
      <c r="SG274" s="32"/>
      <c r="SH274" s="32"/>
      <c r="SI274" s="32"/>
      <c r="SJ274" s="32"/>
      <c r="SK274" s="32"/>
      <c r="SL274" s="32"/>
      <c r="SM274" s="32"/>
      <c r="SN274" s="32"/>
      <c r="SO274" s="32"/>
      <c r="SP274" s="32"/>
      <c r="SQ274" s="32"/>
      <c r="SR274" s="32"/>
      <c r="SS274" s="32"/>
      <c r="ST274" s="32"/>
      <c r="SU274" s="32"/>
      <c r="SV274" s="32"/>
      <c r="SW274" s="32"/>
      <c r="SX274" s="32"/>
      <c r="SY274" s="32"/>
      <c r="SZ274" s="32"/>
      <c r="TA274" s="32"/>
      <c r="TB274" s="32"/>
      <c r="TC274" s="32"/>
      <c r="TD274" s="32"/>
      <c r="TE274" s="32"/>
    </row>
    <row r="275" spans="1:525" s="34" customFormat="1" ht="36.75" customHeight="1" x14ac:dyDescent="0.25">
      <c r="A275" s="86" t="s">
        <v>116</v>
      </c>
      <c r="B275" s="95"/>
      <c r="C275" s="95"/>
      <c r="D275" s="70" t="s">
        <v>33</v>
      </c>
      <c r="E275" s="140">
        <f>E276</f>
        <v>3433200</v>
      </c>
      <c r="F275" s="140">
        <f t="shared" si="127"/>
        <v>3433200</v>
      </c>
      <c r="G275" s="140">
        <f t="shared" si="127"/>
        <v>2493300</v>
      </c>
      <c r="H275" s="140">
        <f t="shared" si="127"/>
        <v>164100</v>
      </c>
      <c r="I275" s="140">
        <f t="shared" si="127"/>
        <v>0</v>
      </c>
      <c r="J275" s="140">
        <f t="shared" si="127"/>
        <v>0</v>
      </c>
      <c r="K275" s="140">
        <f t="shared" si="128"/>
        <v>0</v>
      </c>
      <c r="L275" s="140">
        <f t="shared" si="129"/>
        <v>0</v>
      </c>
      <c r="M275" s="140">
        <f t="shared" si="130"/>
        <v>0</v>
      </c>
      <c r="N275" s="140">
        <f t="shared" si="131"/>
        <v>0</v>
      </c>
      <c r="O275" s="140">
        <f t="shared" si="132"/>
        <v>0</v>
      </c>
      <c r="P275" s="140">
        <f t="shared" si="132"/>
        <v>3433200</v>
      </c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  <c r="GB275" s="33"/>
      <c r="GC275" s="33"/>
      <c r="GD275" s="33"/>
      <c r="GE275" s="33"/>
      <c r="GF275" s="33"/>
      <c r="GG275" s="33"/>
      <c r="GH275" s="33"/>
      <c r="GI275" s="33"/>
      <c r="GJ275" s="33"/>
      <c r="GK275" s="33"/>
      <c r="GL275" s="33"/>
      <c r="GM275" s="33"/>
      <c r="GN275" s="33"/>
      <c r="GO275" s="33"/>
      <c r="GP275" s="33"/>
      <c r="GQ275" s="33"/>
      <c r="GR275" s="33"/>
      <c r="GS275" s="33"/>
      <c r="GT275" s="33"/>
      <c r="GU275" s="33"/>
      <c r="GV275" s="33"/>
      <c r="GW275" s="33"/>
      <c r="GX275" s="33"/>
      <c r="GY275" s="33"/>
      <c r="GZ275" s="33"/>
      <c r="HA275" s="33"/>
      <c r="HB275" s="33"/>
      <c r="HC275" s="33"/>
      <c r="HD275" s="33"/>
      <c r="HE275" s="33"/>
      <c r="HF275" s="33"/>
      <c r="HG275" s="33"/>
      <c r="HH275" s="33"/>
      <c r="HI275" s="33"/>
      <c r="HJ275" s="33"/>
      <c r="HK275" s="33"/>
      <c r="HL275" s="33"/>
      <c r="HM275" s="33"/>
      <c r="HN275" s="33"/>
      <c r="HO275" s="33"/>
      <c r="HP275" s="33"/>
      <c r="HQ275" s="33"/>
      <c r="HR275" s="33"/>
      <c r="HS275" s="33"/>
      <c r="HT275" s="33"/>
      <c r="HU275" s="33"/>
      <c r="HV275" s="33"/>
      <c r="HW275" s="33"/>
      <c r="HX275" s="33"/>
      <c r="HY275" s="33"/>
      <c r="HZ275" s="33"/>
      <c r="IA275" s="33"/>
      <c r="IB275" s="33"/>
      <c r="IC275" s="33"/>
      <c r="ID275" s="33"/>
      <c r="IE275" s="33"/>
      <c r="IF275" s="33"/>
      <c r="IG275" s="33"/>
      <c r="IH275" s="33"/>
      <c r="II275" s="33"/>
      <c r="IJ275" s="33"/>
      <c r="IK275" s="33"/>
      <c r="IL275" s="33"/>
      <c r="IM275" s="33"/>
      <c r="IN275" s="33"/>
      <c r="IO275" s="33"/>
      <c r="IP275" s="33"/>
      <c r="IQ275" s="33"/>
      <c r="IR275" s="33"/>
      <c r="IS275" s="33"/>
      <c r="IT275" s="33"/>
      <c r="IU275" s="33"/>
      <c r="IV275" s="33"/>
      <c r="IW275" s="33"/>
      <c r="IX275" s="33"/>
      <c r="IY275" s="33"/>
      <c r="IZ275" s="33"/>
      <c r="JA275" s="33"/>
      <c r="JB275" s="33"/>
      <c r="JC275" s="33"/>
      <c r="JD275" s="33"/>
      <c r="JE275" s="33"/>
      <c r="JF275" s="33"/>
      <c r="JG275" s="33"/>
      <c r="JH275" s="33"/>
      <c r="JI275" s="33"/>
      <c r="JJ275" s="33"/>
      <c r="JK275" s="33"/>
      <c r="JL275" s="33"/>
      <c r="JM275" s="33"/>
      <c r="JN275" s="33"/>
      <c r="JO275" s="33"/>
      <c r="JP275" s="33"/>
      <c r="JQ275" s="33"/>
      <c r="JR275" s="33"/>
      <c r="JS275" s="33"/>
      <c r="JT275" s="33"/>
      <c r="JU275" s="33"/>
      <c r="JV275" s="33"/>
      <c r="JW275" s="33"/>
      <c r="JX275" s="33"/>
      <c r="JY275" s="33"/>
      <c r="JZ275" s="33"/>
      <c r="KA275" s="33"/>
      <c r="KB275" s="33"/>
      <c r="KC275" s="33"/>
      <c r="KD275" s="33"/>
      <c r="KE275" s="33"/>
      <c r="KF275" s="33"/>
      <c r="KG275" s="33"/>
      <c r="KH275" s="33"/>
      <c r="KI275" s="33"/>
      <c r="KJ275" s="33"/>
      <c r="KK275" s="33"/>
      <c r="KL275" s="33"/>
      <c r="KM275" s="33"/>
      <c r="KN275" s="33"/>
      <c r="KO275" s="33"/>
      <c r="KP275" s="33"/>
      <c r="KQ275" s="33"/>
      <c r="KR275" s="33"/>
      <c r="KS275" s="33"/>
      <c r="KT275" s="33"/>
      <c r="KU275" s="33"/>
      <c r="KV275" s="33"/>
      <c r="KW275" s="33"/>
      <c r="KX275" s="33"/>
      <c r="KY275" s="33"/>
      <c r="KZ275" s="33"/>
      <c r="LA275" s="33"/>
      <c r="LB275" s="33"/>
      <c r="LC275" s="33"/>
      <c r="LD275" s="33"/>
      <c r="LE275" s="33"/>
      <c r="LF275" s="33"/>
      <c r="LG275" s="33"/>
      <c r="LH275" s="33"/>
      <c r="LI275" s="33"/>
      <c r="LJ275" s="33"/>
      <c r="LK275" s="33"/>
      <c r="LL275" s="33"/>
      <c r="LM275" s="33"/>
      <c r="LN275" s="33"/>
      <c r="LO275" s="33"/>
      <c r="LP275" s="33"/>
      <c r="LQ275" s="33"/>
      <c r="LR275" s="33"/>
      <c r="LS275" s="33"/>
      <c r="LT275" s="33"/>
      <c r="LU275" s="33"/>
      <c r="LV275" s="33"/>
      <c r="LW275" s="33"/>
      <c r="LX275" s="33"/>
      <c r="LY275" s="33"/>
      <c r="LZ275" s="33"/>
      <c r="MA275" s="33"/>
      <c r="MB275" s="33"/>
      <c r="MC275" s="33"/>
      <c r="MD275" s="33"/>
      <c r="ME275" s="33"/>
      <c r="MF275" s="33"/>
      <c r="MG275" s="33"/>
      <c r="MH275" s="33"/>
      <c r="MI275" s="33"/>
      <c r="MJ275" s="33"/>
      <c r="MK275" s="33"/>
      <c r="ML275" s="33"/>
      <c r="MM275" s="33"/>
      <c r="MN275" s="33"/>
      <c r="MO275" s="33"/>
      <c r="MP275" s="33"/>
      <c r="MQ275" s="33"/>
      <c r="MR275" s="33"/>
      <c r="MS275" s="33"/>
      <c r="MT275" s="33"/>
      <c r="MU275" s="33"/>
      <c r="MV275" s="33"/>
      <c r="MW275" s="33"/>
      <c r="MX275" s="33"/>
      <c r="MY275" s="33"/>
      <c r="MZ275" s="33"/>
      <c r="NA275" s="33"/>
      <c r="NB275" s="33"/>
      <c r="NC275" s="33"/>
      <c r="ND275" s="33"/>
      <c r="NE275" s="33"/>
      <c r="NF275" s="33"/>
      <c r="NG275" s="33"/>
      <c r="NH275" s="33"/>
      <c r="NI275" s="33"/>
      <c r="NJ275" s="33"/>
      <c r="NK275" s="33"/>
      <c r="NL275" s="33"/>
      <c r="NM275" s="33"/>
      <c r="NN275" s="33"/>
      <c r="NO275" s="33"/>
      <c r="NP275" s="33"/>
      <c r="NQ275" s="33"/>
      <c r="NR275" s="33"/>
      <c r="NS275" s="33"/>
      <c r="NT275" s="33"/>
      <c r="NU275" s="33"/>
      <c r="NV275" s="33"/>
      <c r="NW275" s="33"/>
      <c r="NX275" s="33"/>
      <c r="NY275" s="33"/>
      <c r="NZ275" s="33"/>
      <c r="OA275" s="33"/>
      <c r="OB275" s="33"/>
      <c r="OC275" s="33"/>
      <c r="OD275" s="33"/>
      <c r="OE275" s="33"/>
      <c r="OF275" s="33"/>
      <c r="OG275" s="33"/>
      <c r="OH275" s="33"/>
      <c r="OI275" s="33"/>
      <c r="OJ275" s="33"/>
      <c r="OK275" s="33"/>
      <c r="OL275" s="33"/>
      <c r="OM275" s="33"/>
      <c r="ON275" s="33"/>
      <c r="OO275" s="33"/>
      <c r="OP275" s="33"/>
      <c r="OQ275" s="33"/>
      <c r="OR275" s="33"/>
      <c r="OS275" s="33"/>
      <c r="OT275" s="33"/>
      <c r="OU275" s="33"/>
      <c r="OV275" s="33"/>
      <c r="OW275" s="33"/>
      <c r="OX275" s="33"/>
      <c r="OY275" s="33"/>
      <c r="OZ275" s="33"/>
      <c r="PA275" s="33"/>
      <c r="PB275" s="33"/>
      <c r="PC275" s="33"/>
      <c r="PD275" s="33"/>
      <c r="PE275" s="33"/>
      <c r="PF275" s="33"/>
      <c r="PG275" s="33"/>
      <c r="PH275" s="33"/>
      <c r="PI275" s="33"/>
      <c r="PJ275" s="33"/>
      <c r="PK275" s="33"/>
      <c r="PL275" s="33"/>
      <c r="PM275" s="33"/>
      <c r="PN275" s="33"/>
      <c r="PO275" s="33"/>
      <c r="PP275" s="33"/>
      <c r="PQ275" s="33"/>
      <c r="PR275" s="33"/>
      <c r="PS275" s="33"/>
      <c r="PT275" s="33"/>
      <c r="PU275" s="33"/>
      <c r="PV275" s="33"/>
      <c r="PW275" s="33"/>
      <c r="PX275" s="33"/>
      <c r="PY275" s="33"/>
      <c r="PZ275" s="33"/>
      <c r="QA275" s="33"/>
      <c r="QB275" s="33"/>
      <c r="QC275" s="33"/>
      <c r="QD275" s="33"/>
      <c r="QE275" s="33"/>
      <c r="QF275" s="33"/>
      <c r="QG275" s="33"/>
      <c r="QH275" s="33"/>
      <c r="QI275" s="33"/>
      <c r="QJ275" s="33"/>
      <c r="QK275" s="33"/>
      <c r="QL275" s="33"/>
      <c r="QM275" s="33"/>
      <c r="QN275" s="33"/>
      <c r="QO275" s="33"/>
      <c r="QP275" s="33"/>
      <c r="QQ275" s="33"/>
      <c r="QR275" s="33"/>
      <c r="QS275" s="33"/>
      <c r="QT275" s="33"/>
      <c r="QU275" s="33"/>
      <c r="QV275" s="33"/>
      <c r="QW275" s="33"/>
      <c r="QX275" s="33"/>
      <c r="QY275" s="33"/>
      <c r="QZ275" s="33"/>
      <c r="RA275" s="33"/>
      <c r="RB275" s="33"/>
      <c r="RC275" s="33"/>
      <c r="RD275" s="33"/>
      <c r="RE275" s="33"/>
      <c r="RF275" s="33"/>
      <c r="RG275" s="33"/>
      <c r="RH275" s="33"/>
      <c r="RI275" s="33"/>
      <c r="RJ275" s="33"/>
      <c r="RK275" s="33"/>
      <c r="RL275" s="33"/>
      <c r="RM275" s="33"/>
      <c r="RN275" s="33"/>
      <c r="RO275" s="33"/>
      <c r="RP275" s="33"/>
      <c r="RQ275" s="33"/>
      <c r="RR275" s="33"/>
      <c r="RS275" s="33"/>
      <c r="RT275" s="33"/>
      <c r="RU275" s="33"/>
      <c r="RV275" s="33"/>
      <c r="RW275" s="33"/>
      <c r="RX275" s="33"/>
      <c r="RY275" s="33"/>
      <c r="RZ275" s="33"/>
      <c r="SA275" s="33"/>
      <c r="SB275" s="33"/>
      <c r="SC275" s="33"/>
      <c r="SD275" s="33"/>
      <c r="SE275" s="33"/>
      <c r="SF275" s="33"/>
      <c r="SG275" s="33"/>
      <c r="SH275" s="33"/>
      <c r="SI275" s="33"/>
      <c r="SJ275" s="33"/>
      <c r="SK275" s="33"/>
      <c r="SL275" s="33"/>
      <c r="SM275" s="33"/>
      <c r="SN275" s="33"/>
      <c r="SO275" s="33"/>
      <c r="SP275" s="33"/>
      <c r="SQ275" s="33"/>
      <c r="SR275" s="33"/>
      <c r="SS275" s="33"/>
      <c r="ST275" s="33"/>
      <c r="SU275" s="33"/>
      <c r="SV275" s="33"/>
      <c r="SW275" s="33"/>
      <c r="SX275" s="33"/>
      <c r="SY275" s="33"/>
      <c r="SZ275" s="33"/>
      <c r="TA275" s="33"/>
      <c r="TB275" s="33"/>
      <c r="TC275" s="33"/>
      <c r="TD275" s="33"/>
      <c r="TE275" s="33"/>
    </row>
    <row r="276" spans="1:525" s="22" customFormat="1" ht="40.5" customHeight="1" x14ac:dyDescent="0.25">
      <c r="A276" s="56" t="s">
        <v>0</v>
      </c>
      <c r="B276" s="84" t="str">
        <f>'дод 5'!A18</f>
        <v>0160</v>
      </c>
      <c r="C276" s="84" t="str">
        <f>'дод 5'!B18</f>
        <v>0111</v>
      </c>
      <c r="D276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76" s="141">
        <f>F276+I276</f>
        <v>3433200</v>
      </c>
      <c r="F276" s="141">
        <f>7018700-3585500</f>
        <v>3433200</v>
      </c>
      <c r="G276" s="141">
        <f>5432200-2938900</f>
        <v>2493300</v>
      </c>
      <c r="H276" s="141">
        <v>164100</v>
      </c>
      <c r="I276" s="141"/>
      <c r="J276" s="141">
        <f>L276+O276</f>
        <v>0</v>
      </c>
      <c r="K276" s="141">
        <f>8000-8000</f>
        <v>0</v>
      </c>
      <c r="L276" s="141"/>
      <c r="M276" s="141"/>
      <c r="N276" s="141"/>
      <c r="O276" s="141">
        <f>8000-8000</f>
        <v>0</v>
      </c>
      <c r="P276" s="141">
        <f>E276+J276</f>
        <v>3433200</v>
      </c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</row>
    <row r="277" spans="1:525" s="27" customFormat="1" ht="52.5" customHeight="1" x14ac:dyDescent="0.25">
      <c r="A277" s="96" t="s">
        <v>27</v>
      </c>
      <c r="B277" s="98"/>
      <c r="C277" s="98"/>
      <c r="D277" s="93" t="s">
        <v>32</v>
      </c>
      <c r="E277" s="139">
        <f>E278</f>
        <v>5132838</v>
      </c>
      <c r="F277" s="139">
        <f t="shared" ref="F277:J277" si="133">F278</f>
        <v>5132838</v>
      </c>
      <c r="G277" s="139">
        <f t="shared" si="133"/>
        <v>3599700</v>
      </c>
      <c r="H277" s="139">
        <f t="shared" si="133"/>
        <v>0</v>
      </c>
      <c r="I277" s="139">
        <f t="shared" si="133"/>
        <v>0</v>
      </c>
      <c r="J277" s="139">
        <f t="shared" si="133"/>
        <v>358501886</v>
      </c>
      <c r="K277" s="139">
        <f t="shared" ref="K277" si="134">K278</f>
        <v>352596117</v>
      </c>
      <c r="L277" s="139">
        <f t="shared" ref="L277" si="135">L278</f>
        <v>1752000</v>
      </c>
      <c r="M277" s="139">
        <f t="shared" ref="M277" si="136">M278</f>
        <v>1106600</v>
      </c>
      <c r="N277" s="139">
        <f t="shared" ref="N277" si="137">N278</f>
        <v>157500</v>
      </c>
      <c r="O277" s="139">
        <f t="shared" ref="O277:P277" si="138">O278</f>
        <v>356749886</v>
      </c>
      <c r="P277" s="139">
        <f t="shared" si="138"/>
        <v>363634724</v>
      </c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 s="32"/>
      <c r="EI277" s="32"/>
      <c r="EJ277" s="32"/>
      <c r="EK277" s="32"/>
      <c r="EL277" s="32"/>
      <c r="EM277" s="32"/>
      <c r="EN277" s="32"/>
      <c r="EO277" s="32"/>
      <c r="EP277" s="32"/>
      <c r="EQ277" s="32"/>
      <c r="ER277" s="32"/>
      <c r="ES277" s="32"/>
      <c r="ET277" s="32"/>
      <c r="EU277" s="32"/>
      <c r="EV277" s="32"/>
      <c r="EW277" s="32"/>
      <c r="EX277" s="32"/>
      <c r="EY277" s="32"/>
      <c r="EZ277" s="32"/>
      <c r="FA277" s="32"/>
      <c r="FB277" s="32"/>
      <c r="FC277" s="32"/>
      <c r="FD277" s="32"/>
      <c r="FE277" s="32"/>
      <c r="FF277" s="32"/>
      <c r="FG277" s="32"/>
      <c r="FH277" s="32"/>
      <c r="FI277" s="32"/>
      <c r="FJ277" s="32"/>
      <c r="FK277" s="32"/>
      <c r="FL277" s="32"/>
      <c r="FM277" s="32"/>
      <c r="FN277" s="32"/>
      <c r="FO277" s="32"/>
      <c r="FP277" s="32"/>
      <c r="FQ277" s="32"/>
      <c r="FR277" s="32"/>
      <c r="FS277" s="32"/>
      <c r="FT277" s="32"/>
      <c r="FU277" s="32"/>
      <c r="FV277" s="32"/>
      <c r="FW277" s="32"/>
      <c r="FX277" s="32"/>
      <c r="FY277" s="32"/>
      <c r="FZ277" s="32"/>
      <c r="GA277" s="32"/>
      <c r="GB277" s="32"/>
      <c r="GC277" s="32"/>
      <c r="GD277" s="32"/>
      <c r="GE277" s="32"/>
      <c r="GF277" s="32"/>
      <c r="GG277" s="32"/>
      <c r="GH277" s="32"/>
      <c r="GI277" s="32"/>
      <c r="GJ277" s="32"/>
      <c r="GK277" s="32"/>
      <c r="GL277" s="32"/>
      <c r="GM277" s="32"/>
      <c r="GN277" s="32"/>
      <c r="GO277" s="32"/>
      <c r="GP277" s="32"/>
      <c r="GQ277" s="32"/>
      <c r="GR277" s="32"/>
      <c r="GS277" s="32"/>
      <c r="GT277" s="32"/>
      <c r="GU277" s="32"/>
      <c r="GV277" s="32"/>
      <c r="GW277" s="32"/>
      <c r="GX277" s="32"/>
      <c r="GY277" s="32"/>
      <c r="GZ277" s="32"/>
      <c r="HA277" s="32"/>
      <c r="HB277" s="32"/>
      <c r="HC277" s="32"/>
      <c r="HD277" s="32"/>
      <c r="HE277" s="32"/>
      <c r="HF277" s="32"/>
      <c r="HG277" s="32"/>
      <c r="HH277" s="32"/>
      <c r="HI277" s="32"/>
      <c r="HJ277" s="32"/>
      <c r="HK277" s="32"/>
      <c r="HL277" s="32"/>
      <c r="HM277" s="32"/>
      <c r="HN277" s="32"/>
      <c r="HO277" s="32"/>
      <c r="HP277" s="32"/>
      <c r="HQ277" s="32"/>
      <c r="HR277" s="32"/>
      <c r="HS277" s="32"/>
      <c r="HT277" s="32"/>
      <c r="HU277" s="32"/>
      <c r="HV277" s="32"/>
      <c r="HW277" s="32"/>
      <c r="HX277" s="32"/>
      <c r="HY277" s="32"/>
      <c r="HZ277" s="32"/>
      <c r="IA277" s="32"/>
      <c r="IB277" s="32"/>
      <c r="IC277" s="32"/>
      <c r="ID277" s="32"/>
      <c r="IE277" s="32"/>
      <c r="IF277" s="32"/>
      <c r="IG277" s="32"/>
      <c r="IH277" s="32"/>
      <c r="II277" s="32"/>
      <c r="IJ277" s="32"/>
      <c r="IK277" s="32"/>
      <c r="IL277" s="32"/>
      <c r="IM277" s="32"/>
      <c r="IN277" s="32"/>
      <c r="IO277" s="32"/>
      <c r="IP277" s="32"/>
      <c r="IQ277" s="32"/>
      <c r="IR277" s="32"/>
      <c r="IS277" s="32"/>
      <c r="IT277" s="32"/>
      <c r="IU277" s="32"/>
      <c r="IV277" s="32"/>
      <c r="IW277" s="32"/>
      <c r="IX277" s="32"/>
      <c r="IY277" s="32"/>
      <c r="IZ277" s="32"/>
      <c r="JA277" s="32"/>
      <c r="JB277" s="32"/>
      <c r="JC277" s="32"/>
      <c r="JD277" s="32"/>
      <c r="JE277" s="32"/>
      <c r="JF277" s="32"/>
      <c r="JG277" s="32"/>
      <c r="JH277" s="32"/>
      <c r="JI277" s="32"/>
      <c r="JJ277" s="32"/>
      <c r="JK277" s="32"/>
      <c r="JL277" s="32"/>
      <c r="JM277" s="32"/>
      <c r="JN277" s="32"/>
      <c r="JO277" s="32"/>
      <c r="JP277" s="32"/>
      <c r="JQ277" s="32"/>
      <c r="JR277" s="32"/>
      <c r="JS277" s="32"/>
      <c r="JT277" s="32"/>
      <c r="JU277" s="32"/>
      <c r="JV277" s="32"/>
      <c r="JW277" s="32"/>
      <c r="JX277" s="32"/>
      <c r="JY277" s="32"/>
      <c r="JZ277" s="32"/>
      <c r="KA277" s="32"/>
      <c r="KB277" s="32"/>
      <c r="KC277" s="32"/>
      <c r="KD277" s="32"/>
      <c r="KE277" s="32"/>
      <c r="KF277" s="32"/>
      <c r="KG277" s="32"/>
      <c r="KH277" s="32"/>
      <c r="KI277" s="32"/>
      <c r="KJ277" s="32"/>
      <c r="KK277" s="32"/>
      <c r="KL277" s="32"/>
      <c r="KM277" s="32"/>
      <c r="KN277" s="32"/>
      <c r="KO277" s="32"/>
      <c r="KP277" s="32"/>
      <c r="KQ277" s="32"/>
      <c r="KR277" s="32"/>
      <c r="KS277" s="32"/>
      <c r="KT277" s="32"/>
      <c r="KU277" s="32"/>
      <c r="KV277" s="32"/>
      <c r="KW277" s="32"/>
      <c r="KX277" s="32"/>
      <c r="KY277" s="32"/>
      <c r="KZ277" s="32"/>
      <c r="LA277" s="32"/>
      <c r="LB277" s="32"/>
      <c r="LC277" s="32"/>
      <c r="LD277" s="32"/>
      <c r="LE277" s="32"/>
      <c r="LF277" s="32"/>
      <c r="LG277" s="32"/>
      <c r="LH277" s="32"/>
      <c r="LI277" s="32"/>
      <c r="LJ277" s="32"/>
      <c r="LK277" s="32"/>
      <c r="LL277" s="32"/>
      <c r="LM277" s="32"/>
      <c r="LN277" s="32"/>
      <c r="LO277" s="32"/>
      <c r="LP277" s="32"/>
      <c r="LQ277" s="32"/>
      <c r="LR277" s="32"/>
      <c r="LS277" s="32"/>
      <c r="LT277" s="32"/>
      <c r="LU277" s="32"/>
      <c r="LV277" s="32"/>
      <c r="LW277" s="32"/>
      <c r="LX277" s="32"/>
      <c r="LY277" s="32"/>
      <c r="LZ277" s="32"/>
      <c r="MA277" s="32"/>
      <c r="MB277" s="32"/>
      <c r="MC277" s="32"/>
      <c r="MD277" s="32"/>
      <c r="ME277" s="32"/>
      <c r="MF277" s="32"/>
      <c r="MG277" s="32"/>
      <c r="MH277" s="32"/>
      <c r="MI277" s="32"/>
      <c r="MJ277" s="32"/>
      <c r="MK277" s="32"/>
      <c r="ML277" s="32"/>
      <c r="MM277" s="32"/>
      <c r="MN277" s="32"/>
      <c r="MO277" s="32"/>
      <c r="MP277" s="32"/>
      <c r="MQ277" s="32"/>
      <c r="MR277" s="32"/>
      <c r="MS277" s="32"/>
      <c r="MT277" s="32"/>
      <c r="MU277" s="32"/>
      <c r="MV277" s="32"/>
      <c r="MW277" s="32"/>
      <c r="MX277" s="32"/>
      <c r="MY277" s="32"/>
      <c r="MZ277" s="32"/>
      <c r="NA277" s="32"/>
      <c r="NB277" s="32"/>
      <c r="NC277" s="32"/>
      <c r="ND277" s="32"/>
      <c r="NE277" s="32"/>
      <c r="NF277" s="32"/>
      <c r="NG277" s="32"/>
      <c r="NH277" s="32"/>
      <c r="NI277" s="32"/>
      <c r="NJ277" s="32"/>
      <c r="NK277" s="32"/>
      <c r="NL277" s="32"/>
      <c r="NM277" s="32"/>
      <c r="NN277" s="32"/>
      <c r="NO277" s="32"/>
      <c r="NP277" s="32"/>
      <c r="NQ277" s="32"/>
      <c r="NR277" s="32"/>
      <c r="NS277" s="32"/>
      <c r="NT277" s="32"/>
      <c r="NU277" s="32"/>
      <c r="NV277" s="32"/>
      <c r="NW277" s="32"/>
      <c r="NX277" s="32"/>
      <c r="NY277" s="32"/>
      <c r="NZ277" s="32"/>
      <c r="OA277" s="32"/>
      <c r="OB277" s="32"/>
      <c r="OC277" s="32"/>
      <c r="OD277" s="32"/>
      <c r="OE277" s="32"/>
      <c r="OF277" s="32"/>
      <c r="OG277" s="32"/>
      <c r="OH277" s="32"/>
      <c r="OI277" s="32"/>
      <c r="OJ277" s="32"/>
      <c r="OK277" s="32"/>
      <c r="OL277" s="32"/>
      <c r="OM277" s="32"/>
      <c r="ON277" s="32"/>
      <c r="OO277" s="32"/>
      <c r="OP277" s="32"/>
      <c r="OQ277" s="32"/>
      <c r="OR277" s="32"/>
      <c r="OS277" s="32"/>
      <c r="OT277" s="32"/>
      <c r="OU277" s="32"/>
      <c r="OV277" s="32"/>
      <c r="OW277" s="32"/>
      <c r="OX277" s="32"/>
      <c r="OY277" s="32"/>
      <c r="OZ277" s="32"/>
      <c r="PA277" s="32"/>
      <c r="PB277" s="32"/>
      <c r="PC277" s="32"/>
      <c r="PD277" s="32"/>
      <c r="PE277" s="32"/>
      <c r="PF277" s="32"/>
      <c r="PG277" s="32"/>
      <c r="PH277" s="32"/>
      <c r="PI277" s="32"/>
      <c r="PJ277" s="32"/>
      <c r="PK277" s="32"/>
      <c r="PL277" s="32"/>
      <c r="PM277" s="32"/>
      <c r="PN277" s="32"/>
      <c r="PO277" s="32"/>
      <c r="PP277" s="32"/>
      <c r="PQ277" s="32"/>
      <c r="PR277" s="32"/>
      <c r="PS277" s="32"/>
      <c r="PT277" s="32"/>
      <c r="PU277" s="32"/>
      <c r="PV277" s="32"/>
      <c r="PW277" s="32"/>
      <c r="PX277" s="32"/>
      <c r="PY277" s="32"/>
      <c r="PZ277" s="32"/>
      <c r="QA277" s="32"/>
      <c r="QB277" s="32"/>
      <c r="QC277" s="32"/>
      <c r="QD277" s="32"/>
      <c r="QE277" s="32"/>
      <c r="QF277" s="32"/>
      <c r="QG277" s="32"/>
      <c r="QH277" s="32"/>
      <c r="QI277" s="32"/>
      <c r="QJ277" s="32"/>
      <c r="QK277" s="32"/>
      <c r="QL277" s="32"/>
      <c r="QM277" s="32"/>
      <c r="QN277" s="32"/>
      <c r="QO277" s="32"/>
      <c r="QP277" s="32"/>
      <c r="QQ277" s="32"/>
      <c r="QR277" s="32"/>
      <c r="QS277" s="32"/>
      <c r="QT277" s="32"/>
      <c r="QU277" s="32"/>
      <c r="QV277" s="32"/>
      <c r="QW277" s="32"/>
      <c r="QX277" s="32"/>
      <c r="QY277" s="32"/>
      <c r="QZ277" s="32"/>
      <c r="RA277" s="32"/>
      <c r="RB277" s="32"/>
      <c r="RC277" s="32"/>
      <c r="RD277" s="32"/>
      <c r="RE277" s="32"/>
      <c r="RF277" s="32"/>
      <c r="RG277" s="32"/>
      <c r="RH277" s="32"/>
      <c r="RI277" s="32"/>
      <c r="RJ277" s="32"/>
      <c r="RK277" s="32"/>
      <c r="RL277" s="32"/>
      <c r="RM277" s="32"/>
      <c r="RN277" s="32"/>
      <c r="RO277" s="32"/>
      <c r="RP277" s="32"/>
      <c r="RQ277" s="32"/>
      <c r="RR277" s="32"/>
      <c r="RS277" s="32"/>
      <c r="RT277" s="32"/>
      <c r="RU277" s="32"/>
      <c r="RV277" s="32"/>
      <c r="RW277" s="32"/>
      <c r="RX277" s="32"/>
      <c r="RY277" s="32"/>
      <c r="RZ277" s="32"/>
      <c r="SA277" s="32"/>
      <c r="SB277" s="32"/>
      <c r="SC277" s="32"/>
      <c r="SD277" s="32"/>
      <c r="SE277" s="32"/>
      <c r="SF277" s="32"/>
      <c r="SG277" s="32"/>
      <c r="SH277" s="32"/>
      <c r="SI277" s="32"/>
      <c r="SJ277" s="32"/>
      <c r="SK277" s="32"/>
      <c r="SL277" s="32"/>
      <c r="SM277" s="32"/>
      <c r="SN277" s="32"/>
      <c r="SO277" s="32"/>
      <c r="SP277" s="32"/>
      <c r="SQ277" s="32"/>
      <c r="SR277" s="32"/>
      <c r="SS277" s="32"/>
      <c r="ST277" s="32"/>
      <c r="SU277" s="32"/>
      <c r="SV277" s="32"/>
      <c r="SW277" s="32"/>
      <c r="SX277" s="32"/>
      <c r="SY277" s="32"/>
      <c r="SZ277" s="32"/>
      <c r="TA277" s="32"/>
      <c r="TB277" s="32"/>
      <c r="TC277" s="32"/>
      <c r="TD277" s="32"/>
      <c r="TE277" s="32"/>
    </row>
    <row r="278" spans="1:525" s="34" customFormat="1" ht="47.25" x14ac:dyDescent="0.25">
      <c r="A278" s="86" t="s">
        <v>28</v>
      </c>
      <c r="B278" s="95"/>
      <c r="C278" s="95"/>
      <c r="D278" s="70" t="s">
        <v>414</v>
      </c>
      <c r="E278" s="140">
        <f>SUM(E281+E282+E283+E284+E285+E286+E287+E288+E289+E290+E291+E293+E294+E295+E296+E298+E299+E292+E301+E302)</f>
        <v>5132838</v>
      </c>
      <c r="F278" s="140">
        <f t="shared" ref="F278:P278" si="139">SUM(F281+F282+F283+F284+F285+F286+F287+F288+F289+F290+F291+F293+F294+F295+F296+F298+F299+F292+F301+F302)</f>
        <v>5132838</v>
      </c>
      <c r="G278" s="140">
        <f t="shared" si="139"/>
        <v>3599700</v>
      </c>
      <c r="H278" s="140">
        <f t="shared" si="139"/>
        <v>0</v>
      </c>
      <c r="I278" s="140">
        <f t="shared" si="139"/>
        <v>0</v>
      </c>
      <c r="J278" s="140">
        <f>SUM(J281+J282+J283+J284+J285+J286+J287+J288+J289+J290+J291+J293+J294+J295+J296+J298+J299+J292+J301+J302)</f>
        <v>358501886</v>
      </c>
      <c r="K278" s="140">
        <f t="shared" si="139"/>
        <v>352596117</v>
      </c>
      <c r="L278" s="140">
        <f t="shared" si="139"/>
        <v>1752000</v>
      </c>
      <c r="M278" s="140">
        <f t="shared" si="139"/>
        <v>1106600</v>
      </c>
      <c r="N278" s="140">
        <f t="shared" si="139"/>
        <v>157500</v>
      </c>
      <c r="O278" s="140">
        <f t="shared" si="139"/>
        <v>356749886</v>
      </c>
      <c r="P278" s="140">
        <f t="shared" si="139"/>
        <v>363634724</v>
      </c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  <c r="GE278" s="33"/>
      <c r="GF278" s="33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33"/>
      <c r="GZ278" s="33"/>
      <c r="HA278" s="33"/>
      <c r="HB278" s="33"/>
      <c r="HC278" s="33"/>
      <c r="HD278" s="33"/>
      <c r="HE278" s="33"/>
      <c r="HF278" s="33"/>
      <c r="HG278" s="33"/>
      <c r="HH278" s="33"/>
      <c r="HI278" s="33"/>
      <c r="HJ278" s="33"/>
      <c r="HK278" s="33"/>
      <c r="HL278" s="33"/>
      <c r="HM278" s="33"/>
      <c r="HN278" s="33"/>
      <c r="HO278" s="33"/>
      <c r="HP278" s="33"/>
      <c r="HQ278" s="33"/>
      <c r="HR278" s="33"/>
      <c r="HS278" s="33"/>
      <c r="HT278" s="33"/>
      <c r="HU278" s="33"/>
      <c r="HV278" s="33"/>
      <c r="HW278" s="33"/>
      <c r="HX278" s="33"/>
      <c r="HY278" s="33"/>
      <c r="HZ278" s="33"/>
      <c r="IA278" s="33"/>
      <c r="IB278" s="33"/>
      <c r="IC278" s="33"/>
      <c r="ID278" s="33"/>
      <c r="IE278" s="33"/>
      <c r="IF278" s="33"/>
      <c r="IG278" s="33"/>
      <c r="IH278" s="33"/>
      <c r="II278" s="33"/>
      <c r="IJ278" s="33"/>
      <c r="IK278" s="33"/>
      <c r="IL278" s="33"/>
      <c r="IM278" s="33"/>
      <c r="IN278" s="33"/>
      <c r="IO278" s="33"/>
      <c r="IP278" s="33"/>
      <c r="IQ278" s="33"/>
      <c r="IR278" s="33"/>
      <c r="IS278" s="33"/>
      <c r="IT278" s="33"/>
      <c r="IU278" s="33"/>
      <c r="IV278" s="33"/>
      <c r="IW278" s="33"/>
      <c r="IX278" s="33"/>
      <c r="IY278" s="33"/>
      <c r="IZ278" s="33"/>
      <c r="JA278" s="33"/>
      <c r="JB278" s="33"/>
      <c r="JC278" s="33"/>
      <c r="JD278" s="33"/>
      <c r="JE278" s="33"/>
      <c r="JF278" s="33"/>
      <c r="JG278" s="33"/>
      <c r="JH278" s="33"/>
      <c r="JI278" s="33"/>
      <c r="JJ278" s="33"/>
      <c r="JK278" s="33"/>
      <c r="JL278" s="33"/>
      <c r="JM278" s="33"/>
      <c r="JN278" s="33"/>
      <c r="JO278" s="33"/>
      <c r="JP278" s="33"/>
      <c r="JQ278" s="33"/>
      <c r="JR278" s="33"/>
      <c r="JS278" s="33"/>
      <c r="JT278" s="33"/>
      <c r="JU278" s="33"/>
      <c r="JV278" s="33"/>
      <c r="JW278" s="33"/>
      <c r="JX278" s="33"/>
      <c r="JY278" s="33"/>
      <c r="JZ278" s="33"/>
      <c r="KA278" s="33"/>
      <c r="KB278" s="33"/>
      <c r="KC278" s="33"/>
      <c r="KD278" s="33"/>
      <c r="KE278" s="33"/>
      <c r="KF278" s="33"/>
      <c r="KG278" s="33"/>
      <c r="KH278" s="33"/>
      <c r="KI278" s="33"/>
      <c r="KJ278" s="33"/>
      <c r="KK278" s="33"/>
      <c r="KL278" s="33"/>
      <c r="KM278" s="33"/>
      <c r="KN278" s="33"/>
      <c r="KO278" s="33"/>
      <c r="KP278" s="33"/>
      <c r="KQ278" s="33"/>
      <c r="KR278" s="33"/>
      <c r="KS278" s="33"/>
      <c r="KT278" s="33"/>
      <c r="KU278" s="33"/>
      <c r="KV278" s="33"/>
      <c r="KW278" s="33"/>
      <c r="KX278" s="33"/>
      <c r="KY278" s="33"/>
      <c r="KZ278" s="33"/>
      <c r="LA278" s="33"/>
      <c r="LB278" s="33"/>
      <c r="LC278" s="33"/>
      <c r="LD278" s="33"/>
      <c r="LE278" s="33"/>
      <c r="LF278" s="33"/>
      <c r="LG278" s="33"/>
      <c r="LH278" s="33"/>
      <c r="LI278" s="33"/>
      <c r="LJ278" s="33"/>
      <c r="LK278" s="33"/>
      <c r="LL278" s="33"/>
      <c r="LM278" s="33"/>
      <c r="LN278" s="33"/>
      <c r="LO278" s="33"/>
      <c r="LP278" s="33"/>
      <c r="LQ278" s="33"/>
      <c r="LR278" s="33"/>
      <c r="LS278" s="33"/>
      <c r="LT278" s="33"/>
      <c r="LU278" s="33"/>
      <c r="LV278" s="33"/>
      <c r="LW278" s="33"/>
      <c r="LX278" s="33"/>
      <c r="LY278" s="33"/>
      <c r="LZ278" s="33"/>
      <c r="MA278" s="33"/>
      <c r="MB278" s="33"/>
      <c r="MC278" s="33"/>
      <c r="MD278" s="33"/>
      <c r="ME278" s="33"/>
      <c r="MF278" s="33"/>
      <c r="MG278" s="33"/>
      <c r="MH278" s="33"/>
      <c r="MI278" s="33"/>
      <c r="MJ278" s="33"/>
      <c r="MK278" s="33"/>
      <c r="ML278" s="33"/>
      <c r="MM278" s="33"/>
      <c r="MN278" s="33"/>
      <c r="MO278" s="33"/>
      <c r="MP278" s="33"/>
      <c r="MQ278" s="33"/>
      <c r="MR278" s="33"/>
      <c r="MS278" s="33"/>
      <c r="MT278" s="33"/>
      <c r="MU278" s="33"/>
      <c r="MV278" s="33"/>
      <c r="MW278" s="33"/>
      <c r="MX278" s="33"/>
      <c r="MY278" s="33"/>
      <c r="MZ278" s="33"/>
      <c r="NA278" s="33"/>
      <c r="NB278" s="33"/>
      <c r="NC278" s="33"/>
      <c r="ND278" s="33"/>
      <c r="NE278" s="33"/>
      <c r="NF278" s="33"/>
      <c r="NG278" s="33"/>
      <c r="NH278" s="33"/>
      <c r="NI278" s="33"/>
      <c r="NJ278" s="33"/>
      <c r="NK278" s="33"/>
      <c r="NL278" s="33"/>
      <c r="NM278" s="33"/>
      <c r="NN278" s="33"/>
      <c r="NO278" s="33"/>
      <c r="NP278" s="33"/>
      <c r="NQ278" s="33"/>
      <c r="NR278" s="33"/>
      <c r="NS278" s="33"/>
      <c r="NT278" s="33"/>
      <c r="NU278" s="33"/>
      <c r="NV278" s="33"/>
      <c r="NW278" s="33"/>
      <c r="NX278" s="33"/>
      <c r="NY278" s="33"/>
      <c r="NZ278" s="33"/>
      <c r="OA278" s="33"/>
      <c r="OB278" s="33"/>
      <c r="OC278" s="33"/>
      <c r="OD278" s="33"/>
      <c r="OE278" s="33"/>
      <c r="OF278" s="33"/>
      <c r="OG278" s="33"/>
      <c r="OH278" s="33"/>
      <c r="OI278" s="33"/>
      <c r="OJ278" s="33"/>
      <c r="OK278" s="33"/>
      <c r="OL278" s="33"/>
      <c r="OM278" s="33"/>
      <c r="ON278" s="33"/>
      <c r="OO278" s="33"/>
      <c r="OP278" s="33"/>
      <c r="OQ278" s="33"/>
      <c r="OR278" s="33"/>
      <c r="OS278" s="33"/>
      <c r="OT278" s="33"/>
      <c r="OU278" s="33"/>
      <c r="OV278" s="33"/>
      <c r="OW278" s="33"/>
      <c r="OX278" s="33"/>
      <c r="OY278" s="33"/>
      <c r="OZ278" s="33"/>
      <c r="PA278" s="33"/>
      <c r="PB278" s="33"/>
      <c r="PC278" s="33"/>
      <c r="PD278" s="33"/>
      <c r="PE278" s="33"/>
      <c r="PF278" s="33"/>
      <c r="PG278" s="33"/>
      <c r="PH278" s="33"/>
      <c r="PI278" s="33"/>
      <c r="PJ278" s="33"/>
      <c r="PK278" s="33"/>
      <c r="PL278" s="33"/>
      <c r="PM278" s="33"/>
      <c r="PN278" s="33"/>
      <c r="PO278" s="33"/>
      <c r="PP278" s="33"/>
      <c r="PQ278" s="33"/>
      <c r="PR278" s="33"/>
      <c r="PS278" s="33"/>
      <c r="PT278" s="33"/>
      <c r="PU278" s="33"/>
      <c r="PV278" s="33"/>
      <c r="PW278" s="33"/>
      <c r="PX278" s="33"/>
      <c r="PY278" s="33"/>
      <c r="PZ278" s="33"/>
      <c r="QA278" s="33"/>
      <c r="QB278" s="33"/>
      <c r="QC278" s="33"/>
      <c r="QD278" s="33"/>
      <c r="QE278" s="33"/>
      <c r="QF278" s="33"/>
      <c r="QG278" s="33"/>
      <c r="QH278" s="33"/>
      <c r="QI278" s="33"/>
      <c r="QJ278" s="33"/>
      <c r="QK278" s="33"/>
      <c r="QL278" s="33"/>
      <c r="QM278" s="33"/>
      <c r="QN278" s="33"/>
      <c r="QO278" s="33"/>
      <c r="QP278" s="33"/>
      <c r="QQ278" s="33"/>
      <c r="QR278" s="33"/>
      <c r="QS278" s="33"/>
      <c r="QT278" s="33"/>
      <c r="QU278" s="33"/>
      <c r="QV278" s="33"/>
      <c r="QW278" s="33"/>
      <c r="QX278" s="33"/>
      <c r="QY278" s="33"/>
      <c r="QZ278" s="33"/>
      <c r="RA278" s="33"/>
      <c r="RB278" s="33"/>
      <c r="RC278" s="33"/>
      <c r="RD278" s="33"/>
      <c r="RE278" s="33"/>
      <c r="RF278" s="33"/>
      <c r="RG278" s="33"/>
      <c r="RH278" s="33"/>
      <c r="RI278" s="33"/>
      <c r="RJ278" s="33"/>
      <c r="RK278" s="33"/>
      <c r="RL278" s="33"/>
      <c r="RM278" s="33"/>
      <c r="RN278" s="33"/>
      <c r="RO278" s="33"/>
      <c r="RP278" s="33"/>
      <c r="RQ278" s="33"/>
      <c r="RR278" s="33"/>
      <c r="RS278" s="33"/>
      <c r="RT278" s="33"/>
      <c r="RU278" s="33"/>
      <c r="RV278" s="33"/>
      <c r="RW278" s="33"/>
      <c r="RX278" s="33"/>
      <c r="RY278" s="33"/>
      <c r="RZ278" s="33"/>
      <c r="SA278" s="33"/>
      <c r="SB278" s="33"/>
      <c r="SC278" s="33"/>
      <c r="SD278" s="33"/>
      <c r="SE278" s="33"/>
      <c r="SF278" s="33"/>
      <c r="SG278" s="33"/>
      <c r="SH278" s="33"/>
      <c r="SI278" s="33"/>
      <c r="SJ278" s="33"/>
      <c r="SK278" s="33"/>
      <c r="SL278" s="33"/>
      <c r="SM278" s="33"/>
      <c r="SN278" s="33"/>
      <c r="SO278" s="33"/>
      <c r="SP278" s="33"/>
      <c r="SQ278" s="33"/>
      <c r="SR278" s="33"/>
      <c r="SS278" s="33"/>
      <c r="ST278" s="33"/>
      <c r="SU278" s="33"/>
      <c r="SV278" s="33"/>
      <c r="SW278" s="33"/>
      <c r="SX278" s="33"/>
      <c r="SY278" s="33"/>
      <c r="SZ278" s="33"/>
      <c r="TA278" s="33"/>
      <c r="TB278" s="33"/>
      <c r="TC278" s="33"/>
      <c r="TD278" s="33"/>
      <c r="TE278" s="33"/>
    </row>
    <row r="279" spans="1:525" s="34" customFormat="1" ht="54" hidden="1" customHeight="1" x14ac:dyDescent="0.25">
      <c r="A279" s="86"/>
      <c r="B279" s="95"/>
      <c r="C279" s="95"/>
      <c r="D279" s="70" t="s">
        <v>383</v>
      </c>
      <c r="E279" s="140">
        <f>E297</f>
        <v>0</v>
      </c>
      <c r="F279" s="140">
        <f>F297</f>
        <v>0</v>
      </c>
      <c r="G279" s="140">
        <f t="shared" ref="G279:O279" si="140">G297</f>
        <v>0</v>
      </c>
      <c r="H279" s="140">
        <f t="shared" si="140"/>
        <v>0</v>
      </c>
      <c r="I279" s="140">
        <f t="shared" si="140"/>
        <v>0</v>
      </c>
      <c r="J279" s="140">
        <f>J297</f>
        <v>0</v>
      </c>
      <c r="K279" s="140">
        <f t="shared" si="140"/>
        <v>0</v>
      </c>
      <c r="L279" s="140">
        <f t="shared" si="140"/>
        <v>0</v>
      </c>
      <c r="M279" s="140">
        <f t="shared" si="140"/>
        <v>0</v>
      </c>
      <c r="N279" s="140">
        <f t="shared" si="140"/>
        <v>0</v>
      </c>
      <c r="O279" s="140">
        <f t="shared" si="140"/>
        <v>0</v>
      </c>
      <c r="P279" s="140">
        <f>P297</f>
        <v>0</v>
      </c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  <c r="GE279" s="33"/>
      <c r="GF279" s="33"/>
      <c r="GG279" s="33"/>
      <c r="GH279" s="33"/>
      <c r="GI279" s="33"/>
      <c r="GJ279" s="33"/>
      <c r="GK279" s="33"/>
      <c r="GL279" s="33"/>
      <c r="GM279" s="33"/>
      <c r="GN279" s="33"/>
      <c r="GO279" s="33"/>
      <c r="GP279" s="33"/>
      <c r="GQ279" s="33"/>
      <c r="GR279" s="33"/>
      <c r="GS279" s="33"/>
      <c r="GT279" s="33"/>
      <c r="GU279" s="33"/>
      <c r="GV279" s="33"/>
      <c r="GW279" s="33"/>
      <c r="GX279" s="33"/>
      <c r="GY279" s="33"/>
      <c r="GZ279" s="33"/>
      <c r="HA279" s="33"/>
      <c r="HB279" s="33"/>
      <c r="HC279" s="33"/>
      <c r="HD279" s="33"/>
      <c r="HE279" s="33"/>
      <c r="HF279" s="33"/>
      <c r="HG279" s="33"/>
      <c r="HH279" s="33"/>
      <c r="HI279" s="33"/>
      <c r="HJ279" s="33"/>
      <c r="HK279" s="33"/>
      <c r="HL279" s="33"/>
      <c r="HM279" s="33"/>
      <c r="HN279" s="33"/>
      <c r="HO279" s="33"/>
      <c r="HP279" s="33"/>
      <c r="HQ279" s="33"/>
      <c r="HR279" s="33"/>
      <c r="HS279" s="33"/>
      <c r="HT279" s="33"/>
      <c r="HU279" s="33"/>
      <c r="HV279" s="33"/>
      <c r="HW279" s="33"/>
      <c r="HX279" s="33"/>
      <c r="HY279" s="33"/>
      <c r="HZ279" s="33"/>
      <c r="IA279" s="33"/>
      <c r="IB279" s="33"/>
      <c r="IC279" s="33"/>
      <c r="ID279" s="33"/>
      <c r="IE279" s="33"/>
      <c r="IF279" s="33"/>
      <c r="IG279" s="33"/>
      <c r="IH279" s="33"/>
      <c r="II279" s="33"/>
      <c r="IJ279" s="33"/>
      <c r="IK279" s="33"/>
      <c r="IL279" s="33"/>
      <c r="IM279" s="33"/>
      <c r="IN279" s="33"/>
      <c r="IO279" s="33"/>
      <c r="IP279" s="33"/>
      <c r="IQ279" s="33"/>
      <c r="IR279" s="33"/>
      <c r="IS279" s="33"/>
      <c r="IT279" s="33"/>
      <c r="IU279" s="33"/>
      <c r="IV279" s="33"/>
      <c r="IW279" s="33"/>
      <c r="IX279" s="33"/>
      <c r="IY279" s="33"/>
      <c r="IZ279" s="33"/>
      <c r="JA279" s="33"/>
      <c r="JB279" s="33"/>
      <c r="JC279" s="33"/>
      <c r="JD279" s="33"/>
      <c r="JE279" s="33"/>
      <c r="JF279" s="33"/>
      <c r="JG279" s="33"/>
      <c r="JH279" s="33"/>
      <c r="JI279" s="33"/>
      <c r="JJ279" s="33"/>
      <c r="JK279" s="33"/>
      <c r="JL279" s="33"/>
      <c r="JM279" s="33"/>
      <c r="JN279" s="33"/>
      <c r="JO279" s="33"/>
      <c r="JP279" s="33"/>
      <c r="JQ279" s="33"/>
      <c r="JR279" s="33"/>
      <c r="JS279" s="33"/>
      <c r="JT279" s="33"/>
      <c r="JU279" s="33"/>
      <c r="JV279" s="33"/>
      <c r="JW279" s="33"/>
      <c r="JX279" s="33"/>
      <c r="JY279" s="33"/>
      <c r="JZ279" s="33"/>
      <c r="KA279" s="33"/>
      <c r="KB279" s="33"/>
      <c r="KC279" s="33"/>
      <c r="KD279" s="33"/>
      <c r="KE279" s="33"/>
      <c r="KF279" s="33"/>
      <c r="KG279" s="33"/>
      <c r="KH279" s="33"/>
      <c r="KI279" s="33"/>
      <c r="KJ279" s="33"/>
      <c r="KK279" s="33"/>
      <c r="KL279" s="33"/>
      <c r="KM279" s="33"/>
      <c r="KN279" s="33"/>
      <c r="KO279" s="33"/>
      <c r="KP279" s="33"/>
      <c r="KQ279" s="33"/>
      <c r="KR279" s="33"/>
      <c r="KS279" s="33"/>
      <c r="KT279" s="33"/>
      <c r="KU279" s="33"/>
      <c r="KV279" s="33"/>
      <c r="KW279" s="33"/>
      <c r="KX279" s="33"/>
      <c r="KY279" s="33"/>
      <c r="KZ279" s="33"/>
      <c r="LA279" s="33"/>
      <c r="LB279" s="33"/>
      <c r="LC279" s="33"/>
      <c r="LD279" s="33"/>
      <c r="LE279" s="33"/>
      <c r="LF279" s="33"/>
      <c r="LG279" s="33"/>
      <c r="LH279" s="33"/>
      <c r="LI279" s="33"/>
      <c r="LJ279" s="33"/>
      <c r="LK279" s="33"/>
      <c r="LL279" s="33"/>
      <c r="LM279" s="33"/>
      <c r="LN279" s="33"/>
      <c r="LO279" s="33"/>
      <c r="LP279" s="33"/>
      <c r="LQ279" s="33"/>
      <c r="LR279" s="33"/>
      <c r="LS279" s="33"/>
      <c r="LT279" s="33"/>
      <c r="LU279" s="33"/>
      <c r="LV279" s="33"/>
      <c r="LW279" s="33"/>
      <c r="LX279" s="33"/>
      <c r="LY279" s="33"/>
      <c r="LZ279" s="33"/>
      <c r="MA279" s="33"/>
      <c r="MB279" s="33"/>
      <c r="MC279" s="33"/>
      <c r="MD279" s="33"/>
      <c r="ME279" s="33"/>
      <c r="MF279" s="33"/>
      <c r="MG279" s="33"/>
      <c r="MH279" s="33"/>
      <c r="MI279" s="33"/>
      <c r="MJ279" s="33"/>
      <c r="MK279" s="33"/>
      <c r="ML279" s="33"/>
      <c r="MM279" s="33"/>
      <c r="MN279" s="33"/>
      <c r="MO279" s="33"/>
      <c r="MP279" s="33"/>
      <c r="MQ279" s="33"/>
      <c r="MR279" s="33"/>
      <c r="MS279" s="33"/>
      <c r="MT279" s="33"/>
      <c r="MU279" s="33"/>
      <c r="MV279" s="33"/>
      <c r="MW279" s="33"/>
      <c r="MX279" s="33"/>
      <c r="MY279" s="33"/>
      <c r="MZ279" s="33"/>
      <c r="NA279" s="33"/>
      <c r="NB279" s="33"/>
      <c r="NC279" s="33"/>
      <c r="ND279" s="33"/>
      <c r="NE279" s="33"/>
      <c r="NF279" s="33"/>
      <c r="NG279" s="33"/>
      <c r="NH279" s="33"/>
      <c r="NI279" s="33"/>
      <c r="NJ279" s="33"/>
      <c r="NK279" s="33"/>
      <c r="NL279" s="33"/>
      <c r="NM279" s="33"/>
      <c r="NN279" s="33"/>
      <c r="NO279" s="33"/>
      <c r="NP279" s="33"/>
      <c r="NQ279" s="33"/>
      <c r="NR279" s="33"/>
      <c r="NS279" s="33"/>
      <c r="NT279" s="33"/>
      <c r="NU279" s="33"/>
      <c r="NV279" s="33"/>
      <c r="NW279" s="33"/>
      <c r="NX279" s="33"/>
      <c r="NY279" s="33"/>
      <c r="NZ279" s="33"/>
      <c r="OA279" s="33"/>
      <c r="OB279" s="33"/>
      <c r="OC279" s="33"/>
      <c r="OD279" s="33"/>
      <c r="OE279" s="33"/>
      <c r="OF279" s="33"/>
      <c r="OG279" s="33"/>
      <c r="OH279" s="33"/>
      <c r="OI279" s="33"/>
      <c r="OJ279" s="33"/>
      <c r="OK279" s="33"/>
      <c r="OL279" s="33"/>
      <c r="OM279" s="33"/>
      <c r="ON279" s="33"/>
      <c r="OO279" s="33"/>
      <c r="OP279" s="33"/>
      <c r="OQ279" s="33"/>
      <c r="OR279" s="33"/>
      <c r="OS279" s="33"/>
      <c r="OT279" s="33"/>
      <c r="OU279" s="33"/>
      <c r="OV279" s="33"/>
      <c r="OW279" s="33"/>
      <c r="OX279" s="33"/>
      <c r="OY279" s="33"/>
      <c r="OZ279" s="33"/>
      <c r="PA279" s="33"/>
      <c r="PB279" s="33"/>
      <c r="PC279" s="33"/>
      <c r="PD279" s="33"/>
      <c r="PE279" s="33"/>
      <c r="PF279" s="33"/>
      <c r="PG279" s="33"/>
      <c r="PH279" s="33"/>
      <c r="PI279" s="33"/>
      <c r="PJ279" s="33"/>
      <c r="PK279" s="33"/>
      <c r="PL279" s="33"/>
      <c r="PM279" s="33"/>
      <c r="PN279" s="33"/>
      <c r="PO279" s="33"/>
      <c r="PP279" s="33"/>
      <c r="PQ279" s="33"/>
      <c r="PR279" s="33"/>
      <c r="PS279" s="33"/>
      <c r="PT279" s="33"/>
      <c r="PU279" s="33"/>
      <c r="PV279" s="33"/>
      <c r="PW279" s="33"/>
      <c r="PX279" s="33"/>
      <c r="PY279" s="33"/>
      <c r="PZ279" s="33"/>
      <c r="QA279" s="33"/>
      <c r="QB279" s="33"/>
      <c r="QC279" s="33"/>
      <c r="QD279" s="33"/>
      <c r="QE279" s="33"/>
      <c r="QF279" s="33"/>
      <c r="QG279" s="33"/>
      <c r="QH279" s="33"/>
      <c r="QI279" s="33"/>
      <c r="QJ279" s="33"/>
      <c r="QK279" s="33"/>
      <c r="QL279" s="33"/>
      <c r="QM279" s="33"/>
      <c r="QN279" s="33"/>
      <c r="QO279" s="33"/>
      <c r="QP279" s="33"/>
      <c r="QQ279" s="33"/>
      <c r="QR279" s="33"/>
      <c r="QS279" s="33"/>
      <c r="QT279" s="33"/>
      <c r="QU279" s="33"/>
      <c r="QV279" s="33"/>
      <c r="QW279" s="33"/>
      <c r="QX279" s="33"/>
      <c r="QY279" s="33"/>
      <c r="QZ279" s="33"/>
      <c r="RA279" s="33"/>
      <c r="RB279" s="33"/>
      <c r="RC279" s="33"/>
      <c r="RD279" s="33"/>
      <c r="RE279" s="33"/>
      <c r="RF279" s="33"/>
      <c r="RG279" s="33"/>
      <c r="RH279" s="33"/>
      <c r="RI279" s="33"/>
      <c r="RJ279" s="33"/>
      <c r="RK279" s="33"/>
      <c r="RL279" s="33"/>
      <c r="RM279" s="33"/>
      <c r="RN279" s="33"/>
      <c r="RO279" s="33"/>
      <c r="RP279" s="33"/>
      <c r="RQ279" s="33"/>
      <c r="RR279" s="33"/>
      <c r="RS279" s="33"/>
      <c r="RT279" s="33"/>
      <c r="RU279" s="33"/>
      <c r="RV279" s="33"/>
      <c r="RW279" s="33"/>
      <c r="RX279" s="33"/>
      <c r="RY279" s="33"/>
      <c r="RZ279" s="33"/>
      <c r="SA279" s="33"/>
      <c r="SB279" s="33"/>
      <c r="SC279" s="33"/>
      <c r="SD279" s="33"/>
      <c r="SE279" s="33"/>
      <c r="SF279" s="33"/>
      <c r="SG279" s="33"/>
      <c r="SH279" s="33"/>
      <c r="SI279" s="33"/>
      <c r="SJ279" s="33"/>
      <c r="SK279" s="33"/>
      <c r="SL279" s="33"/>
      <c r="SM279" s="33"/>
      <c r="SN279" s="33"/>
      <c r="SO279" s="33"/>
      <c r="SP279" s="33"/>
      <c r="SQ279" s="33"/>
      <c r="SR279" s="33"/>
      <c r="SS279" s="33"/>
      <c r="ST279" s="33"/>
      <c r="SU279" s="33"/>
      <c r="SV279" s="33"/>
      <c r="SW279" s="33"/>
      <c r="SX279" s="33"/>
      <c r="SY279" s="33"/>
      <c r="SZ279" s="33"/>
      <c r="TA279" s="33"/>
      <c r="TB279" s="33"/>
      <c r="TC279" s="33"/>
      <c r="TD279" s="33"/>
      <c r="TE279" s="33"/>
    </row>
    <row r="280" spans="1:525" s="34" customFormat="1" ht="17.25" customHeight="1" x14ac:dyDescent="0.25">
      <c r="A280" s="86"/>
      <c r="B280" s="95"/>
      <c r="C280" s="95"/>
      <c r="D280" s="75" t="s">
        <v>413</v>
      </c>
      <c r="E280" s="140">
        <f>E300</f>
        <v>0</v>
      </c>
      <c r="F280" s="140">
        <f t="shared" ref="F280:P280" si="141">F300</f>
        <v>0</v>
      </c>
      <c r="G280" s="140">
        <f t="shared" si="141"/>
        <v>0</v>
      </c>
      <c r="H280" s="140">
        <f t="shared" si="141"/>
        <v>0</v>
      </c>
      <c r="I280" s="140">
        <f t="shared" si="141"/>
        <v>0</v>
      </c>
      <c r="J280" s="140">
        <f t="shared" si="141"/>
        <v>133343652</v>
      </c>
      <c r="K280" s="140">
        <f t="shared" si="141"/>
        <v>133343652</v>
      </c>
      <c r="L280" s="140">
        <f t="shared" si="141"/>
        <v>0</v>
      </c>
      <c r="M280" s="140">
        <f t="shared" si="141"/>
        <v>0</v>
      </c>
      <c r="N280" s="140">
        <f t="shared" si="141"/>
        <v>0</v>
      </c>
      <c r="O280" s="140">
        <f t="shared" si="141"/>
        <v>133343652</v>
      </c>
      <c r="P280" s="140">
        <f t="shared" si="141"/>
        <v>133343652</v>
      </c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  <c r="MZ280" s="33"/>
      <c r="NA280" s="33"/>
      <c r="NB280" s="33"/>
      <c r="NC280" s="33"/>
      <c r="ND280" s="33"/>
      <c r="NE280" s="33"/>
      <c r="NF280" s="33"/>
      <c r="NG280" s="33"/>
      <c r="NH280" s="33"/>
      <c r="NI280" s="33"/>
      <c r="NJ280" s="33"/>
      <c r="NK280" s="33"/>
      <c r="NL280" s="33"/>
      <c r="NM280" s="33"/>
      <c r="NN280" s="33"/>
      <c r="NO280" s="33"/>
      <c r="NP280" s="33"/>
      <c r="NQ280" s="33"/>
      <c r="NR280" s="33"/>
      <c r="NS280" s="33"/>
      <c r="NT280" s="33"/>
      <c r="NU280" s="33"/>
      <c r="NV280" s="33"/>
      <c r="NW280" s="33"/>
      <c r="NX280" s="33"/>
      <c r="NY280" s="33"/>
      <c r="NZ280" s="33"/>
      <c r="OA280" s="33"/>
      <c r="OB280" s="33"/>
      <c r="OC280" s="33"/>
      <c r="OD280" s="33"/>
      <c r="OE280" s="33"/>
      <c r="OF280" s="33"/>
      <c r="OG280" s="33"/>
      <c r="OH280" s="33"/>
      <c r="OI280" s="33"/>
      <c r="OJ280" s="33"/>
      <c r="OK280" s="33"/>
      <c r="OL280" s="33"/>
      <c r="OM280" s="33"/>
      <c r="ON280" s="33"/>
      <c r="OO280" s="33"/>
      <c r="OP280" s="33"/>
      <c r="OQ280" s="33"/>
      <c r="OR280" s="33"/>
      <c r="OS280" s="33"/>
      <c r="OT280" s="33"/>
      <c r="OU280" s="33"/>
      <c r="OV280" s="33"/>
      <c r="OW280" s="33"/>
      <c r="OX280" s="33"/>
      <c r="OY280" s="33"/>
      <c r="OZ280" s="33"/>
      <c r="PA280" s="33"/>
      <c r="PB280" s="33"/>
      <c r="PC280" s="33"/>
      <c r="PD280" s="33"/>
      <c r="PE280" s="33"/>
      <c r="PF280" s="33"/>
      <c r="PG280" s="33"/>
      <c r="PH280" s="33"/>
      <c r="PI280" s="33"/>
      <c r="PJ280" s="33"/>
      <c r="PK280" s="33"/>
      <c r="PL280" s="33"/>
      <c r="PM280" s="33"/>
      <c r="PN280" s="33"/>
      <c r="PO280" s="33"/>
      <c r="PP280" s="33"/>
      <c r="PQ280" s="33"/>
      <c r="PR280" s="33"/>
      <c r="PS280" s="33"/>
      <c r="PT280" s="33"/>
      <c r="PU280" s="33"/>
      <c r="PV280" s="33"/>
      <c r="PW280" s="33"/>
      <c r="PX280" s="33"/>
      <c r="PY280" s="33"/>
      <c r="PZ280" s="33"/>
      <c r="QA280" s="33"/>
      <c r="QB280" s="33"/>
      <c r="QC280" s="33"/>
      <c r="QD280" s="33"/>
      <c r="QE280" s="33"/>
      <c r="QF280" s="33"/>
      <c r="QG280" s="33"/>
      <c r="QH280" s="33"/>
      <c r="QI280" s="33"/>
      <c r="QJ280" s="33"/>
      <c r="QK280" s="33"/>
      <c r="QL280" s="33"/>
      <c r="QM280" s="33"/>
      <c r="QN280" s="33"/>
      <c r="QO280" s="33"/>
      <c r="QP280" s="33"/>
      <c r="QQ280" s="33"/>
      <c r="QR280" s="33"/>
      <c r="QS280" s="33"/>
      <c r="QT280" s="33"/>
      <c r="QU280" s="33"/>
      <c r="QV280" s="33"/>
      <c r="QW280" s="33"/>
      <c r="QX280" s="33"/>
      <c r="QY280" s="33"/>
      <c r="QZ280" s="33"/>
      <c r="RA280" s="33"/>
      <c r="RB280" s="33"/>
      <c r="RC280" s="33"/>
      <c r="RD280" s="33"/>
      <c r="RE280" s="33"/>
      <c r="RF280" s="33"/>
      <c r="RG280" s="33"/>
      <c r="RH280" s="33"/>
      <c r="RI280" s="33"/>
      <c r="RJ280" s="33"/>
      <c r="RK280" s="33"/>
      <c r="RL280" s="33"/>
      <c r="RM280" s="33"/>
      <c r="RN280" s="33"/>
      <c r="RO280" s="33"/>
      <c r="RP280" s="33"/>
      <c r="RQ280" s="33"/>
      <c r="RR280" s="33"/>
      <c r="RS280" s="33"/>
      <c r="RT280" s="33"/>
      <c r="RU280" s="33"/>
      <c r="RV280" s="33"/>
      <c r="RW280" s="33"/>
      <c r="RX280" s="33"/>
      <c r="RY280" s="33"/>
      <c r="RZ280" s="33"/>
      <c r="SA280" s="33"/>
      <c r="SB280" s="33"/>
      <c r="SC280" s="33"/>
      <c r="SD280" s="33"/>
      <c r="SE280" s="33"/>
      <c r="SF280" s="33"/>
      <c r="SG280" s="33"/>
      <c r="SH280" s="33"/>
      <c r="SI280" s="33"/>
      <c r="SJ280" s="33"/>
      <c r="SK280" s="33"/>
      <c r="SL280" s="33"/>
      <c r="SM280" s="33"/>
      <c r="SN280" s="33"/>
      <c r="SO280" s="33"/>
      <c r="SP280" s="33"/>
      <c r="SQ280" s="33"/>
      <c r="SR280" s="33"/>
      <c r="SS280" s="33"/>
      <c r="ST280" s="33"/>
      <c r="SU280" s="33"/>
      <c r="SV280" s="33"/>
      <c r="SW280" s="33"/>
      <c r="SX280" s="33"/>
      <c r="SY280" s="33"/>
      <c r="SZ280" s="33"/>
      <c r="TA280" s="33"/>
      <c r="TB280" s="33"/>
      <c r="TC280" s="33"/>
      <c r="TD280" s="33"/>
      <c r="TE280" s="33"/>
    </row>
    <row r="281" spans="1:525" s="22" customFormat="1" ht="47.25" x14ac:dyDescent="0.25">
      <c r="A281" s="56" t="s">
        <v>137</v>
      </c>
      <c r="B281" s="84" t="str">
        <f>'дод 5'!A18</f>
        <v>0160</v>
      </c>
      <c r="C281" s="84" t="str">
        <f>'дод 5'!B18</f>
        <v>0111</v>
      </c>
      <c r="D281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81" s="141">
        <f t="shared" ref="E281:E301" si="142">F281+I281</f>
        <v>4391300</v>
      </c>
      <c r="F281" s="141">
        <f>4910600-519300</f>
        <v>4391300</v>
      </c>
      <c r="G281" s="141">
        <f>4025100-425400</f>
        <v>3599700</v>
      </c>
      <c r="H281" s="141"/>
      <c r="I281" s="141"/>
      <c r="J281" s="141">
        <f>L281+O281</f>
        <v>1800000</v>
      </c>
      <c r="K281" s="141"/>
      <c r="L281" s="141">
        <v>1752000</v>
      </c>
      <c r="M281" s="141">
        <v>1106600</v>
      </c>
      <c r="N281" s="141">
        <v>157500</v>
      </c>
      <c r="O281" s="141">
        <v>48000</v>
      </c>
      <c r="P281" s="141">
        <f t="shared" ref="P281:P301" si="143">E281+J281</f>
        <v>6191300</v>
      </c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</row>
    <row r="282" spans="1:525" s="22" customFormat="1" ht="15.75" x14ac:dyDescent="0.25">
      <c r="A282" s="56" t="s">
        <v>607</v>
      </c>
      <c r="B282" s="84">
        <v>1010</v>
      </c>
      <c r="C282" s="56" t="s">
        <v>48</v>
      </c>
      <c r="D282" s="57" t="s">
        <v>486</v>
      </c>
      <c r="E282" s="141">
        <f t="shared" si="142"/>
        <v>0</v>
      </c>
      <c r="F282" s="141"/>
      <c r="G282" s="141"/>
      <c r="H282" s="141"/>
      <c r="I282" s="141"/>
      <c r="J282" s="141">
        <f>L282+O282</f>
        <v>6833436</v>
      </c>
      <c r="K282" s="141">
        <f>4915036+1918400</f>
        <v>6833436</v>
      </c>
      <c r="L282" s="141"/>
      <c r="M282" s="141"/>
      <c r="N282" s="141"/>
      <c r="O282" s="141">
        <f>4915036+1918400</f>
        <v>6833436</v>
      </c>
      <c r="P282" s="141">
        <f t="shared" si="143"/>
        <v>6833436</v>
      </c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</row>
    <row r="283" spans="1:525" s="22" customFormat="1" ht="31.5" x14ac:dyDescent="0.25">
      <c r="A283" s="56" t="s">
        <v>609</v>
      </c>
      <c r="B283" s="84">
        <v>1021</v>
      </c>
      <c r="C283" s="56" t="s">
        <v>50</v>
      </c>
      <c r="D283" s="57" t="s">
        <v>455</v>
      </c>
      <c r="E283" s="141">
        <f t="shared" ref="E283:E284" si="144">F283+I283</f>
        <v>0</v>
      </c>
      <c r="F283" s="141"/>
      <c r="G283" s="141"/>
      <c r="H283" s="141"/>
      <c r="I283" s="141"/>
      <c r="J283" s="141">
        <f>L283+O283</f>
        <v>6050000</v>
      </c>
      <c r="K283" s="141">
        <v>6050000</v>
      </c>
      <c r="L283" s="141"/>
      <c r="M283" s="141"/>
      <c r="N283" s="141"/>
      <c r="O283" s="141">
        <v>6050000</v>
      </c>
      <c r="P283" s="141">
        <f t="shared" si="143"/>
        <v>6050000</v>
      </c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</row>
    <row r="284" spans="1:525" s="22" customFormat="1" ht="63" x14ac:dyDescent="0.25">
      <c r="A284" s="56" t="s">
        <v>610</v>
      </c>
      <c r="B284" s="84">
        <v>1022</v>
      </c>
      <c r="C284" s="56" t="s">
        <v>54</v>
      </c>
      <c r="D284" s="57" t="s">
        <v>457</v>
      </c>
      <c r="E284" s="141">
        <f t="shared" si="144"/>
        <v>0</v>
      </c>
      <c r="F284" s="141"/>
      <c r="G284" s="141"/>
      <c r="H284" s="141"/>
      <c r="I284" s="141"/>
      <c r="J284" s="141">
        <f>L284+O284</f>
        <v>831600</v>
      </c>
      <c r="K284" s="141">
        <v>831600</v>
      </c>
      <c r="L284" s="141"/>
      <c r="M284" s="141"/>
      <c r="N284" s="141"/>
      <c r="O284" s="141">
        <v>831600</v>
      </c>
      <c r="P284" s="141">
        <f t="shared" si="143"/>
        <v>831600</v>
      </c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</row>
    <row r="285" spans="1:525" s="22" customFormat="1" ht="31.5" x14ac:dyDescent="0.25">
      <c r="A285" s="56" t="s">
        <v>611</v>
      </c>
      <c r="B285" s="84">
        <v>2010</v>
      </c>
      <c r="C285" s="56" t="s">
        <v>60</v>
      </c>
      <c r="D285" s="57" t="s">
        <v>589</v>
      </c>
      <c r="E285" s="141"/>
      <c r="F285" s="141"/>
      <c r="G285" s="141"/>
      <c r="H285" s="141"/>
      <c r="I285" s="141"/>
      <c r="J285" s="141">
        <f>L285+O285</f>
        <v>5000000</v>
      </c>
      <c r="K285" s="141">
        <v>5000000</v>
      </c>
      <c r="L285" s="141"/>
      <c r="M285" s="141"/>
      <c r="N285" s="141"/>
      <c r="O285" s="141">
        <v>5000000</v>
      </c>
      <c r="P285" s="141">
        <f t="shared" si="143"/>
        <v>5000000</v>
      </c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</row>
    <row r="286" spans="1:525" s="22" customFormat="1" ht="23.25" customHeight="1" x14ac:dyDescent="0.25">
      <c r="A286" s="56" t="s">
        <v>202</v>
      </c>
      <c r="B286" s="84" t="str">
        <f>'дод 5'!A165</f>
        <v>6030</v>
      </c>
      <c r="C286" s="84" t="str">
        <f>'дод 5'!B165</f>
        <v>0620</v>
      </c>
      <c r="D286" s="57" t="str">
        <f>'дод 5'!C165</f>
        <v>Організація благоустрою населених пунктів</v>
      </c>
      <c r="E286" s="141">
        <f t="shared" si="142"/>
        <v>0</v>
      </c>
      <c r="F286" s="141"/>
      <c r="G286" s="141"/>
      <c r="H286" s="141"/>
      <c r="I286" s="141"/>
      <c r="J286" s="141">
        <f t="shared" ref="J286:J310" si="145">L286+O286</f>
        <v>55800000</v>
      </c>
      <c r="K286" s="141">
        <f>48038139+12000000-8663595-19374544+4800000-2600000+19800000+500000+1000000+300000</f>
        <v>55800000</v>
      </c>
      <c r="L286" s="141"/>
      <c r="M286" s="141"/>
      <c r="N286" s="141"/>
      <c r="O286" s="141">
        <f>48038139+12000000-8663595-19374544+4800000-2600000+19800000+500000+1000000+300000</f>
        <v>55800000</v>
      </c>
      <c r="P286" s="141">
        <f t="shared" si="143"/>
        <v>55800000</v>
      </c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</row>
    <row r="287" spans="1:525" s="22" customFormat="1" ht="65.25" customHeight="1" x14ac:dyDescent="0.25">
      <c r="A287" s="56" t="s">
        <v>203</v>
      </c>
      <c r="B287" s="84" t="str">
        <f>'дод 5'!A169</f>
        <v>6084</v>
      </c>
      <c r="C287" s="84" t="str">
        <f>'дод 5'!B169</f>
        <v>0610</v>
      </c>
      <c r="D287" s="57" t="str">
        <f>'дод 5'!C169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7" s="141">
        <f t="shared" si="142"/>
        <v>0</v>
      </c>
      <c r="F287" s="141"/>
      <c r="G287" s="141"/>
      <c r="H287" s="141"/>
      <c r="I287" s="141"/>
      <c r="J287" s="141">
        <f t="shared" si="145"/>
        <v>110579</v>
      </c>
      <c r="K287" s="141"/>
      <c r="L287" s="141"/>
      <c r="M287" s="141"/>
      <c r="N287" s="141"/>
      <c r="O287" s="141">
        <v>110579</v>
      </c>
      <c r="P287" s="141">
        <f t="shared" si="143"/>
        <v>110579</v>
      </c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</row>
    <row r="288" spans="1:525" s="22" customFormat="1" ht="31.5" x14ac:dyDescent="0.25">
      <c r="A288" s="56" t="s">
        <v>272</v>
      </c>
      <c r="B288" s="84" t="str">
        <f>'дод 5'!A181</f>
        <v>7310</v>
      </c>
      <c r="C288" s="84" t="str">
        <f>'дод 5'!B181</f>
        <v>0443</v>
      </c>
      <c r="D288" s="57" t="str">
        <f>'дод 5'!C181</f>
        <v>Будівництво1 об'єктів житлово-комунального господарства</v>
      </c>
      <c r="E288" s="141">
        <f t="shared" si="142"/>
        <v>0</v>
      </c>
      <c r="F288" s="141"/>
      <c r="G288" s="141"/>
      <c r="H288" s="141"/>
      <c r="I288" s="141"/>
      <c r="J288" s="141">
        <f t="shared" si="145"/>
        <v>2000000</v>
      </c>
      <c r="K288" s="141">
        <v>2000000</v>
      </c>
      <c r="L288" s="141"/>
      <c r="M288" s="141"/>
      <c r="N288" s="141"/>
      <c r="O288" s="141">
        <v>2000000</v>
      </c>
      <c r="P288" s="141">
        <f t="shared" si="143"/>
        <v>2000000</v>
      </c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</row>
    <row r="289" spans="1:525" s="22" customFormat="1" ht="15.75" x14ac:dyDescent="0.25">
      <c r="A289" s="56" t="s">
        <v>273</v>
      </c>
      <c r="B289" s="84" t="str">
        <f>'дод 5'!A182</f>
        <v>7321</v>
      </c>
      <c r="C289" s="84" t="str">
        <f>'дод 5'!B182</f>
        <v>0443</v>
      </c>
      <c r="D289" s="6" t="str">
        <f>'дод 5'!C182</f>
        <v>Будівництво1 освітніх установ та закладів</v>
      </c>
      <c r="E289" s="141">
        <f t="shared" si="142"/>
        <v>0</v>
      </c>
      <c r="F289" s="141"/>
      <c r="G289" s="141"/>
      <c r="H289" s="141"/>
      <c r="I289" s="141"/>
      <c r="J289" s="141">
        <f t="shared" si="145"/>
        <v>7500000</v>
      </c>
      <c r="K289" s="141">
        <f>6000000+1500000+300000-300000</f>
        <v>7500000</v>
      </c>
      <c r="L289" s="141"/>
      <c r="M289" s="141"/>
      <c r="N289" s="141"/>
      <c r="O289" s="141">
        <f>7500000+300000-300000</f>
        <v>7500000</v>
      </c>
      <c r="P289" s="141">
        <f t="shared" si="143"/>
        <v>7500000</v>
      </c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</row>
    <row r="290" spans="1:525" s="22" customFormat="1" ht="15.75" x14ac:dyDescent="0.25">
      <c r="A290" s="56" t="s">
        <v>275</v>
      </c>
      <c r="B290" s="84" t="str">
        <f>'дод 5'!A184</f>
        <v>7322</v>
      </c>
      <c r="C290" s="84" t="str">
        <f>'дод 5'!B184</f>
        <v>0443</v>
      </c>
      <c r="D290" s="6" t="str">
        <f>'дод 5'!C184</f>
        <v>Будівництво1 медичних установ та закладів</v>
      </c>
      <c r="E290" s="141">
        <f t="shared" si="142"/>
        <v>0</v>
      </c>
      <c r="F290" s="141"/>
      <c r="G290" s="141"/>
      <c r="H290" s="141"/>
      <c r="I290" s="141"/>
      <c r="J290" s="141">
        <f t="shared" si="145"/>
        <v>3000000</v>
      </c>
      <c r="K290" s="141">
        <v>3000000</v>
      </c>
      <c r="L290" s="141"/>
      <c r="M290" s="141"/>
      <c r="N290" s="141"/>
      <c r="O290" s="141">
        <v>3000000</v>
      </c>
      <c r="P290" s="141">
        <f t="shared" si="143"/>
        <v>3000000</v>
      </c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</row>
    <row r="291" spans="1:525" s="22" customFormat="1" ht="15.75" x14ac:dyDescent="0.25">
      <c r="A291" s="56" t="s">
        <v>537</v>
      </c>
      <c r="B291" s="84">
        <v>7324</v>
      </c>
      <c r="C291" s="84">
        <v>443</v>
      </c>
      <c r="D291" s="6" t="str">
        <f>'дод 5'!C186</f>
        <v>Будівництво1 установ та закладів культури</v>
      </c>
      <c r="E291" s="141">
        <f t="shared" si="142"/>
        <v>0</v>
      </c>
      <c r="F291" s="141"/>
      <c r="G291" s="141"/>
      <c r="H291" s="141"/>
      <c r="I291" s="141"/>
      <c r="J291" s="141">
        <f t="shared" si="145"/>
        <v>300000</v>
      </c>
      <c r="K291" s="141">
        <v>300000</v>
      </c>
      <c r="L291" s="141"/>
      <c r="M291" s="141"/>
      <c r="N291" s="141"/>
      <c r="O291" s="141">
        <v>300000</v>
      </c>
      <c r="P291" s="141">
        <f t="shared" si="143"/>
        <v>300000</v>
      </c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</row>
    <row r="292" spans="1:525" s="22" customFormat="1" ht="31.5" x14ac:dyDescent="0.25">
      <c r="A292" s="56" t="s">
        <v>354</v>
      </c>
      <c r="B292" s="84">
        <f>'дод 5'!A187</f>
        <v>7325</v>
      </c>
      <c r="C292" s="56" t="s">
        <v>110</v>
      </c>
      <c r="D292" s="6" t="str">
        <f>'дод 5'!C187</f>
        <v>Будівництво1 споруд, установ та закладів фізичної культури і спорту</v>
      </c>
      <c r="E292" s="141">
        <f t="shared" si="142"/>
        <v>0</v>
      </c>
      <c r="F292" s="141"/>
      <c r="G292" s="141"/>
      <c r="H292" s="141"/>
      <c r="I292" s="141"/>
      <c r="J292" s="141">
        <f t="shared" si="145"/>
        <v>20150000</v>
      </c>
      <c r="K292" s="141">
        <f>20768133-768133+150000</f>
        <v>20150000</v>
      </c>
      <c r="L292" s="141"/>
      <c r="M292" s="141"/>
      <c r="N292" s="141"/>
      <c r="O292" s="141">
        <f>20768133-768133+150000</f>
        <v>20150000</v>
      </c>
      <c r="P292" s="141">
        <f t="shared" si="143"/>
        <v>20150000</v>
      </c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</row>
    <row r="293" spans="1:525" s="22" customFormat="1" ht="37.5" customHeight="1" x14ac:dyDescent="0.25">
      <c r="A293" s="56" t="s">
        <v>277</v>
      </c>
      <c r="B293" s="84" t="str">
        <f>'дод 5'!A188</f>
        <v>7330</v>
      </c>
      <c r="C293" s="84" t="str">
        <f>'дод 5'!B188</f>
        <v>0443</v>
      </c>
      <c r="D293" s="6" t="str">
        <f>'дод 5'!C188</f>
        <v>Будівництво1 інших об'єктів комунальної власності</v>
      </c>
      <c r="E293" s="141">
        <f t="shared" si="142"/>
        <v>0</v>
      </c>
      <c r="F293" s="141"/>
      <c r="G293" s="141"/>
      <c r="H293" s="141"/>
      <c r="I293" s="141"/>
      <c r="J293" s="141">
        <f t="shared" si="145"/>
        <v>48489651</v>
      </c>
      <c r="K293" s="141">
        <f>2880000+239651+21250000+600000+2000000-600000-2000000-380000+500000+24000000</f>
        <v>48489651</v>
      </c>
      <c r="L293" s="141"/>
      <c r="M293" s="141"/>
      <c r="N293" s="141"/>
      <c r="O293" s="141">
        <f>2880000+239651+21250000+600000+2000000-600000-2000000-380000+500000+24000000</f>
        <v>48489651</v>
      </c>
      <c r="P293" s="141">
        <f t="shared" si="143"/>
        <v>48489651</v>
      </c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</row>
    <row r="294" spans="1:525" s="22" customFormat="1" ht="31.5" x14ac:dyDescent="0.25">
      <c r="A294" s="56" t="s">
        <v>418</v>
      </c>
      <c r="B294" s="84">
        <v>7340</v>
      </c>
      <c r="C294" s="56" t="s">
        <v>110</v>
      </c>
      <c r="D294" s="57" t="s">
        <v>1</v>
      </c>
      <c r="E294" s="141">
        <f t="shared" si="142"/>
        <v>0</v>
      </c>
      <c r="F294" s="141"/>
      <c r="G294" s="141"/>
      <c r="H294" s="141"/>
      <c r="I294" s="141"/>
      <c r="J294" s="141">
        <f t="shared" si="145"/>
        <v>500000</v>
      </c>
      <c r="K294" s="141">
        <v>500000</v>
      </c>
      <c r="L294" s="141"/>
      <c r="M294" s="141"/>
      <c r="N294" s="141"/>
      <c r="O294" s="141">
        <v>500000</v>
      </c>
      <c r="P294" s="141">
        <f t="shared" si="143"/>
        <v>500000</v>
      </c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</row>
    <row r="295" spans="1:525" s="22" customFormat="1" ht="53.25" customHeight="1" x14ac:dyDescent="0.25">
      <c r="A295" s="56" t="s">
        <v>366</v>
      </c>
      <c r="B295" s="84">
        <f>'дод 5'!A191</f>
        <v>7361</v>
      </c>
      <c r="C295" s="84" t="str">
        <f>'дод 5'!B191</f>
        <v>0490</v>
      </c>
      <c r="D295" s="57" t="str">
        <f>'дод 5'!C191</f>
        <v>Співфінансування інвестиційних проектів, що реалізуються за рахунок коштів державного фонду регіонального розвитку</v>
      </c>
      <c r="E295" s="141">
        <f t="shared" ref="E295" si="146">F295+I295</f>
        <v>0</v>
      </c>
      <c r="F295" s="141"/>
      <c r="G295" s="141"/>
      <c r="H295" s="141"/>
      <c r="I295" s="141"/>
      <c r="J295" s="141">
        <f t="shared" ref="J295" si="147">L295+O295</f>
        <v>21844084</v>
      </c>
      <c r="K295" s="141">
        <v>21844084</v>
      </c>
      <c r="L295" s="141"/>
      <c r="M295" s="141"/>
      <c r="N295" s="141"/>
      <c r="O295" s="141">
        <v>21844084</v>
      </c>
      <c r="P295" s="141">
        <f t="shared" si="143"/>
        <v>21844084</v>
      </c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</row>
    <row r="296" spans="1:525" s="22" customFormat="1" ht="47.25" hidden="1" customHeight="1" x14ac:dyDescent="0.25">
      <c r="A296" s="56" t="s">
        <v>361</v>
      </c>
      <c r="B296" s="84">
        <v>7363</v>
      </c>
      <c r="C296" s="56" t="s">
        <v>81</v>
      </c>
      <c r="D296" s="57" t="s">
        <v>392</v>
      </c>
      <c r="E296" s="141">
        <f t="shared" si="142"/>
        <v>0</v>
      </c>
      <c r="F296" s="141"/>
      <c r="G296" s="141"/>
      <c r="H296" s="141"/>
      <c r="I296" s="141"/>
      <c r="J296" s="141">
        <f t="shared" si="145"/>
        <v>0</v>
      </c>
      <c r="K296" s="141"/>
      <c r="L296" s="141"/>
      <c r="M296" s="141"/>
      <c r="N296" s="141"/>
      <c r="O296" s="141"/>
      <c r="P296" s="141">
        <f t="shared" si="143"/>
        <v>0</v>
      </c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</row>
    <row r="297" spans="1:525" s="24" customFormat="1" ht="63.75" hidden="1" customHeight="1" x14ac:dyDescent="0.25">
      <c r="A297" s="76"/>
      <c r="B297" s="97"/>
      <c r="C297" s="76"/>
      <c r="D297" s="79" t="s">
        <v>383</v>
      </c>
      <c r="E297" s="142">
        <f t="shared" si="142"/>
        <v>0</v>
      </c>
      <c r="F297" s="142"/>
      <c r="G297" s="142"/>
      <c r="H297" s="142"/>
      <c r="I297" s="142"/>
      <c r="J297" s="142">
        <f t="shared" ref="J297" si="148">L297+O297</f>
        <v>0</v>
      </c>
      <c r="K297" s="142"/>
      <c r="L297" s="142"/>
      <c r="M297" s="142"/>
      <c r="N297" s="142"/>
      <c r="O297" s="142"/>
      <c r="P297" s="142">
        <f t="shared" ref="P297" si="149">E297+J297</f>
        <v>0</v>
      </c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  <c r="FW297" s="30"/>
      <c r="FX297" s="30"/>
      <c r="FY297" s="30"/>
      <c r="FZ297" s="30"/>
      <c r="GA297" s="30"/>
      <c r="GB297" s="30"/>
      <c r="GC297" s="30"/>
      <c r="GD297" s="30"/>
      <c r="GE297" s="30"/>
      <c r="GF297" s="30"/>
      <c r="GG297" s="30"/>
      <c r="GH297" s="30"/>
      <c r="GI297" s="30"/>
      <c r="GJ297" s="30"/>
      <c r="GK297" s="30"/>
      <c r="GL297" s="30"/>
      <c r="GM297" s="30"/>
      <c r="GN297" s="30"/>
      <c r="GO297" s="30"/>
      <c r="GP297" s="30"/>
      <c r="GQ297" s="30"/>
      <c r="GR297" s="30"/>
      <c r="GS297" s="30"/>
      <c r="GT297" s="30"/>
      <c r="GU297" s="30"/>
      <c r="GV297" s="30"/>
      <c r="GW297" s="30"/>
      <c r="GX297" s="30"/>
      <c r="GY297" s="30"/>
      <c r="GZ297" s="30"/>
      <c r="HA297" s="30"/>
      <c r="HB297" s="30"/>
      <c r="HC297" s="30"/>
      <c r="HD297" s="30"/>
      <c r="HE297" s="30"/>
      <c r="HF297" s="30"/>
      <c r="HG297" s="30"/>
      <c r="HH297" s="30"/>
      <c r="HI297" s="30"/>
      <c r="HJ297" s="30"/>
      <c r="HK297" s="30"/>
      <c r="HL297" s="30"/>
      <c r="HM297" s="30"/>
      <c r="HN297" s="30"/>
      <c r="HO297" s="30"/>
      <c r="HP297" s="30"/>
      <c r="HQ297" s="30"/>
      <c r="HR297" s="30"/>
      <c r="HS297" s="30"/>
      <c r="HT297" s="30"/>
      <c r="HU297" s="30"/>
      <c r="HV297" s="30"/>
      <c r="HW297" s="30"/>
      <c r="HX297" s="30"/>
      <c r="HY297" s="30"/>
      <c r="HZ297" s="30"/>
      <c r="IA297" s="30"/>
      <c r="IB297" s="30"/>
      <c r="IC297" s="30"/>
      <c r="ID297" s="30"/>
      <c r="IE297" s="30"/>
      <c r="IF297" s="30"/>
      <c r="IG297" s="30"/>
      <c r="IH297" s="30"/>
      <c r="II297" s="30"/>
      <c r="IJ297" s="30"/>
      <c r="IK297" s="30"/>
      <c r="IL297" s="30"/>
      <c r="IM297" s="30"/>
      <c r="IN297" s="30"/>
      <c r="IO297" s="30"/>
      <c r="IP297" s="30"/>
      <c r="IQ297" s="30"/>
      <c r="IR297" s="30"/>
      <c r="IS297" s="30"/>
      <c r="IT297" s="30"/>
      <c r="IU297" s="30"/>
      <c r="IV297" s="30"/>
      <c r="IW297" s="30"/>
      <c r="IX297" s="30"/>
      <c r="IY297" s="30"/>
      <c r="IZ297" s="30"/>
      <c r="JA297" s="30"/>
      <c r="JB297" s="30"/>
      <c r="JC297" s="30"/>
      <c r="JD297" s="30"/>
      <c r="JE297" s="30"/>
      <c r="JF297" s="30"/>
      <c r="JG297" s="30"/>
      <c r="JH297" s="30"/>
      <c r="JI297" s="30"/>
      <c r="JJ297" s="30"/>
      <c r="JK297" s="30"/>
      <c r="JL297" s="30"/>
      <c r="JM297" s="30"/>
      <c r="JN297" s="30"/>
      <c r="JO297" s="30"/>
      <c r="JP297" s="30"/>
      <c r="JQ297" s="30"/>
      <c r="JR297" s="30"/>
      <c r="JS297" s="30"/>
      <c r="JT297" s="30"/>
      <c r="JU297" s="30"/>
      <c r="JV297" s="30"/>
      <c r="JW297" s="30"/>
      <c r="JX297" s="30"/>
      <c r="JY297" s="30"/>
      <c r="JZ297" s="30"/>
      <c r="KA297" s="30"/>
      <c r="KB297" s="30"/>
      <c r="KC297" s="30"/>
      <c r="KD297" s="30"/>
      <c r="KE297" s="30"/>
      <c r="KF297" s="30"/>
      <c r="KG297" s="30"/>
      <c r="KH297" s="30"/>
      <c r="KI297" s="30"/>
      <c r="KJ297" s="30"/>
      <c r="KK297" s="30"/>
      <c r="KL297" s="30"/>
      <c r="KM297" s="30"/>
      <c r="KN297" s="30"/>
      <c r="KO297" s="30"/>
      <c r="KP297" s="30"/>
      <c r="KQ297" s="30"/>
      <c r="KR297" s="30"/>
      <c r="KS297" s="30"/>
      <c r="KT297" s="30"/>
      <c r="KU297" s="30"/>
      <c r="KV297" s="30"/>
      <c r="KW297" s="30"/>
      <c r="KX297" s="30"/>
      <c r="KY297" s="30"/>
      <c r="KZ297" s="30"/>
      <c r="LA297" s="30"/>
      <c r="LB297" s="30"/>
      <c r="LC297" s="30"/>
      <c r="LD297" s="30"/>
      <c r="LE297" s="30"/>
      <c r="LF297" s="30"/>
      <c r="LG297" s="30"/>
      <c r="LH297" s="30"/>
      <c r="LI297" s="30"/>
      <c r="LJ297" s="30"/>
      <c r="LK297" s="30"/>
      <c r="LL297" s="30"/>
      <c r="LM297" s="30"/>
      <c r="LN297" s="30"/>
      <c r="LO297" s="30"/>
      <c r="LP297" s="30"/>
      <c r="LQ297" s="30"/>
      <c r="LR297" s="30"/>
      <c r="LS297" s="30"/>
      <c r="LT297" s="30"/>
      <c r="LU297" s="30"/>
      <c r="LV297" s="30"/>
      <c r="LW297" s="30"/>
      <c r="LX297" s="30"/>
      <c r="LY297" s="30"/>
      <c r="LZ297" s="30"/>
      <c r="MA297" s="30"/>
      <c r="MB297" s="30"/>
      <c r="MC297" s="30"/>
      <c r="MD297" s="30"/>
      <c r="ME297" s="30"/>
      <c r="MF297" s="30"/>
      <c r="MG297" s="30"/>
      <c r="MH297" s="30"/>
      <c r="MI297" s="30"/>
      <c r="MJ297" s="30"/>
      <c r="MK297" s="30"/>
      <c r="ML297" s="30"/>
      <c r="MM297" s="30"/>
      <c r="MN297" s="30"/>
      <c r="MO297" s="30"/>
      <c r="MP297" s="30"/>
      <c r="MQ297" s="30"/>
      <c r="MR297" s="30"/>
      <c r="MS297" s="30"/>
      <c r="MT297" s="30"/>
      <c r="MU297" s="30"/>
      <c r="MV297" s="30"/>
      <c r="MW297" s="30"/>
      <c r="MX297" s="30"/>
      <c r="MY297" s="30"/>
      <c r="MZ297" s="30"/>
      <c r="NA297" s="30"/>
      <c r="NB297" s="30"/>
      <c r="NC297" s="30"/>
      <c r="ND297" s="30"/>
      <c r="NE297" s="30"/>
      <c r="NF297" s="30"/>
      <c r="NG297" s="30"/>
      <c r="NH297" s="30"/>
      <c r="NI297" s="30"/>
      <c r="NJ297" s="30"/>
      <c r="NK297" s="30"/>
      <c r="NL297" s="30"/>
      <c r="NM297" s="30"/>
      <c r="NN297" s="30"/>
      <c r="NO297" s="30"/>
      <c r="NP297" s="30"/>
      <c r="NQ297" s="30"/>
      <c r="NR297" s="30"/>
      <c r="NS297" s="30"/>
      <c r="NT297" s="30"/>
      <c r="NU297" s="30"/>
      <c r="NV297" s="30"/>
      <c r="NW297" s="30"/>
      <c r="NX297" s="30"/>
      <c r="NY297" s="30"/>
      <c r="NZ297" s="30"/>
      <c r="OA297" s="30"/>
      <c r="OB297" s="30"/>
      <c r="OC297" s="30"/>
      <c r="OD297" s="30"/>
      <c r="OE297" s="30"/>
      <c r="OF297" s="30"/>
      <c r="OG297" s="30"/>
      <c r="OH297" s="30"/>
      <c r="OI297" s="30"/>
      <c r="OJ297" s="30"/>
      <c r="OK297" s="30"/>
      <c r="OL297" s="30"/>
      <c r="OM297" s="30"/>
      <c r="ON297" s="30"/>
      <c r="OO297" s="30"/>
      <c r="OP297" s="30"/>
      <c r="OQ297" s="30"/>
      <c r="OR297" s="30"/>
      <c r="OS297" s="30"/>
      <c r="OT297" s="30"/>
      <c r="OU297" s="30"/>
      <c r="OV297" s="30"/>
      <c r="OW297" s="30"/>
      <c r="OX297" s="30"/>
      <c r="OY297" s="30"/>
      <c r="OZ297" s="30"/>
      <c r="PA297" s="30"/>
      <c r="PB297" s="30"/>
      <c r="PC297" s="30"/>
      <c r="PD297" s="30"/>
      <c r="PE297" s="30"/>
      <c r="PF297" s="30"/>
      <c r="PG297" s="30"/>
      <c r="PH297" s="30"/>
      <c r="PI297" s="30"/>
      <c r="PJ297" s="30"/>
      <c r="PK297" s="30"/>
      <c r="PL297" s="30"/>
      <c r="PM297" s="30"/>
      <c r="PN297" s="30"/>
      <c r="PO297" s="30"/>
      <c r="PP297" s="30"/>
      <c r="PQ297" s="30"/>
      <c r="PR297" s="30"/>
      <c r="PS297" s="30"/>
      <c r="PT297" s="30"/>
      <c r="PU297" s="30"/>
      <c r="PV297" s="30"/>
      <c r="PW297" s="30"/>
      <c r="PX297" s="30"/>
      <c r="PY297" s="30"/>
      <c r="PZ297" s="30"/>
      <c r="QA297" s="30"/>
      <c r="QB297" s="30"/>
      <c r="QC297" s="30"/>
      <c r="QD297" s="30"/>
      <c r="QE297" s="30"/>
      <c r="QF297" s="30"/>
      <c r="QG297" s="30"/>
      <c r="QH297" s="30"/>
      <c r="QI297" s="30"/>
      <c r="QJ297" s="30"/>
      <c r="QK297" s="30"/>
      <c r="QL297" s="30"/>
      <c r="QM297" s="30"/>
      <c r="QN297" s="30"/>
      <c r="QO297" s="30"/>
      <c r="QP297" s="30"/>
      <c r="QQ297" s="30"/>
      <c r="QR297" s="30"/>
      <c r="QS297" s="30"/>
      <c r="QT297" s="30"/>
      <c r="QU297" s="30"/>
      <c r="QV297" s="30"/>
      <c r="QW297" s="30"/>
      <c r="QX297" s="30"/>
      <c r="QY297" s="30"/>
      <c r="QZ297" s="30"/>
      <c r="RA297" s="30"/>
      <c r="RB297" s="30"/>
      <c r="RC297" s="30"/>
      <c r="RD297" s="30"/>
      <c r="RE297" s="30"/>
      <c r="RF297" s="30"/>
      <c r="RG297" s="30"/>
      <c r="RH297" s="30"/>
      <c r="RI297" s="30"/>
      <c r="RJ297" s="30"/>
      <c r="RK297" s="30"/>
      <c r="RL297" s="30"/>
      <c r="RM297" s="30"/>
      <c r="RN297" s="30"/>
      <c r="RO297" s="30"/>
      <c r="RP297" s="30"/>
      <c r="RQ297" s="30"/>
      <c r="RR297" s="30"/>
      <c r="RS297" s="30"/>
      <c r="RT297" s="30"/>
      <c r="RU297" s="30"/>
      <c r="RV297" s="30"/>
      <c r="RW297" s="30"/>
      <c r="RX297" s="30"/>
      <c r="RY297" s="30"/>
      <c r="RZ297" s="30"/>
      <c r="SA297" s="30"/>
      <c r="SB297" s="30"/>
      <c r="SC297" s="30"/>
      <c r="SD297" s="30"/>
      <c r="SE297" s="30"/>
      <c r="SF297" s="30"/>
      <c r="SG297" s="30"/>
      <c r="SH297" s="30"/>
      <c r="SI297" s="30"/>
      <c r="SJ297" s="30"/>
      <c r="SK297" s="30"/>
      <c r="SL297" s="30"/>
      <c r="SM297" s="30"/>
      <c r="SN297" s="30"/>
      <c r="SO297" s="30"/>
      <c r="SP297" s="30"/>
      <c r="SQ297" s="30"/>
      <c r="SR297" s="30"/>
      <c r="SS297" s="30"/>
      <c r="ST297" s="30"/>
      <c r="SU297" s="30"/>
      <c r="SV297" s="30"/>
      <c r="SW297" s="30"/>
      <c r="SX297" s="30"/>
      <c r="SY297" s="30"/>
      <c r="SZ297" s="30"/>
      <c r="TA297" s="30"/>
      <c r="TB297" s="30"/>
      <c r="TC297" s="30"/>
      <c r="TD297" s="30"/>
      <c r="TE297" s="30"/>
    </row>
    <row r="298" spans="1:525" s="22" customFormat="1" ht="34.5" hidden="1" customHeight="1" x14ac:dyDescent="0.25">
      <c r="A298" s="56" t="s">
        <v>420</v>
      </c>
      <c r="B298" s="84">
        <v>7370</v>
      </c>
      <c r="C298" s="56" t="s">
        <v>81</v>
      </c>
      <c r="D298" s="57" t="s">
        <v>421</v>
      </c>
      <c r="E298" s="141">
        <f>F298+I298</f>
        <v>0</v>
      </c>
      <c r="F298" s="141"/>
      <c r="G298" s="141"/>
      <c r="H298" s="141"/>
      <c r="I298" s="141"/>
      <c r="J298" s="141">
        <f t="shared" si="145"/>
        <v>0</v>
      </c>
      <c r="K298" s="141"/>
      <c r="L298" s="141"/>
      <c r="M298" s="141"/>
      <c r="N298" s="141"/>
      <c r="O298" s="141"/>
      <c r="P298" s="141">
        <f t="shared" si="143"/>
        <v>0</v>
      </c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</row>
    <row r="299" spans="1:525" s="22" customFormat="1" ht="27" customHeight="1" x14ac:dyDescent="0.25">
      <c r="A299" s="56" t="s">
        <v>143</v>
      </c>
      <c r="B299" s="84" t="str">
        <f>'дод 5'!A219</f>
        <v>7640</v>
      </c>
      <c r="C299" s="84" t="str">
        <f>'дод 5'!B219</f>
        <v>0470</v>
      </c>
      <c r="D299" s="57" t="str">
        <f>'дод 5'!C219</f>
        <v>Заходи з енергозбереження, у т. ч. за рахунок:</v>
      </c>
      <c r="E299" s="141">
        <f t="shared" si="142"/>
        <v>741538</v>
      </c>
      <c r="F299" s="141">
        <v>741538</v>
      </c>
      <c r="G299" s="141"/>
      <c r="H299" s="141"/>
      <c r="I299" s="141"/>
      <c r="J299" s="141">
        <f t="shared" si="145"/>
        <v>178292536</v>
      </c>
      <c r="K299" s="141">
        <f>160322382+5315954+1759010+6900000</f>
        <v>174297346</v>
      </c>
      <c r="L299" s="143"/>
      <c r="M299" s="141"/>
      <c r="N299" s="141"/>
      <c r="O299" s="141">
        <f>160322382+3995190+5315954+1759010+6900000</f>
        <v>178292536</v>
      </c>
      <c r="P299" s="141">
        <f t="shared" si="143"/>
        <v>179034074</v>
      </c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</row>
    <row r="300" spans="1:525" s="24" customFormat="1" ht="17.25" customHeight="1" x14ac:dyDescent="0.25">
      <c r="A300" s="76"/>
      <c r="B300" s="97"/>
      <c r="C300" s="97"/>
      <c r="D300" s="77" t="s">
        <v>413</v>
      </c>
      <c r="E300" s="142">
        <f t="shared" si="142"/>
        <v>0</v>
      </c>
      <c r="F300" s="142"/>
      <c r="G300" s="142"/>
      <c r="H300" s="142"/>
      <c r="I300" s="142"/>
      <c r="J300" s="142">
        <f t="shared" si="145"/>
        <v>133343652</v>
      </c>
      <c r="K300" s="142">
        <v>133343652</v>
      </c>
      <c r="L300" s="145"/>
      <c r="M300" s="142"/>
      <c r="N300" s="142"/>
      <c r="O300" s="142">
        <v>133343652</v>
      </c>
      <c r="P300" s="142">
        <f t="shared" si="143"/>
        <v>133343652</v>
      </c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  <c r="FW300" s="30"/>
      <c r="FX300" s="30"/>
      <c r="FY300" s="30"/>
      <c r="FZ300" s="30"/>
      <c r="GA300" s="30"/>
      <c r="GB300" s="30"/>
      <c r="GC300" s="30"/>
      <c r="GD300" s="30"/>
      <c r="GE300" s="30"/>
      <c r="GF300" s="30"/>
      <c r="GG300" s="30"/>
      <c r="GH300" s="30"/>
      <c r="GI300" s="30"/>
      <c r="GJ300" s="30"/>
      <c r="GK300" s="30"/>
      <c r="GL300" s="30"/>
      <c r="GM300" s="30"/>
      <c r="GN300" s="30"/>
      <c r="GO300" s="30"/>
      <c r="GP300" s="30"/>
      <c r="GQ300" s="30"/>
      <c r="GR300" s="30"/>
      <c r="GS300" s="30"/>
      <c r="GT300" s="30"/>
      <c r="GU300" s="30"/>
      <c r="GV300" s="30"/>
      <c r="GW300" s="30"/>
      <c r="GX300" s="30"/>
      <c r="GY300" s="30"/>
      <c r="GZ300" s="30"/>
      <c r="HA300" s="30"/>
      <c r="HB300" s="30"/>
      <c r="HC300" s="30"/>
      <c r="HD300" s="30"/>
      <c r="HE300" s="30"/>
      <c r="HF300" s="30"/>
      <c r="HG300" s="30"/>
      <c r="HH300" s="30"/>
      <c r="HI300" s="30"/>
      <c r="HJ300" s="30"/>
      <c r="HK300" s="30"/>
      <c r="HL300" s="30"/>
      <c r="HM300" s="30"/>
      <c r="HN300" s="30"/>
      <c r="HO300" s="30"/>
      <c r="HP300" s="30"/>
      <c r="HQ300" s="30"/>
      <c r="HR300" s="30"/>
      <c r="HS300" s="30"/>
      <c r="HT300" s="30"/>
      <c r="HU300" s="30"/>
      <c r="HV300" s="30"/>
      <c r="HW300" s="30"/>
      <c r="HX300" s="30"/>
      <c r="HY300" s="30"/>
      <c r="HZ300" s="30"/>
      <c r="IA300" s="30"/>
      <c r="IB300" s="30"/>
      <c r="IC300" s="30"/>
      <c r="ID300" s="30"/>
      <c r="IE300" s="30"/>
      <c r="IF300" s="30"/>
      <c r="IG300" s="30"/>
      <c r="IH300" s="30"/>
      <c r="II300" s="30"/>
      <c r="IJ300" s="30"/>
      <c r="IK300" s="30"/>
      <c r="IL300" s="30"/>
      <c r="IM300" s="30"/>
      <c r="IN300" s="30"/>
      <c r="IO300" s="30"/>
      <c r="IP300" s="30"/>
      <c r="IQ300" s="30"/>
      <c r="IR300" s="30"/>
      <c r="IS300" s="30"/>
      <c r="IT300" s="30"/>
      <c r="IU300" s="30"/>
      <c r="IV300" s="30"/>
      <c r="IW300" s="30"/>
      <c r="IX300" s="30"/>
      <c r="IY300" s="30"/>
      <c r="IZ300" s="30"/>
      <c r="JA300" s="30"/>
      <c r="JB300" s="30"/>
      <c r="JC300" s="30"/>
      <c r="JD300" s="30"/>
      <c r="JE300" s="30"/>
      <c r="JF300" s="30"/>
      <c r="JG300" s="30"/>
      <c r="JH300" s="30"/>
      <c r="JI300" s="30"/>
      <c r="JJ300" s="30"/>
      <c r="JK300" s="30"/>
      <c r="JL300" s="30"/>
      <c r="JM300" s="30"/>
      <c r="JN300" s="30"/>
      <c r="JO300" s="30"/>
      <c r="JP300" s="30"/>
      <c r="JQ300" s="30"/>
      <c r="JR300" s="30"/>
      <c r="JS300" s="30"/>
      <c r="JT300" s="30"/>
      <c r="JU300" s="30"/>
      <c r="JV300" s="30"/>
      <c r="JW300" s="30"/>
      <c r="JX300" s="30"/>
      <c r="JY300" s="30"/>
      <c r="JZ300" s="30"/>
      <c r="KA300" s="30"/>
      <c r="KB300" s="30"/>
      <c r="KC300" s="30"/>
      <c r="KD300" s="30"/>
      <c r="KE300" s="30"/>
      <c r="KF300" s="30"/>
      <c r="KG300" s="30"/>
      <c r="KH300" s="30"/>
      <c r="KI300" s="30"/>
      <c r="KJ300" s="30"/>
      <c r="KK300" s="30"/>
      <c r="KL300" s="30"/>
      <c r="KM300" s="30"/>
      <c r="KN300" s="30"/>
      <c r="KO300" s="30"/>
      <c r="KP300" s="30"/>
      <c r="KQ300" s="30"/>
      <c r="KR300" s="30"/>
      <c r="KS300" s="30"/>
      <c r="KT300" s="30"/>
      <c r="KU300" s="30"/>
      <c r="KV300" s="30"/>
      <c r="KW300" s="30"/>
      <c r="KX300" s="30"/>
      <c r="KY300" s="30"/>
      <c r="KZ300" s="30"/>
      <c r="LA300" s="30"/>
      <c r="LB300" s="30"/>
      <c r="LC300" s="30"/>
      <c r="LD300" s="30"/>
      <c r="LE300" s="30"/>
      <c r="LF300" s="30"/>
      <c r="LG300" s="30"/>
      <c r="LH300" s="30"/>
      <c r="LI300" s="30"/>
      <c r="LJ300" s="30"/>
      <c r="LK300" s="30"/>
      <c r="LL300" s="30"/>
      <c r="LM300" s="30"/>
      <c r="LN300" s="30"/>
      <c r="LO300" s="30"/>
      <c r="LP300" s="30"/>
      <c r="LQ300" s="30"/>
      <c r="LR300" s="30"/>
      <c r="LS300" s="30"/>
      <c r="LT300" s="30"/>
      <c r="LU300" s="30"/>
      <c r="LV300" s="30"/>
      <c r="LW300" s="30"/>
      <c r="LX300" s="30"/>
      <c r="LY300" s="30"/>
      <c r="LZ300" s="30"/>
      <c r="MA300" s="30"/>
      <c r="MB300" s="30"/>
      <c r="MC300" s="30"/>
      <c r="MD300" s="30"/>
      <c r="ME300" s="30"/>
      <c r="MF300" s="30"/>
      <c r="MG300" s="30"/>
      <c r="MH300" s="30"/>
      <c r="MI300" s="30"/>
      <c r="MJ300" s="30"/>
      <c r="MK300" s="30"/>
      <c r="ML300" s="30"/>
      <c r="MM300" s="30"/>
      <c r="MN300" s="30"/>
      <c r="MO300" s="30"/>
      <c r="MP300" s="30"/>
      <c r="MQ300" s="30"/>
      <c r="MR300" s="30"/>
      <c r="MS300" s="30"/>
      <c r="MT300" s="30"/>
      <c r="MU300" s="30"/>
      <c r="MV300" s="30"/>
      <c r="MW300" s="30"/>
      <c r="MX300" s="30"/>
      <c r="MY300" s="30"/>
      <c r="MZ300" s="30"/>
      <c r="NA300" s="30"/>
      <c r="NB300" s="30"/>
      <c r="NC300" s="30"/>
      <c r="ND300" s="30"/>
      <c r="NE300" s="30"/>
      <c r="NF300" s="30"/>
      <c r="NG300" s="30"/>
      <c r="NH300" s="30"/>
      <c r="NI300" s="30"/>
      <c r="NJ300" s="30"/>
      <c r="NK300" s="30"/>
      <c r="NL300" s="30"/>
      <c r="NM300" s="30"/>
      <c r="NN300" s="30"/>
      <c r="NO300" s="30"/>
      <c r="NP300" s="30"/>
      <c r="NQ300" s="30"/>
      <c r="NR300" s="30"/>
      <c r="NS300" s="30"/>
      <c r="NT300" s="30"/>
      <c r="NU300" s="30"/>
      <c r="NV300" s="30"/>
      <c r="NW300" s="30"/>
      <c r="NX300" s="30"/>
      <c r="NY300" s="30"/>
      <c r="NZ300" s="30"/>
      <c r="OA300" s="30"/>
      <c r="OB300" s="30"/>
      <c r="OC300" s="30"/>
      <c r="OD300" s="30"/>
      <c r="OE300" s="30"/>
      <c r="OF300" s="30"/>
      <c r="OG300" s="30"/>
      <c r="OH300" s="30"/>
      <c r="OI300" s="30"/>
      <c r="OJ300" s="30"/>
      <c r="OK300" s="30"/>
      <c r="OL300" s="30"/>
      <c r="OM300" s="30"/>
      <c r="ON300" s="30"/>
      <c r="OO300" s="30"/>
      <c r="OP300" s="30"/>
      <c r="OQ300" s="30"/>
      <c r="OR300" s="30"/>
      <c r="OS300" s="30"/>
      <c r="OT300" s="30"/>
      <c r="OU300" s="30"/>
      <c r="OV300" s="30"/>
      <c r="OW300" s="30"/>
      <c r="OX300" s="30"/>
      <c r="OY300" s="30"/>
      <c r="OZ300" s="30"/>
      <c r="PA300" s="30"/>
      <c r="PB300" s="30"/>
      <c r="PC300" s="30"/>
      <c r="PD300" s="30"/>
      <c r="PE300" s="30"/>
      <c r="PF300" s="30"/>
      <c r="PG300" s="30"/>
      <c r="PH300" s="30"/>
      <c r="PI300" s="30"/>
      <c r="PJ300" s="30"/>
      <c r="PK300" s="30"/>
      <c r="PL300" s="30"/>
      <c r="PM300" s="30"/>
      <c r="PN300" s="30"/>
      <c r="PO300" s="30"/>
      <c r="PP300" s="30"/>
      <c r="PQ300" s="30"/>
      <c r="PR300" s="30"/>
      <c r="PS300" s="30"/>
      <c r="PT300" s="30"/>
      <c r="PU300" s="30"/>
      <c r="PV300" s="30"/>
      <c r="PW300" s="30"/>
      <c r="PX300" s="30"/>
      <c r="PY300" s="30"/>
      <c r="PZ300" s="30"/>
      <c r="QA300" s="30"/>
      <c r="QB300" s="30"/>
      <c r="QC300" s="30"/>
      <c r="QD300" s="30"/>
      <c r="QE300" s="30"/>
      <c r="QF300" s="30"/>
      <c r="QG300" s="30"/>
      <c r="QH300" s="30"/>
      <c r="QI300" s="30"/>
      <c r="QJ300" s="30"/>
      <c r="QK300" s="30"/>
      <c r="QL300" s="30"/>
      <c r="QM300" s="30"/>
      <c r="QN300" s="30"/>
      <c r="QO300" s="30"/>
      <c r="QP300" s="30"/>
      <c r="QQ300" s="30"/>
      <c r="QR300" s="30"/>
      <c r="QS300" s="30"/>
      <c r="QT300" s="30"/>
      <c r="QU300" s="30"/>
      <c r="QV300" s="30"/>
      <c r="QW300" s="30"/>
      <c r="QX300" s="30"/>
      <c r="QY300" s="30"/>
      <c r="QZ300" s="30"/>
      <c r="RA300" s="30"/>
      <c r="RB300" s="30"/>
      <c r="RC300" s="30"/>
      <c r="RD300" s="30"/>
      <c r="RE300" s="30"/>
      <c r="RF300" s="30"/>
      <c r="RG300" s="30"/>
      <c r="RH300" s="30"/>
      <c r="RI300" s="30"/>
      <c r="RJ300" s="30"/>
      <c r="RK300" s="30"/>
      <c r="RL300" s="30"/>
      <c r="RM300" s="30"/>
      <c r="RN300" s="30"/>
      <c r="RO300" s="30"/>
      <c r="RP300" s="30"/>
      <c r="RQ300" s="30"/>
      <c r="RR300" s="30"/>
      <c r="RS300" s="30"/>
      <c r="RT300" s="30"/>
      <c r="RU300" s="30"/>
      <c r="RV300" s="30"/>
      <c r="RW300" s="30"/>
      <c r="RX300" s="30"/>
      <c r="RY300" s="30"/>
      <c r="RZ300" s="30"/>
      <c r="SA300" s="30"/>
      <c r="SB300" s="30"/>
      <c r="SC300" s="30"/>
      <c r="SD300" s="30"/>
      <c r="SE300" s="30"/>
      <c r="SF300" s="30"/>
      <c r="SG300" s="30"/>
      <c r="SH300" s="30"/>
      <c r="SI300" s="30"/>
      <c r="SJ300" s="30"/>
      <c r="SK300" s="30"/>
      <c r="SL300" s="30"/>
      <c r="SM300" s="30"/>
      <c r="SN300" s="30"/>
      <c r="SO300" s="30"/>
      <c r="SP300" s="30"/>
      <c r="SQ300" s="30"/>
      <c r="SR300" s="30"/>
      <c r="SS300" s="30"/>
      <c r="ST300" s="30"/>
      <c r="SU300" s="30"/>
      <c r="SV300" s="30"/>
      <c r="SW300" s="30"/>
      <c r="SX300" s="30"/>
      <c r="SY300" s="30"/>
      <c r="SZ300" s="30"/>
      <c r="TA300" s="30"/>
      <c r="TB300" s="30"/>
      <c r="TC300" s="30"/>
      <c r="TD300" s="30"/>
      <c r="TE300" s="30"/>
    </row>
    <row r="301" spans="1:525" s="22" customFormat="1" ht="126" hidden="1" customHeight="1" x14ac:dyDescent="0.25">
      <c r="A301" s="56" t="s">
        <v>364</v>
      </c>
      <c r="B301" s="84">
        <v>7691</v>
      </c>
      <c r="C301" s="37" t="s">
        <v>81</v>
      </c>
      <c r="D301" s="57" t="s">
        <v>309</v>
      </c>
      <c r="E301" s="141">
        <f t="shared" si="142"/>
        <v>0</v>
      </c>
      <c r="F301" s="141"/>
      <c r="G301" s="141"/>
      <c r="H301" s="141"/>
      <c r="I301" s="141"/>
      <c r="J301" s="141">
        <f t="shared" si="145"/>
        <v>0</v>
      </c>
      <c r="K301" s="141"/>
      <c r="L301" s="143"/>
      <c r="M301" s="141"/>
      <c r="N301" s="141"/>
      <c r="O301" s="141"/>
      <c r="P301" s="141">
        <f t="shared" si="143"/>
        <v>0</v>
      </c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</row>
    <row r="302" spans="1:525" s="22" customFormat="1" ht="31.5" hidden="1" customHeight="1" x14ac:dyDescent="0.25">
      <c r="A302" s="56" t="s">
        <v>507</v>
      </c>
      <c r="B302" s="84">
        <v>9750</v>
      </c>
      <c r="C302" s="56" t="s">
        <v>44</v>
      </c>
      <c r="D302" s="57" t="s">
        <v>508</v>
      </c>
      <c r="E302" s="141">
        <f t="shared" ref="E302" si="150">F302+I302</f>
        <v>0</v>
      </c>
      <c r="F302" s="141"/>
      <c r="G302" s="141"/>
      <c r="H302" s="141"/>
      <c r="I302" s="141"/>
      <c r="J302" s="141">
        <f t="shared" ref="J302" si="151">L302+O302</f>
        <v>0</v>
      </c>
      <c r="K302" s="141"/>
      <c r="L302" s="143"/>
      <c r="M302" s="141"/>
      <c r="N302" s="141"/>
      <c r="O302" s="141"/>
      <c r="P302" s="141">
        <f t="shared" ref="P302" si="152">E302+J302</f>
        <v>0</v>
      </c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</row>
    <row r="303" spans="1:525" s="27" customFormat="1" ht="33.75" customHeight="1" x14ac:dyDescent="0.25">
      <c r="A303" s="96" t="s">
        <v>204</v>
      </c>
      <c r="B303" s="98"/>
      <c r="C303" s="98"/>
      <c r="D303" s="93" t="s">
        <v>39</v>
      </c>
      <c r="E303" s="139">
        <f>E304</f>
        <v>12732400</v>
      </c>
      <c r="F303" s="139">
        <f t="shared" ref="F303:J303" si="153">F304</f>
        <v>9582400</v>
      </c>
      <c r="G303" s="139">
        <f t="shared" si="153"/>
        <v>7116800</v>
      </c>
      <c r="H303" s="139">
        <f t="shared" si="153"/>
        <v>164400</v>
      </c>
      <c r="I303" s="139">
        <f t="shared" si="153"/>
        <v>3150000</v>
      </c>
      <c r="J303" s="139">
        <f t="shared" si="153"/>
        <v>937482</v>
      </c>
      <c r="K303" s="139">
        <f t="shared" ref="K303" si="154">K304</f>
        <v>0</v>
      </c>
      <c r="L303" s="139">
        <f t="shared" ref="L303" si="155">L304</f>
        <v>937482</v>
      </c>
      <c r="M303" s="139">
        <f t="shared" ref="M303" si="156">M304</f>
        <v>0</v>
      </c>
      <c r="N303" s="139">
        <f t="shared" ref="N303" si="157">N304</f>
        <v>0</v>
      </c>
      <c r="O303" s="139">
        <f t="shared" ref="O303:P303" si="158">O304</f>
        <v>0</v>
      </c>
      <c r="P303" s="139">
        <f t="shared" si="158"/>
        <v>13669882</v>
      </c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  <c r="ID303" s="32"/>
      <c r="IE303" s="32"/>
      <c r="IF303" s="32"/>
      <c r="IG303" s="32"/>
      <c r="IH303" s="32"/>
      <c r="II303" s="32"/>
      <c r="IJ303" s="32"/>
      <c r="IK303" s="32"/>
      <c r="IL303" s="32"/>
      <c r="IM303" s="32"/>
      <c r="IN303" s="32"/>
      <c r="IO303" s="32"/>
      <c r="IP303" s="32"/>
      <c r="IQ303" s="32"/>
      <c r="IR303" s="32"/>
      <c r="IS303" s="32"/>
      <c r="IT303" s="32"/>
      <c r="IU303" s="32"/>
      <c r="IV303" s="32"/>
      <c r="IW303" s="32"/>
      <c r="IX303" s="32"/>
      <c r="IY303" s="32"/>
      <c r="IZ303" s="32"/>
      <c r="JA303" s="32"/>
      <c r="JB303" s="32"/>
      <c r="JC303" s="32"/>
      <c r="JD303" s="32"/>
      <c r="JE303" s="32"/>
      <c r="JF303" s="32"/>
      <c r="JG303" s="32"/>
      <c r="JH303" s="32"/>
      <c r="JI303" s="32"/>
      <c r="JJ303" s="32"/>
      <c r="JK303" s="32"/>
      <c r="JL303" s="32"/>
      <c r="JM303" s="32"/>
      <c r="JN303" s="32"/>
      <c r="JO303" s="32"/>
      <c r="JP303" s="32"/>
      <c r="JQ303" s="32"/>
      <c r="JR303" s="32"/>
      <c r="JS303" s="32"/>
      <c r="JT303" s="32"/>
      <c r="JU303" s="32"/>
      <c r="JV303" s="32"/>
      <c r="JW303" s="32"/>
      <c r="JX303" s="32"/>
      <c r="JY303" s="32"/>
      <c r="JZ303" s="32"/>
      <c r="KA303" s="32"/>
      <c r="KB303" s="32"/>
      <c r="KC303" s="32"/>
      <c r="KD303" s="32"/>
      <c r="KE303" s="32"/>
      <c r="KF303" s="32"/>
      <c r="KG303" s="32"/>
      <c r="KH303" s="32"/>
      <c r="KI303" s="32"/>
      <c r="KJ303" s="32"/>
      <c r="KK303" s="32"/>
      <c r="KL303" s="32"/>
      <c r="KM303" s="32"/>
      <c r="KN303" s="32"/>
      <c r="KO303" s="32"/>
      <c r="KP303" s="32"/>
      <c r="KQ303" s="32"/>
      <c r="KR303" s="32"/>
      <c r="KS303" s="32"/>
      <c r="KT303" s="32"/>
      <c r="KU303" s="32"/>
      <c r="KV303" s="32"/>
      <c r="KW303" s="32"/>
      <c r="KX303" s="32"/>
      <c r="KY303" s="32"/>
      <c r="KZ303" s="32"/>
      <c r="LA303" s="32"/>
      <c r="LB303" s="32"/>
      <c r="LC303" s="32"/>
      <c r="LD303" s="32"/>
      <c r="LE303" s="32"/>
      <c r="LF303" s="32"/>
      <c r="LG303" s="32"/>
      <c r="LH303" s="32"/>
      <c r="LI303" s="32"/>
      <c r="LJ303" s="32"/>
      <c r="LK303" s="32"/>
      <c r="LL303" s="32"/>
      <c r="LM303" s="32"/>
      <c r="LN303" s="32"/>
      <c r="LO303" s="32"/>
      <c r="LP303" s="32"/>
      <c r="LQ303" s="32"/>
      <c r="LR303" s="32"/>
      <c r="LS303" s="32"/>
      <c r="LT303" s="32"/>
      <c r="LU303" s="32"/>
      <c r="LV303" s="32"/>
      <c r="LW303" s="32"/>
      <c r="LX303" s="32"/>
      <c r="LY303" s="32"/>
      <c r="LZ303" s="32"/>
      <c r="MA303" s="32"/>
      <c r="MB303" s="32"/>
      <c r="MC303" s="32"/>
      <c r="MD303" s="32"/>
      <c r="ME303" s="32"/>
      <c r="MF303" s="32"/>
      <c r="MG303" s="32"/>
      <c r="MH303" s="32"/>
      <c r="MI303" s="32"/>
      <c r="MJ303" s="32"/>
      <c r="MK303" s="32"/>
      <c r="ML303" s="32"/>
      <c r="MM303" s="32"/>
      <c r="MN303" s="32"/>
      <c r="MO303" s="32"/>
      <c r="MP303" s="32"/>
      <c r="MQ303" s="32"/>
      <c r="MR303" s="32"/>
      <c r="MS303" s="32"/>
      <c r="MT303" s="32"/>
      <c r="MU303" s="32"/>
      <c r="MV303" s="32"/>
      <c r="MW303" s="32"/>
      <c r="MX303" s="32"/>
      <c r="MY303" s="32"/>
      <c r="MZ303" s="32"/>
      <c r="NA303" s="32"/>
      <c r="NB303" s="32"/>
      <c r="NC303" s="32"/>
      <c r="ND303" s="32"/>
      <c r="NE303" s="32"/>
      <c r="NF303" s="32"/>
      <c r="NG303" s="32"/>
      <c r="NH303" s="32"/>
      <c r="NI303" s="32"/>
      <c r="NJ303" s="32"/>
      <c r="NK303" s="32"/>
      <c r="NL303" s="32"/>
      <c r="NM303" s="32"/>
      <c r="NN303" s="32"/>
      <c r="NO303" s="32"/>
      <c r="NP303" s="32"/>
      <c r="NQ303" s="32"/>
      <c r="NR303" s="32"/>
      <c r="NS303" s="32"/>
      <c r="NT303" s="32"/>
      <c r="NU303" s="32"/>
      <c r="NV303" s="32"/>
      <c r="NW303" s="32"/>
      <c r="NX303" s="32"/>
      <c r="NY303" s="32"/>
      <c r="NZ303" s="32"/>
      <c r="OA303" s="32"/>
      <c r="OB303" s="32"/>
      <c r="OC303" s="32"/>
      <c r="OD303" s="32"/>
      <c r="OE303" s="32"/>
      <c r="OF303" s="32"/>
      <c r="OG303" s="32"/>
      <c r="OH303" s="32"/>
      <c r="OI303" s="32"/>
      <c r="OJ303" s="32"/>
      <c r="OK303" s="32"/>
      <c r="OL303" s="32"/>
      <c r="OM303" s="32"/>
      <c r="ON303" s="32"/>
      <c r="OO303" s="32"/>
      <c r="OP303" s="32"/>
      <c r="OQ303" s="32"/>
      <c r="OR303" s="32"/>
      <c r="OS303" s="32"/>
      <c r="OT303" s="32"/>
      <c r="OU303" s="32"/>
      <c r="OV303" s="32"/>
      <c r="OW303" s="32"/>
      <c r="OX303" s="32"/>
      <c r="OY303" s="32"/>
      <c r="OZ303" s="32"/>
      <c r="PA303" s="32"/>
      <c r="PB303" s="32"/>
      <c r="PC303" s="32"/>
      <c r="PD303" s="32"/>
      <c r="PE303" s="32"/>
      <c r="PF303" s="32"/>
      <c r="PG303" s="32"/>
      <c r="PH303" s="32"/>
      <c r="PI303" s="32"/>
      <c r="PJ303" s="32"/>
      <c r="PK303" s="32"/>
      <c r="PL303" s="32"/>
      <c r="PM303" s="32"/>
      <c r="PN303" s="32"/>
      <c r="PO303" s="32"/>
      <c r="PP303" s="32"/>
      <c r="PQ303" s="32"/>
      <c r="PR303" s="32"/>
      <c r="PS303" s="32"/>
      <c r="PT303" s="32"/>
      <c r="PU303" s="32"/>
      <c r="PV303" s="32"/>
      <c r="PW303" s="32"/>
      <c r="PX303" s="32"/>
      <c r="PY303" s="32"/>
      <c r="PZ303" s="32"/>
      <c r="QA303" s="32"/>
      <c r="QB303" s="32"/>
      <c r="QC303" s="32"/>
      <c r="QD303" s="32"/>
      <c r="QE303" s="32"/>
      <c r="QF303" s="32"/>
      <c r="QG303" s="32"/>
      <c r="QH303" s="32"/>
      <c r="QI303" s="32"/>
      <c r="QJ303" s="32"/>
      <c r="QK303" s="32"/>
      <c r="QL303" s="32"/>
      <c r="QM303" s="32"/>
      <c r="QN303" s="32"/>
      <c r="QO303" s="32"/>
      <c r="QP303" s="32"/>
      <c r="QQ303" s="32"/>
      <c r="QR303" s="32"/>
      <c r="QS303" s="32"/>
      <c r="QT303" s="32"/>
      <c r="QU303" s="32"/>
      <c r="QV303" s="32"/>
      <c r="QW303" s="32"/>
      <c r="QX303" s="32"/>
      <c r="QY303" s="32"/>
      <c r="QZ303" s="32"/>
      <c r="RA303" s="32"/>
      <c r="RB303" s="32"/>
      <c r="RC303" s="32"/>
      <c r="RD303" s="32"/>
      <c r="RE303" s="32"/>
      <c r="RF303" s="32"/>
      <c r="RG303" s="32"/>
      <c r="RH303" s="32"/>
      <c r="RI303" s="32"/>
      <c r="RJ303" s="32"/>
      <c r="RK303" s="32"/>
      <c r="RL303" s="32"/>
      <c r="RM303" s="32"/>
      <c r="RN303" s="32"/>
      <c r="RO303" s="32"/>
      <c r="RP303" s="32"/>
      <c r="RQ303" s="32"/>
      <c r="RR303" s="32"/>
      <c r="RS303" s="32"/>
      <c r="RT303" s="32"/>
      <c r="RU303" s="32"/>
      <c r="RV303" s="32"/>
      <c r="RW303" s="32"/>
      <c r="RX303" s="32"/>
      <c r="RY303" s="32"/>
      <c r="RZ303" s="32"/>
      <c r="SA303" s="32"/>
      <c r="SB303" s="32"/>
      <c r="SC303" s="32"/>
      <c r="SD303" s="32"/>
      <c r="SE303" s="32"/>
      <c r="SF303" s="32"/>
      <c r="SG303" s="32"/>
      <c r="SH303" s="32"/>
      <c r="SI303" s="32"/>
      <c r="SJ303" s="32"/>
      <c r="SK303" s="32"/>
      <c r="SL303" s="32"/>
      <c r="SM303" s="32"/>
      <c r="SN303" s="32"/>
      <c r="SO303" s="32"/>
      <c r="SP303" s="32"/>
      <c r="SQ303" s="32"/>
      <c r="SR303" s="32"/>
      <c r="SS303" s="32"/>
      <c r="ST303" s="32"/>
      <c r="SU303" s="32"/>
      <c r="SV303" s="32"/>
      <c r="SW303" s="32"/>
      <c r="SX303" s="32"/>
      <c r="SY303" s="32"/>
      <c r="SZ303" s="32"/>
      <c r="TA303" s="32"/>
      <c r="TB303" s="32"/>
      <c r="TC303" s="32"/>
      <c r="TD303" s="32"/>
      <c r="TE303" s="32"/>
    </row>
    <row r="304" spans="1:525" s="34" customFormat="1" ht="35.25" customHeight="1" x14ac:dyDescent="0.25">
      <c r="A304" s="86" t="s">
        <v>205</v>
      </c>
      <c r="B304" s="95"/>
      <c r="C304" s="95"/>
      <c r="D304" s="70" t="s">
        <v>39</v>
      </c>
      <c r="E304" s="140">
        <f>E305+E306+E308+E309+E310+E307</f>
        <v>12732400</v>
      </c>
      <c r="F304" s="140">
        <f t="shared" ref="F304:P304" si="159">F305+F306+F308+F309+F310+F307</f>
        <v>9582400</v>
      </c>
      <c r="G304" s="140">
        <f t="shared" si="159"/>
        <v>7116800</v>
      </c>
      <c r="H304" s="140">
        <f t="shared" si="159"/>
        <v>164400</v>
      </c>
      <c r="I304" s="140">
        <f t="shared" si="159"/>
        <v>3150000</v>
      </c>
      <c r="J304" s="140">
        <f t="shared" si="159"/>
        <v>937482</v>
      </c>
      <c r="K304" s="140">
        <f t="shared" si="159"/>
        <v>0</v>
      </c>
      <c r="L304" s="140">
        <f t="shared" si="159"/>
        <v>937482</v>
      </c>
      <c r="M304" s="140">
        <f t="shared" si="159"/>
        <v>0</v>
      </c>
      <c r="N304" s="140">
        <f t="shared" si="159"/>
        <v>0</v>
      </c>
      <c r="O304" s="140">
        <f t="shared" si="159"/>
        <v>0</v>
      </c>
      <c r="P304" s="140">
        <f t="shared" si="159"/>
        <v>13669882</v>
      </c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  <c r="GB304" s="33"/>
      <c r="GC304" s="33"/>
      <c r="GD304" s="33"/>
      <c r="GE304" s="33"/>
      <c r="GF304" s="33"/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33"/>
      <c r="GZ304" s="33"/>
      <c r="HA304" s="33"/>
      <c r="HB304" s="33"/>
      <c r="HC304" s="33"/>
      <c r="HD304" s="33"/>
      <c r="HE304" s="33"/>
      <c r="HF304" s="33"/>
      <c r="HG304" s="33"/>
      <c r="HH304" s="33"/>
      <c r="HI304" s="33"/>
      <c r="HJ304" s="33"/>
      <c r="HK304" s="33"/>
      <c r="HL304" s="33"/>
      <c r="HM304" s="33"/>
      <c r="HN304" s="33"/>
      <c r="HO304" s="33"/>
      <c r="HP304" s="33"/>
      <c r="HQ304" s="33"/>
      <c r="HR304" s="33"/>
      <c r="HS304" s="33"/>
      <c r="HT304" s="33"/>
      <c r="HU304" s="33"/>
      <c r="HV304" s="33"/>
      <c r="HW304" s="33"/>
      <c r="HX304" s="33"/>
      <c r="HY304" s="33"/>
      <c r="HZ304" s="33"/>
      <c r="IA304" s="33"/>
      <c r="IB304" s="33"/>
      <c r="IC304" s="33"/>
      <c r="ID304" s="33"/>
      <c r="IE304" s="33"/>
      <c r="IF304" s="33"/>
      <c r="IG304" s="33"/>
      <c r="IH304" s="33"/>
      <c r="II304" s="33"/>
      <c r="IJ304" s="33"/>
      <c r="IK304" s="33"/>
      <c r="IL304" s="33"/>
      <c r="IM304" s="33"/>
      <c r="IN304" s="33"/>
      <c r="IO304" s="33"/>
      <c r="IP304" s="33"/>
      <c r="IQ304" s="33"/>
      <c r="IR304" s="33"/>
      <c r="IS304" s="33"/>
      <c r="IT304" s="33"/>
      <c r="IU304" s="33"/>
      <c r="IV304" s="33"/>
      <c r="IW304" s="33"/>
      <c r="IX304" s="33"/>
      <c r="IY304" s="33"/>
      <c r="IZ304" s="33"/>
      <c r="JA304" s="33"/>
      <c r="JB304" s="33"/>
      <c r="JC304" s="33"/>
      <c r="JD304" s="33"/>
      <c r="JE304" s="33"/>
      <c r="JF304" s="33"/>
      <c r="JG304" s="33"/>
      <c r="JH304" s="33"/>
      <c r="JI304" s="33"/>
      <c r="JJ304" s="33"/>
      <c r="JK304" s="33"/>
      <c r="JL304" s="33"/>
      <c r="JM304" s="33"/>
      <c r="JN304" s="33"/>
      <c r="JO304" s="33"/>
      <c r="JP304" s="33"/>
      <c r="JQ304" s="33"/>
      <c r="JR304" s="33"/>
      <c r="JS304" s="33"/>
      <c r="JT304" s="33"/>
      <c r="JU304" s="33"/>
      <c r="JV304" s="33"/>
      <c r="JW304" s="33"/>
      <c r="JX304" s="33"/>
      <c r="JY304" s="33"/>
      <c r="JZ304" s="33"/>
      <c r="KA304" s="33"/>
      <c r="KB304" s="33"/>
      <c r="KC304" s="33"/>
      <c r="KD304" s="33"/>
      <c r="KE304" s="33"/>
      <c r="KF304" s="33"/>
      <c r="KG304" s="33"/>
      <c r="KH304" s="33"/>
      <c r="KI304" s="33"/>
      <c r="KJ304" s="33"/>
      <c r="KK304" s="33"/>
      <c r="KL304" s="33"/>
      <c r="KM304" s="33"/>
      <c r="KN304" s="33"/>
      <c r="KO304" s="33"/>
      <c r="KP304" s="33"/>
      <c r="KQ304" s="33"/>
      <c r="KR304" s="33"/>
      <c r="KS304" s="33"/>
      <c r="KT304" s="33"/>
      <c r="KU304" s="33"/>
      <c r="KV304" s="33"/>
      <c r="KW304" s="33"/>
      <c r="KX304" s="33"/>
      <c r="KY304" s="33"/>
      <c r="KZ304" s="33"/>
      <c r="LA304" s="33"/>
      <c r="LB304" s="33"/>
      <c r="LC304" s="33"/>
      <c r="LD304" s="33"/>
      <c r="LE304" s="33"/>
      <c r="LF304" s="33"/>
      <c r="LG304" s="33"/>
      <c r="LH304" s="33"/>
      <c r="LI304" s="33"/>
      <c r="LJ304" s="33"/>
      <c r="LK304" s="33"/>
      <c r="LL304" s="33"/>
      <c r="LM304" s="33"/>
      <c r="LN304" s="33"/>
      <c r="LO304" s="33"/>
      <c r="LP304" s="33"/>
      <c r="LQ304" s="33"/>
      <c r="LR304" s="33"/>
      <c r="LS304" s="33"/>
      <c r="LT304" s="33"/>
      <c r="LU304" s="33"/>
      <c r="LV304" s="33"/>
      <c r="LW304" s="33"/>
      <c r="LX304" s="33"/>
      <c r="LY304" s="33"/>
      <c r="LZ304" s="33"/>
      <c r="MA304" s="33"/>
      <c r="MB304" s="33"/>
      <c r="MC304" s="33"/>
      <c r="MD304" s="33"/>
      <c r="ME304" s="33"/>
      <c r="MF304" s="33"/>
      <c r="MG304" s="33"/>
      <c r="MH304" s="33"/>
      <c r="MI304" s="33"/>
      <c r="MJ304" s="33"/>
      <c r="MK304" s="33"/>
      <c r="ML304" s="33"/>
      <c r="MM304" s="33"/>
      <c r="MN304" s="33"/>
      <c r="MO304" s="33"/>
      <c r="MP304" s="33"/>
      <c r="MQ304" s="33"/>
      <c r="MR304" s="33"/>
      <c r="MS304" s="33"/>
      <c r="MT304" s="33"/>
      <c r="MU304" s="33"/>
      <c r="MV304" s="33"/>
      <c r="MW304" s="33"/>
      <c r="MX304" s="33"/>
      <c r="MY304" s="33"/>
      <c r="MZ304" s="33"/>
      <c r="NA304" s="33"/>
      <c r="NB304" s="33"/>
      <c r="NC304" s="33"/>
      <c r="ND304" s="33"/>
      <c r="NE304" s="33"/>
      <c r="NF304" s="33"/>
      <c r="NG304" s="33"/>
      <c r="NH304" s="33"/>
      <c r="NI304" s="33"/>
      <c r="NJ304" s="33"/>
      <c r="NK304" s="33"/>
      <c r="NL304" s="33"/>
      <c r="NM304" s="33"/>
      <c r="NN304" s="33"/>
      <c r="NO304" s="33"/>
      <c r="NP304" s="33"/>
      <c r="NQ304" s="33"/>
      <c r="NR304" s="33"/>
      <c r="NS304" s="33"/>
      <c r="NT304" s="33"/>
      <c r="NU304" s="33"/>
      <c r="NV304" s="33"/>
      <c r="NW304" s="33"/>
      <c r="NX304" s="33"/>
      <c r="NY304" s="33"/>
      <c r="NZ304" s="33"/>
      <c r="OA304" s="33"/>
      <c r="OB304" s="33"/>
      <c r="OC304" s="33"/>
      <c r="OD304" s="33"/>
      <c r="OE304" s="33"/>
      <c r="OF304" s="33"/>
      <c r="OG304" s="33"/>
      <c r="OH304" s="33"/>
      <c r="OI304" s="33"/>
      <c r="OJ304" s="33"/>
      <c r="OK304" s="33"/>
      <c r="OL304" s="33"/>
      <c r="OM304" s="33"/>
      <c r="ON304" s="33"/>
      <c r="OO304" s="33"/>
      <c r="OP304" s="33"/>
      <c r="OQ304" s="33"/>
      <c r="OR304" s="33"/>
      <c r="OS304" s="33"/>
      <c r="OT304" s="33"/>
      <c r="OU304" s="33"/>
      <c r="OV304" s="33"/>
      <c r="OW304" s="33"/>
      <c r="OX304" s="33"/>
      <c r="OY304" s="33"/>
      <c r="OZ304" s="33"/>
      <c r="PA304" s="33"/>
      <c r="PB304" s="33"/>
      <c r="PC304" s="33"/>
      <c r="PD304" s="33"/>
      <c r="PE304" s="33"/>
      <c r="PF304" s="33"/>
      <c r="PG304" s="33"/>
      <c r="PH304" s="33"/>
      <c r="PI304" s="33"/>
      <c r="PJ304" s="33"/>
      <c r="PK304" s="33"/>
      <c r="PL304" s="33"/>
      <c r="PM304" s="33"/>
      <c r="PN304" s="33"/>
      <c r="PO304" s="33"/>
      <c r="PP304" s="33"/>
      <c r="PQ304" s="33"/>
      <c r="PR304" s="33"/>
      <c r="PS304" s="33"/>
      <c r="PT304" s="33"/>
      <c r="PU304" s="33"/>
      <c r="PV304" s="33"/>
      <c r="PW304" s="33"/>
      <c r="PX304" s="33"/>
      <c r="PY304" s="33"/>
      <c r="PZ304" s="33"/>
      <c r="QA304" s="33"/>
      <c r="QB304" s="33"/>
      <c r="QC304" s="33"/>
      <c r="QD304" s="33"/>
      <c r="QE304" s="33"/>
      <c r="QF304" s="33"/>
      <c r="QG304" s="33"/>
      <c r="QH304" s="33"/>
      <c r="QI304" s="33"/>
      <c r="QJ304" s="33"/>
      <c r="QK304" s="33"/>
      <c r="QL304" s="33"/>
      <c r="QM304" s="33"/>
      <c r="QN304" s="33"/>
      <c r="QO304" s="33"/>
      <c r="QP304" s="33"/>
      <c r="QQ304" s="33"/>
      <c r="QR304" s="33"/>
      <c r="QS304" s="33"/>
      <c r="QT304" s="33"/>
      <c r="QU304" s="33"/>
      <c r="QV304" s="33"/>
      <c r="QW304" s="33"/>
      <c r="QX304" s="33"/>
      <c r="QY304" s="33"/>
      <c r="QZ304" s="33"/>
      <c r="RA304" s="33"/>
      <c r="RB304" s="33"/>
      <c r="RC304" s="33"/>
      <c r="RD304" s="33"/>
      <c r="RE304" s="33"/>
      <c r="RF304" s="33"/>
      <c r="RG304" s="33"/>
      <c r="RH304" s="33"/>
      <c r="RI304" s="33"/>
      <c r="RJ304" s="33"/>
      <c r="RK304" s="33"/>
      <c r="RL304" s="33"/>
      <c r="RM304" s="33"/>
      <c r="RN304" s="33"/>
      <c r="RO304" s="33"/>
      <c r="RP304" s="33"/>
      <c r="RQ304" s="33"/>
      <c r="RR304" s="33"/>
      <c r="RS304" s="33"/>
      <c r="RT304" s="33"/>
      <c r="RU304" s="33"/>
      <c r="RV304" s="33"/>
      <c r="RW304" s="33"/>
      <c r="RX304" s="33"/>
      <c r="RY304" s="33"/>
      <c r="RZ304" s="33"/>
      <c r="SA304" s="33"/>
      <c r="SB304" s="33"/>
      <c r="SC304" s="33"/>
      <c r="SD304" s="33"/>
      <c r="SE304" s="33"/>
      <c r="SF304" s="33"/>
      <c r="SG304" s="33"/>
      <c r="SH304" s="33"/>
      <c r="SI304" s="33"/>
      <c r="SJ304" s="33"/>
      <c r="SK304" s="33"/>
      <c r="SL304" s="33"/>
      <c r="SM304" s="33"/>
      <c r="SN304" s="33"/>
      <c r="SO304" s="33"/>
      <c r="SP304" s="33"/>
      <c r="SQ304" s="33"/>
      <c r="SR304" s="33"/>
      <c r="SS304" s="33"/>
      <c r="ST304" s="33"/>
      <c r="SU304" s="33"/>
      <c r="SV304" s="33"/>
      <c r="SW304" s="33"/>
      <c r="SX304" s="33"/>
      <c r="SY304" s="33"/>
      <c r="SZ304" s="33"/>
      <c r="TA304" s="33"/>
      <c r="TB304" s="33"/>
      <c r="TC304" s="33"/>
      <c r="TD304" s="33"/>
      <c r="TE304" s="33"/>
    </row>
    <row r="305" spans="1:525" s="22" customFormat="1" ht="47.25" x14ac:dyDescent="0.25">
      <c r="A305" s="56" t="s">
        <v>206</v>
      </c>
      <c r="B305" s="84" t="str">
        <f>'дод 5'!A18</f>
        <v>0160</v>
      </c>
      <c r="C305" s="84" t="str">
        <f>'дод 5'!B18</f>
        <v>0111</v>
      </c>
      <c r="D305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305" s="141">
        <f t="shared" ref="E305:E310" si="160">F305+I305</f>
        <v>9199900</v>
      </c>
      <c r="F305" s="141">
        <f>9916700-716800</f>
        <v>9199900</v>
      </c>
      <c r="G305" s="141">
        <f>7704300-587500</f>
        <v>7116800</v>
      </c>
      <c r="H305" s="141">
        <v>164400</v>
      </c>
      <c r="I305" s="141"/>
      <c r="J305" s="141">
        <f t="shared" si="145"/>
        <v>0</v>
      </c>
      <c r="K305" s="141"/>
      <c r="L305" s="141"/>
      <c r="M305" s="141"/>
      <c r="N305" s="141"/>
      <c r="O305" s="141"/>
      <c r="P305" s="141">
        <f t="shared" ref="P305:P310" si="161">E305+J305</f>
        <v>9199900</v>
      </c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</row>
    <row r="306" spans="1:525" s="22" customFormat="1" ht="31.5" x14ac:dyDescent="0.25">
      <c r="A306" s="56" t="s">
        <v>306</v>
      </c>
      <c r="B306" s="84" t="str">
        <f>'дод 5'!A170</f>
        <v>6090</v>
      </c>
      <c r="C306" s="84" t="str">
        <f>'дод 5'!B170</f>
        <v>0640</v>
      </c>
      <c r="D306" s="57" t="str">
        <f>'дод 5'!C170</f>
        <v>Інша діяльність у сфері житлово-комунального господарства</v>
      </c>
      <c r="E306" s="141">
        <f t="shared" si="160"/>
        <v>135000</v>
      </c>
      <c r="F306" s="141">
        <v>135000</v>
      </c>
      <c r="G306" s="141"/>
      <c r="H306" s="141"/>
      <c r="I306" s="141"/>
      <c r="J306" s="141">
        <f t="shared" si="145"/>
        <v>0</v>
      </c>
      <c r="K306" s="141"/>
      <c r="L306" s="141"/>
      <c r="M306" s="141"/>
      <c r="N306" s="141"/>
      <c r="O306" s="141"/>
      <c r="P306" s="141">
        <f t="shared" si="161"/>
        <v>135000</v>
      </c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</row>
    <row r="307" spans="1:525" s="22" customFormat="1" ht="31.5" x14ac:dyDescent="0.25">
      <c r="A307" s="56" t="s">
        <v>585</v>
      </c>
      <c r="B307" s="84">
        <v>7340</v>
      </c>
      <c r="C307" s="56" t="s">
        <v>110</v>
      </c>
      <c r="D307" s="57" t="str">
        <f>'дод 5'!C189</f>
        <v>Проектування, реставрація та охорона пам'яток архітектури</v>
      </c>
      <c r="E307" s="141">
        <f t="shared" si="160"/>
        <v>247500</v>
      </c>
      <c r="F307" s="141">
        <v>247500</v>
      </c>
      <c r="G307" s="141"/>
      <c r="H307" s="141"/>
      <c r="I307" s="141"/>
      <c r="J307" s="141">
        <f t="shared" si="145"/>
        <v>0</v>
      </c>
      <c r="K307" s="141"/>
      <c r="L307" s="141"/>
      <c r="M307" s="141"/>
      <c r="N307" s="141"/>
      <c r="O307" s="141"/>
      <c r="P307" s="141">
        <f t="shared" si="161"/>
        <v>247500</v>
      </c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</row>
    <row r="308" spans="1:525" s="22" customFormat="1" ht="31.5" hidden="1" customHeight="1" x14ac:dyDescent="0.25">
      <c r="A308" s="56" t="s">
        <v>445</v>
      </c>
      <c r="B308" s="56" t="s">
        <v>446</v>
      </c>
      <c r="C308" s="56" t="s">
        <v>110</v>
      </c>
      <c r="D308" s="57" t="s">
        <v>447</v>
      </c>
      <c r="E308" s="141">
        <f t="shared" si="160"/>
        <v>0</v>
      </c>
      <c r="F308" s="141"/>
      <c r="G308" s="141"/>
      <c r="H308" s="141"/>
      <c r="I308" s="141"/>
      <c r="J308" s="141">
        <f t="shared" si="145"/>
        <v>0</v>
      </c>
      <c r="K308" s="141">
        <f>900000-900000</f>
        <v>0</v>
      </c>
      <c r="L308" s="141"/>
      <c r="M308" s="141"/>
      <c r="N308" s="141"/>
      <c r="O308" s="141">
        <f>900000-900000</f>
        <v>0</v>
      </c>
      <c r="P308" s="141">
        <f t="shared" si="161"/>
        <v>0</v>
      </c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</row>
    <row r="309" spans="1:525" s="22" customFormat="1" ht="31.5" x14ac:dyDescent="0.25">
      <c r="A309" s="56" t="s">
        <v>530</v>
      </c>
      <c r="B309" s="56" t="s">
        <v>531</v>
      </c>
      <c r="C309" s="56" t="s">
        <v>81</v>
      </c>
      <c r="D309" s="57" t="str">
        <f>'дод 5'!C197</f>
        <v>Реалізація інших заходів щодо соціально-економічного розвитку територій</v>
      </c>
      <c r="E309" s="141">
        <f t="shared" si="160"/>
        <v>3150000</v>
      </c>
      <c r="F309" s="141"/>
      <c r="G309" s="141"/>
      <c r="H309" s="141"/>
      <c r="I309" s="141">
        <v>3150000</v>
      </c>
      <c r="J309" s="141">
        <f t="shared" ref="J309" si="162">L309+O309</f>
        <v>0</v>
      </c>
      <c r="K309" s="141"/>
      <c r="L309" s="141"/>
      <c r="M309" s="141"/>
      <c r="N309" s="141"/>
      <c r="O309" s="141"/>
      <c r="P309" s="141">
        <f t="shared" si="161"/>
        <v>3150000</v>
      </c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  <c r="SQ309" s="23"/>
      <c r="SR309" s="23"/>
      <c r="SS309" s="23"/>
      <c r="ST309" s="23"/>
      <c r="SU309" s="23"/>
      <c r="SV309" s="23"/>
      <c r="SW309" s="23"/>
      <c r="SX309" s="23"/>
      <c r="SY309" s="23"/>
      <c r="SZ309" s="23"/>
      <c r="TA309" s="23"/>
      <c r="TB309" s="23"/>
      <c r="TC309" s="23"/>
      <c r="TD309" s="23"/>
      <c r="TE309" s="23"/>
    </row>
    <row r="310" spans="1:525" s="22" customFormat="1" ht="132.75" customHeight="1" x14ac:dyDescent="0.25">
      <c r="A310" s="89" t="s">
        <v>294</v>
      </c>
      <c r="B310" s="42" t="str">
        <f>'дод 5'!A226</f>
        <v>7691</v>
      </c>
      <c r="C310" s="42" t="str">
        <f>'дод 5'!B226</f>
        <v>0490</v>
      </c>
      <c r="D310" s="36" t="str">
        <f>'дод 5'!C226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10" s="141">
        <f t="shared" si="160"/>
        <v>0</v>
      </c>
      <c r="F310" s="141"/>
      <c r="G310" s="141"/>
      <c r="H310" s="141"/>
      <c r="I310" s="141"/>
      <c r="J310" s="141">
        <f t="shared" si="145"/>
        <v>937482</v>
      </c>
      <c r="K310" s="141"/>
      <c r="L310" s="141">
        <v>937482</v>
      </c>
      <c r="M310" s="141"/>
      <c r="N310" s="141"/>
      <c r="O310" s="141"/>
      <c r="P310" s="141">
        <f t="shared" si="161"/>
        <v>937482</v>
      </c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</row>
    <row r="311" spans="1:525" s="27" customFormat="1" ht="48" customHeight="1" x14ac:dyDescent="0.25">
      <c r="A311" s="96" t="s">
        <v>209</v>
      </c>
      <c r="B311" s="98"/>
      <c r="C311" s="98"/>
      <c r="D311" s="93" t="s">
        <v>41</v>
      </c>
      <c r="E311" s="139">
        <f>E312</f>
        <v>2275600</v>
      </c>
      <c r="F311" s="139">
        <f t="shared" ref="F311:J312" si="163">F312</f>
        <v>2275600</v>
      </c>
      <c r="G311" s="139">
        <f t="shared" si="163"/>
        <v>1579200</v>
      </c>
      <c r="H311" s="139">
        <f t="shared" si="163"/>
        <v>88100</v>
      </c>
      <c r="I311" s="139">
        <f t="shared" si="163"/>
        <v>0</v>
      </c>
      <c r="J311" s="139">
        <f t="shared" si="163"/>
        <v>0</v>
      </c>
      <c r="K311" s="139">
        <f t="shared" ref="K311:K312" si="164">K312</f>
        <v>0</v>
      </c>
      <c r="L311" s="139">
        <f t="shared" ref="L311:L312" si="165">L312</f>
        <v>0</v>
      </c>
      <c r="M311" s="139">
        <f t="shared" ref="M311:M312" si="166">M312</f>
        <v>0</v>
      </c>
      <c r="N311" s="139">
        <f t="shared" ref="N311:N312" si="167">N312</f>
        <v>0</v>
      </c>
      <c r="O311" s="139">
        <f t="shared" ref="O311:P312" si="168">O312</f>
        <v>0</v>
      </c>
      <c r="P311" s="139">
        <f t="shared" si="168"/>
        <v>2275600</v>
      </c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/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  <c r="FK311" s="32"/>
      <c r="FL311" s="32"/>
      <c r="FM311" s="32"/>
      <c r="FN311" s="32"/>
      <c r="FO311" s="32"/>
      <c r="FP311" s="32"/>
      <c r="FQ311" s="32"/>
      <c r="FR311" s="32"/>
      <c r="FS311" s="32"/>
      <c r="FT311" s="32"/>
      <c r="FU311" s="32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  <c r="GH311" s="32"/>
      <c r="GI311" s="32"/>
      <c r="GJ311" s="32"/>
      <c r="GK311" s="32"/>
      <c r="GL311" s="32"/>
      <c r="GM311" s="32"/>
      <c r="GN311" s="32"/>
      <c r="GO311" s="32"/>
      <c r="GP311" s="32"/>
      <c r="GQ311" s="32"/>
      <c r="GR311" s="32"/>
      <c r="GS311" s="32"/>
      <c r="GT311" s="32"/>
      <c r="GU311" s="32"/>
      <c r="GV311" s="32"/>
      <c r="GW311" s="32"/>
      <c r="GX311" s="32"/>
      <c r="GY311" s="32"/>
      <c r="GZ311" s="32"/>
      <c r="HA311" s="32"/>
      <c r="HB311" s="32"/>
      <c r="HC311" s="32"/>
      <c r="HD311" s="32"/>
      <c r="HE311" s="32"/>
      <c r="HF311" s="32"/>
      <c r="HG311" s="32"/>
      <c r="HH311" s="32"/>
      <c r="HI311" s="32"/>
      <c r="HJ311" s="32"/>
      <c r="HK311" s="32"/>
      <c r="HL311" s="32"/>
      <c r="HM311" s="32"/>
      <c r="HN311" s="32"/>
      <c r="HO311" s="32"/>
      <c r="HP311" s="32"/>
      <c r="HQ311" s="32"/>
      <c r="HR311" s="32"/>
      <c r="HS311" s="32"/>
      <c r="HT311" s="32"/>
      <c r="HU311" s="32"/>
      <c r="HV311" s="32"/>
      <c r="HW311" s="32"/>
      <c r="HX311" s="32"/>
      <c r="HY311" s="32"/>
      <c r="HZ311" s="32"/>
      <c r="IA311" s="32"/>
      <c r="IB311" s="32"/>
      <c r="IC311" s="32"/>
      <c r="ID311" s="32"/>
      <c r="IE311" s="32"/>
      <c r="IF311" s="32"/>
      <c r="IG311" s="32"/>
      <c r="IH311" s="32"/>
      <c r="II311" s="32"/>
      <c r="IJ311" s="32"/>
      <c r="IK311" s="32"/>
      <c r="IL311" s="32"/>
      <c r="IM311" s="32"/>
      <c r="IN311" s="32"/>
      <c r="IO311" s="32"/>
      <c r="IP311" s="32"/>
      <c r="IQ311" s="32"/>
      <c r="IR311" s="32"/>
      <c r="IS311" s="32"/>
      <c r="IT311" s="32"/>
      <c r="IU311" s="32"/>
      <c r="IV311" s="32"/>
      <c r="IW311" s="32"/>
      <c r="IX311" s="32"/>
      <c r="IY311" s="32"/>
      <c r="IZ311" s="32"/>
      <c r="JA311" s="32"/>
      <c r="JB311" s="32"/>
      <c r="JC311" s="32"/>
      <c r="JD311" s="32"/>
      <c r="JE311" s="32"/>
      <c r="JF311" s="32"/>
      <c r="JG311" s="32"/>
      <c r="JH311" s="32"/>
      <c r="JI311" s="32"/>
      <c r="JJ311" s="32"/>
      <c r="JK311" s="32"/>
      <c r="JL311" s="32"/>
      <c r="JM311" s="32"/>
      <c r="JN311" s="32"/>
      <c r="JO311" s="32"/>
      <c r="JP311" s="32"/>
      <c r="JQ311" s="32"/>
      <c r="JR311" s="32"/>
      <c r="JS311" s="32"/>
      <c r="JT311" s="32"/>
      <c r="JU311" s="32"/>
      <c r="JV311" s="32"/>
      <c r="JW311" s="32"/>
      <c r="JX311" s="32"/>
      <c r="JY311" s="32"/>
      <c r="JZ311" s="32"/>
      <c r="KA311" s="32"/>
      <c r="KB311" s="32"/>
      <c r="KC311" s="32"/>
      <c r="KD311" s="32"/>
      <c r="KE311" s="32"/>
      <c r="KF311" s="32"/>
      <c r="KG311" s="32"/>
      <c r="KH311" s="32"/>
      <c r="KI311" s="32"/>
      <c r="KJ311" s="32"/>
      <c r="KK311" s="32"/>
      <c r="KL311" s="32"/>
      <c r="KM311" s="32"/>
      <c r="KN311" s="32"/>
      <c r="KO311" s="32"/>
      <c r="KP311" s="32"/>
      <c r="KQ311" s="32"/>
      <c r="KR311" s="32"/>
      <c r="KS311" s="32"/>
      <c r="KT311" s="32"/>
      <c r="KU311" s="32"/>
      <c r="KV311" s="32"/>
      <c r="KW311" s="32"/>
      <c r="KX311" s="32"/>
      <c r="KY311" s="32"/>
      <c r="KZ311" s="32"/>
      <c r="LA311" s="32"/>
      <c r="LB311" s="32"/>
      <c r="LC311" s="32"/>
      <c r="LD311" s="32"/>
      <c r="LE311" s="32"/>
      <c r="LF311" s="32"/>
      <c r="LG311" s="32"/>
      <c r="LH311" s="32"/>
      <c r="LI311" s="32"/>
      <c r="LJ311" s="32"/>
      <c r="LK311" s="32"/>
      <c r="LL311" s="32"/>
      <c r="LM311" s="32"/>
      <c r="LN311" s="32"/>
      <c r="LO311" s="32"/>
      <c r="LP311" s="32"/>
      <c r="LQ311" s="32"/>
      <c r="LR311" s="32"/>
      <c r="LS311" s="32"/>
      <c r="LT311" s="32"/>
      <c r="LU311" s="32"/>
      <c r="LV311" s="32"/>
      <c r="LW311" s="32"/>
      <c r="LX311" s="32"/>
      <c r="LY311" s="32"/>
      <c r="LZ311" s="32"/>
      <c r="MA311" s="32"/>
      <c r="MB311" s="32"/>
      <c r="MC311" s="32"/>
      <c r="MD311" s="32"/>
      <c r="ME311" s="32"/>
      <c r="MF311" s="32"/>
      <c r="MG311" s="32"/>
      <c r="MH311" s="32"/>
      <c r="MI311" s="32"/>
      <c r="MJ311" s="32"/>
      <c r="MK311" s="32"/>
      <c r="ML311" s="32"/>
      <c r="MM311" s="32"/>
      <c r="MN311" s="32"/>
      <c r="MO311" s="32"/>
      <c r="MP311" s="32"/>
      <c r="MQ311" s="32"/>
      <c r="MR311" s="32"/>
      <c r="MS311" s="32"/>
      <c r="MT311" s="32"/>
      <c r="MU311" s="32"/>
      <c r="MV311" s="32"/>
      <c r="MW311" s="32"/>
      <c r="MX311" s="32"/>
      <c r="MY311" s="32"/>
      <c r="MZ311" s="32"/>
      <c r="NA311" s="32"/>
      <c r="NB311" s="32"/>
      <c r="NC311" s="32"/>
      <c r="ND311" s="32"/>
      <c r="NE311" s="32"/>
      <c r="NF311" s="32"/>
      <c r="NG311" s="32"/>
      <c r="NH311" s="32"/>
      <c r="NI311" s="32"/>
      <c r="NJ311" s="32"/>
      <c r="NK311" s="32"/>
      <c r="NL311" s="32"/>
      <c r="NM311" s="32"/>
      <c r="NN311" s="32"/>
      <c r="NO311" s="32"/>
      <c r="NP311" s="32"/>
      <c r="NQ311" s="32"/>
      <c r="NR311" s="32"/>
      <c r="NS311" s="32"/>
      <c r="NT311" s="32"/>
      <c r="NU311" s="32"/>
      <c r="NV311" s="32"/>
      <c r="NW311" s="32"/>
      <c r="NX311" s="32"/>
      <c r="NY311" s="32"/>
      <c r="NZ311" s="32"/>
      <c r="OA311" s="32"/>
      <c r="OB311" s="32"/>
      <c r="OC311" s="32"/>
      <c r="OD311" s="32"/>
      <c r="OE311" s="32"/>
      <c r="OF311" s="32"/>
      <c r="OG311" s="32"/>
      <c r="OH311" s="32"/>
      <c r="OI311" s="32"/>
      <c r="OJ311" s="32"/>
      <c r="OK311" s="32"/>
      <c r="OL311" s="32"/>
      <c r="OM311" s="32"/>
      <c r="ON311" s="32"/>
      <c r="OO311" s="32"/>
      <c r="OP311" s="32"/>
      <c r="OQ311" s="32"/>
      <c r="OR311" s="32"/>
      <c r="OS311" s="32"/>
      <c r="OT311" s="32"/>
      <c r="OU311" s="32"/>
      <c r="OV311" s="32"/>
      <c r="OW311" s="32"/>
      <c r="OX311" s="32"/>
      <c r="OY311" s="32"/>
      <c r="OZ311" s="32"/>
      <c r="PA311" s="32"/>
      <c r="PB311" s="32"/>
      <c r="PC311" s="32"/>
      <c r="PD311" s="32"/>
      <c r="PE311" s="32"/>
      <c r="PF311" s="32"/>
      <c r="PG311" s="32"/>
      <c r="PH311" s="32"/>
      <c r="PI311" s="32"/>
      <c r="PJ311" s="32"/>
      <c r="PK311" s="32"/>
      <c r="PL311" s="32"/>
      <c r="PM311" s="32"/>
      <c r="PN311" s="32"/>
      <c r="PO311" s="32"/>
      <c r="PP311" s="32"/>
      <c r="PQ311" s="32"/>
      <c r="PR311" s="32"/>
      <c r="PS311" s="32"/>
      <c r="PT311" s="32"/>
      <c r="PU311" s="32"/>
      <c r="PV311" s="32"/>
      <c r="PW311" s="32"/>
      <c r="PX311" s="32"/>
      <c r="PY311" s="32"/>
      <c r="PZ311" s="32"/>
      <c r="QA311" s="32"/>
      <c r="QB311" s="32"/>
      <c r="QC311" s="32"/>
      <c r="QD311" s="32"/>
      <c r="QE311" s="32"/>
      <c r="QF311" s="32"/>
      <c r="QG311" s="32"/>
      <c r="QH311" s="32"/>
      <c r="QI311" s="32"/>
      <c r="QJ311" s="32"/>
      <c r="QK311" s="32"/>
      <c r="QL311" s="32"/>
      <c r="QM311" s="32"/>
      <c r="QN311" s="32"/>
      <c r="QO311" s="32"/>
      <c r="QP311" s="32"/>
      <c r="QQ311" s="32"/>
      <c r="QR311" s="32"/>
      <c r="QS311" s="32"/>
      <c r="QT311" s="32"/>
      <c r="QU311" s="32"/>
      <c r="QV311" s="32"/>
      <c r="QW311" s="32"/>
      <c r="QX311" s="32"/>
      <c r="QY311" s="32"/>
      <c r="QZ311" s="32"/>
      <c r="RA311" s="32"/>
      <c r="RB311" s="32"/>
      <c r="RC311" s="32"/>
      <c r="RD311" s="32"/>
      <c r="RE311" s="32"/>
      <c r="RF311" s="32"/>
      <c r="RG311" s="32"/>
      <c r="RH311" s="32"/>
      <c r="RI311" s="32"/>
      <c r="RJ311" s="32"/>
      <c r="RK311" s="32"/>
      <c r="RL311" s="32"/>
      <c r="RM311" s="32"/>
      <c r="RN311" s="32"/>
      <c r="RO311" s="32"/>
      <c r="RP311" s="32"/>
      <c r="RQ311" s="32"/>
      <c r="RR311" s="32"/>
      <c r="RS311" s="32"/>
      <c r="RT311" s="32"/>
      <c r="RU311" s="32"/>
      <c r="RV311" s="32"/>
      <c r="RW311" s="32"/>
      <c r="RX311" s="32"/>
      <c r="RY311" s="32"/>
      <c r="RZ311" s="32"/>
      <c r="SA311" s="32"/>
      <c r="SB311" s="32"/>
      <c r="SC311" s="32"/>
      <c r="SD311" s="32"/>
      <c r="SE311" s="32"/>
      <c r="SF311" s="32"/>
      <c r="SG311" s="32"/>
      <c r="SH311" s="32"/>
      <c r="SI311" s="32"/>
      <c r="SJ311" s="32"/>
      <c r="SK311" s="32"/>
      <c r="SL311" s="32"/>
      <c r="SM311" s="32"/>
      <c r="SN311" s="32"/>
      <c r="SO311" s="32"/>
      <c r="SP311" s="32"/>
      <c r="SQ311" s="32"/>
      <c r="SR311" s="32"/>
      <c r="SS311" s="32"/>
      <c r="ST311" s="32"/>
      <c r="SU311" s="32"/>
      <c r="SV311" s="32"/>
      <c r="SW311" s="32"/>
      <c r="SX311" s="32"/>
      <c r="SY311" s="32"/>
      <c r="SZ311" s="32"/>
      <c r="TA311" s="32"/>
      <c r="TB311" s="32"/>
      <c r="TC311" s="32"/>
      <c r="TD311" s="32"/>
      <c r="TE311" s="32"/>
    </row>
    <row r="312" spans="1:525" s="34" customFormat="1" ht="35.25" customHeight="1" x14ac:dyDescent="0.25">
      <c r="A312" s="86" t="s">
        <v>207</v>
      </c>
      <c r="B312" s="95"/>
      <c r="C312" s="95"/>
      <c r="D312" s="70" t="s">
        <v>41</v>
      </c>
      <c r="E312" s="140">
        <f>E313</f>
        <v>2275600</v>
      </c>
      <c r="F312" s="140">
        <f t="shared" si="163"/>
        <v>2275600</v>
      </c>
      <c r="G312" s="140">
        <f t="shared" si="163"/>
        <v>1579200</v>
      </c>
      <c r="H312" s="140">
        <f t="shared" si="163"/>
        <v>88100</v>
      </c>
      <c r="I312" s="140">
        <f t="shared" si="163"/>
        <v>0</v>
      </c>
      <c r="J312" s="140">
        <f t="shared" si="163"/>
        <v>0</v>
      </c>
      <c r="K312" s="140">
        <f t="shared" si="164"/>
        <v>0</v>
      </c>
      <c r="L312" s="140">
        <f t="shared" si="165"/>
        <v>0</v>
      </c>
      <c r="M312" s="140">
        <f t="shared" si="166"/>
        <v>0</v>
      </c>
      <c r="N312" s="140">
        <f t="shared" si="167"/>
        <v>0</v>
      </c>
      <c r="O312" s="140">
        <f t="shared" si="168"/>
        <v>0</v>
      </c>
      <c r="P312" s="140">
        <f t="shared" si="168"/>
        <v>2275600</v>
      </c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  <c r="DF312" s="33"/>
      <c r="DG312" s="33"/>
      <c r="DH312" s="33"/>
      <c r="DI312" s="33"/>
      <c r="DJ312" s="33"/>
      <c r="DK312" s="33"/>
      <c r="DL312" s="33"/>
      <c r="DM312" s="33"/>
      <c r="DN312" s="33"/>
      <c r="DO312" s="33"/>
      <c r="DP312" s="33"/>
      <c r="DQ312" s="33"/>
      <c r="DR312" s="33"/>
      <c r="DS312" s="33"/>
      <c r="DT312" s="33"/>
      <c r="DU312" s="33"/>
      <c r="DV312" s="33"/>
      <c r="DW312" s="33"/>
      <c r="DX312" s="33"/>
      <c r="DY312" s="33"/>
      <c r="DZ312" s="33"/>
      <c r="EA312" s="33"/>
      <c r="EB312" s="33"/>
      <c r="EC312" s="33"/>
      <c r="ED312" s="33"/>
      <c r="EE312" s="33"/>
      <c r="EF312" s="33"/>
      <c r="EG312" s="33"/>
      <c r="EH312" s="33"/>
      <c r="EI312" s="33"/>
      <c r="EJ312" s="33"/>
      <c r="EK312" s="33"/>
      <c r="EL312" s="33"/>
      <c r="EM312" s="33"/>
      <c r="EN312" s="33"/>
      <c r="EO312" s="33"/>
      <c r="EP312" s="33"/>
      <c r="EQ312" s="33"/>
      <c r="ER312" s="33"/>
      <c r="ES312" s="33"/>
      <c r="ET312" s="33"/>
      <c r="EU312" s="33"/>
      <c r="EV312" s="33"/>
      <c r="EW312" s="33"/>
      <c r="EX312" s="33"/>
      <c r="EY312" s="33"/>
      <c r="EZ312" s="33"/>
      <c r="FA312" s="33"/>
      <c r="FB312" s="33"/>
      <c r="FC312" s="33"/>
      <c r="FD312" s="33"/>
      <c r="FE312" s="33"/>
      <c r="FF312" s="33"/>
      <c r="FG312" s="33"/>
      <c r="FH312" s="33"/>
      <c r="FI312" s="33"/>
      <c r="FJ312" s="33"/>
      <c r="FK312" s="33"/>
      <c r="FL312" s="33"/>
      <c r="FM312" s="33"/>
      <c r="FN312" s="33"/>
      <c r="FO312" s="33"/>
      <c r="FP312" s="33"/>
      <c r="FQ312" s="33"/>
      <c r="FR312" s="33"/>
      <c r="FS312" s="33"/>
      <c r="FT312" s="33"/>
      <c r="FU312" s="33"/>
      <c r="FV312" s="33"/>
      <c r="FW312" s="33"/>
      <c r="FX312" s="33"/>
      <c r="FY312" s="33"/>
      <c r="FZ312" s="33"/>
      <c r="GA312" s="33"/>
      <c r="GB312" s="33"/>
      <c r="GC312" s="33"/>
      <c r="GD312" s="33"/>
      <c r="GE312" s="33"/>
      <c r="GF312" s="33"/>
      <c r="GG312" s="33"/>
      <c r="GH312" s="33"/>
      <c r="GI312" s="33"/>
      <c r="GJ312" s="33"/>
      <c r="GK312" s="33"/>
      <c r="GL312" s="33"/>
      <c r="GM312" s="33"/>
      <c r="GN312" s="33"/>
      <c r="GO312" s="33"/>
      <c r="GP312" s="33"/>
      <c r="GQ312" s="33"/>
      <c r="GR312" s="33"/>
      <c r="GS312" s="33"/>
      <c r="GT312" s="33"/>
      <c r="GU312" s="33"/>
      <c r="GV312" s="33"/>
      <c r="GW312" s="33"/>
      <c r="GX312" s="33"/>
      <c r="GY312" s="33"/>
      <c r="GZ312" s="33"/>
      <c r="HA312" s="33"/>
      <c r="HB312" s="33"/>
      <c r="HC312" s="33"/>
      <c r="HD312" s="33"/>
      <c r="HE312" s="33"/>
      <c r="HF312" s="33"/>
      <c r="HG312" s="33"/>
      <c r="HH312" s="33"/>
      <c r="HI312" s="33"/>
      <c r="HJ312" s="33"/>
      <c r="HK312" s="33"/>
      <c r="HL312" s="33"/>
      <c r="HM312" s="33"/>
      <c r="HN312" s="33"/>
      <c r="HO312" s="33"/>
      <c r="HP312" s="33"/>
      <c r="HQ312" s="33"/>
      <c r="HR312" s="33"/>
      <c r="HS312" s="33"/>
      <c r="HT312" s="33"/>
      <c r="HU312" s="33"/>
      <c r="HV312" s="33"/>
      <c r="HW312" s="33"/>
      <c r="HX312" s="33"/>
      <c r="HY312" s="33"/>
      <c r="HZ312" s="33"/>
      <c r="IA312" s="33"/>
      <c r="IB312" s="33"/>
      <c r="IC312" s="33"/>
      <c r="ID312" s="33"/>
      <c r="IE312" s="33"/>
      <c r="IF312" s="33"/>
      <c r="IG312" s="33"/>
      <c r="IH312" s="33"/>
      <c r="II312" s="33"/>
      <c r="IJ312" s="33"/>
      <c r="IK312" s="33"/>
      <c r="IL312" s="33"/>
      <c r="IM312" s="33"/>
      <c r="IN312" s="33"/>
      <c r="IO312" s="33"/>
      <c r="IP312" s="33"/>
      <c r="IQ312" s="33"/>
      <c r="IR312" s="33"/>
      <c r="IS312" s="33"/>
      <c r="IT312" s="33"/>
      <c r="IU312" s="33"/>
      <c r="IV312" s="33"/>
      <c r="IW312" s="33"/>
      <c r="IX312" s="33"/>
      <c r="IY312" s="33"/>
      <c r="IZ312" s="33"/>
      <c r="JA312" s="33"/>
      <c r="JB312" s="33"/>
      <c r="JC312" s="33"/>
      <c r="JD312" s="33"/>
      <c r="JE312" s="33"/>
      <c r="JF312" s="33"/>
      <c r="JG312" s="33"/>
      <c r="JH312" s="33"/>
      <c r="JI312" s="33"/>
      <c r="JJ312" s="33"/>
      <c r="JK312" s="33"/>
      <c r="JL312" s="33"/>
      <c r="JM312" s="33"/>
      <c r="JN312" s="33"/>
      <c r="JO312" s="33"/>
      <c r="JP312" s="33"/>
      <c r="JQ312" s="33"/>
      <c r="JR312" s="33"/>
      <c r="JS312" s="33"/>
      <c r="JT312" s="33"/>
      <c r="JU312" s="33"/>
      <c r="JV312" s="33"/>
      <c r="JW312" s="33"/>
      <c r="JX312" s="33"/>
      <c r="JY312" s="33"/>
      <c r="JZ312" s="33"/>
      <c r="KA312" s="33"/>
      <c r="KB312" s="33"/>
      <c r="KC312" s="33"/>
      <c r="KD312" s="33"/>
      <c r="KE312" s="33"/>
      <c r="KF312" s="33"/>
      <c r="KG312" s="33"/>
      <c r="KH312" s="33"/>
      <c r="KI312" s="33"/>
      <c r="KJ312" s="33"/>
      <c r="KK312" s="33"/>
      <c r="KL312" s="33"/>
      <c r="KM312" s="33"/>
      <c r="KN312" s="33"/>
      <c r="KO312" s="33"/>
      <c r="KP312" s="33"/>
      <c r="KQ312" s="33"/>
      <c r="KR312" s="33"/>
      <c r="KS312" s="33"/>
      <c r="KT312" s="33"/>
      <c r="KU312" s="33"/>
      <c r="KV312" s="33"/>
      <c r="KW312" s="33"/>
      <c r="KX312" s="33"/>
      <c r="KY312" s="33"/>
      <c r="KZ312" s="33"/>
      <c r="LA312" s="33"/>
      <c r="LB312" s="33"/>
      <c r="LC312" s="33"/>
      <c r="LD312" s="33"/>
      <c r="LE312" s="33"/>
      <c r="LF312" s="33"/>
      <c r="LG312" s="33"/>
      <c r="LH312" s="33"/>
      <c r="LI312" s="33"/>
      <c r="LJ312" s="33"/>
      <c r="LK312" s="33"/>
      <c r="LL312" s="33"/>
      <c r="LM312" s="33"/>
      <c r="LN312" s="33"/>
      <c r="LO312" s="33"/>
      <c r="LP312" s="33"/>
      <c r="LQ312" s="33"/>
      <c r="LR312" s="33"/>
      <c r="LS312" s="33"/>
      <c r="LT312" s="33"/>
      <c r="LU312" s="33"/>
      <c r="LV312" s="33"/>
      <c r="LW312" s="33"/>
      <c r="LX312" s="33"/>
      <c r="LY312" s="33"/>
      <c r="LZ312" s="33"/>
      <c r="MA312" s="33"/>
      <c r="MB312" s="33"/>
      <c r="MC312" s="33"/>
      <c r="MD312" s="33"/>
      <c r="ME312" s="33"/>
      <c r="MF312" s="33"/>
      <c r="MG312" s="33"/>
      <c r="MH312" s="33"/>
      <c r="MI312" s="33"/>
      <c r="MJ312" s="33"/>
      <c r="MK312" s="33"/>
      <c r="ML312" s="33"/>
      <c r="MM312" s="33"/>
      <c r="MN312" s="33"/>
      <c r="MO312" s="33"/>
      <c r="MP312" s="33"/>
      <c r="MQ312" s="33"/>
      <c r="MR312" s="33"/>
      <c r="MS312" s="33"/>
      <c r="MT312" s="33"/>
      <c r="MU312" s="33"/>
      <c r="MV312" s="33"/>
      <c r="MW312" s="33"/>
      <c r="MX312" s="33"/>
      <c r="MY312" s="33"/>
      <c r="MZ312" s="33"/>
      <c r="NA312" s="33"/>
      <c r="NB312" s="33"/>
      <c r="NC312" s="33"/>
      <c r="ND312" s="33"/>
      <c r="NE312" s="33"/>
      <c r="NF312" s="33"/>
      <c r="NG312" s="33"/>
      <c r="NH312" s="33"/>
      <c r="NI312" s="33"/>
      <c r="NJ312" s="33"/>
      <c r="NK312" s="33"/>
      <c r="NL312" s="33"/>
      <c r="NM312" s="33"/>
      <c r="NN312" s="33"/>
      <c r="NO312" s="33"/>
      <c r="NP312" s="33"/>
      <c r="NQ312" s="33"/>
      <c r="NR312" s="33"/>
      <c r="NS312" s="33"/>
      <c r="NT312" s="33"/>
      <c r="NU312" s="33"/>
      <c r="NV312" s="33"/>
      <c r="NW312" s="33"/>
      <c r="NX312" s="33"/>
      <c r="NY312" s="33"/>
      <c r="NZ312" s="33"/>
      <c r="OA312" s="33"/>
      <c r="OB312" s="33"/>
      <c r="OC312" s="33"/>
      <c r="OD312" s="33"/>
      <c r="OE312" s="33"/>
      <c r="OF312" s="33"/>
      <c r="OG312" s="33"/>
      <c r="OH312" s="33"/>
      <c r="OI312" s="33"/>
      <c r="OJ312" s="33"/>
      <c r="OK312" s="33"/>
      <c r="OL312" s="33"/>
      <c r="OM312" s="33"/>
      <c r="ON312" s="33"/>
      <c r="OO312" s="33"/>
      <c r="OP312" s="33"/>
      <c r="OQ312" s="33"/>
      <c r="OR312" s="33"/>
      <c r="OS312" s="33"/>
      <c r="OT312" s="33"/>
      <c r="OU312" s="33"/>
      <c r="OV312" s="33"/>
      <c r="OW312" s="33"/>
      <c r="OX312" s="33"/>
      <c r="OY312" s="33"/>
      <c r="OZ312" s="33"/>
      <c r="PA312" s="33"/>
      <c r="PB312" s="33"/>
      <c r="PC312" s="33"/>
      <c r="PD312" s="33"/>
      <c r="PE312" s="33"/>
      <c r="PF312" s="33"/>
      <c r="PG312" s="33"/>
      <c r="PH312" s="33"/>
      <c r="PI312" s="33"/>
      <c r="PJ312" s="33"/>
      <c r="PK312" s="33"/>
      <c r="PL312" s="33"/>
      <c r="PM312" s="33"/>
      <c r="PN312" s="33"/>
      <c r="PO312" s="33"/>
      <c r="PP312" s="33"/>
      <c r="PQ312" s="33"/>
      <c r="PR312" s="33"/>
      <c r="PS312" s="33"/>
      <c r="PT312" s="33"/>
      <c r="PU312" s="33"/>
      <c r="PV312" s="33"/>
      <c r="PW312" s="33"/>
      <c r="PX312" s="33"/>
      <c r="PY312" s="33"/>
      <c r="PZ312" s="33"/>
      <c r="QA312" s="33"/>
      <c r="QB312" s="33"/>
      <c r="QC312" s="33"/>
      <c r="QD312" s="33"/>
      <c r="QE312" s="33"/>
      <c r="QF312" s="33"/>
      <c r="QG312" s="33"/>
      <c r="QH312" s="33"/>
      <c r="QI312" s="33"/>
      <c r="QJ312" s="33"/>
      <c r="QK312" s="33"/>
      <c r="QL312" s="33"/>
      <c r="QM312" s="33"/>
      <c r="QN312" s="33"/>
      <c r="QO312" s="33"/>
      <c r="QP312" s="33"/>
      <c r="QQ312" s="33"/>
      <c r="QR312" s="33"/>
      <c r="QS312" s="33"/>
      <c r="QT312" s="33"/>
      <c r="QU312" s="33"/>
      <c r="QV312" s="33"/>
      <c r="QW312" s="33"/>
      <c r="QX312" s="33"/>
      <c r="QY312" s="33"/>
      <c r="QZ312" s="33"/>
      <c r="RA312" s="33"/>
      <c r="RB312" s="33"/>
      <c r="RC312" s="33"/>
      <c r="RD312" s="33"/>
      <c r="RE312" s="33"/>
      <c r="RF312" s="33"/>
      <c r="RG312" s="33"/>
      <c r="RH312" s="33"/>
      <c r="RI312" s="33"/>
      <c r="RJ312" s="33"/>
      <c r="RK312" s="33"/>
      <c r="RL312" s="33"/>
      <c r="RM312" s="33"/>
      <c r="RN312" s="33"/>
      <c r="RO312" s="33"/>
      <c r="RP312" s="33"/>
      <c r="RQ312" s="33"/>
      <c r="RR312" s="33"/>
      <c r="RS312" s="33"/>
      <c r="RT312" s="33"/>
      <c r="RU312" s="33"/>
      <c r="RV312" s="33"/>
      <c r="RW312" s="33"/>
      <c r="RX312" s="33"/>
      <c r="RY312" s="33"/>
      <c r="RZ312" s="33"/>
      <c r="SA312" s="33"/>
      <c r="SB312" s="33"/>
      <c r="SC312" s="33"/>
      <c r="SD312" s="33"/>
      <c r="SE312" s="33"/>
      <c r="SF312" s="33"/>
      <c r="SG312" s="33"/>
      <c r="SH312" s="33"/>
      <c r="SI312" s="33"/>
      <c r="SJ312" s="33"/>
      <c r="SK312" s="33"/>
      <c r="SL312" s="33"/>
      <c r="SM312" s="33"/>
      <c r="SN312" s="33"/>
      <c r="SO312" s="33"/>
      <c r="SP312" s="33"/>
      <c r="SQ312" s="33"/>
      <c r="SR312" s="33"/>
      <c r="SS312" s="33"/>
      <c r="ST312" s="33"/>
      <c r="SU312" s="33"/>
      <c r="SV312" s="33"/>
      <c r="SW312" s="33"/>
      <c r="SX312" s="33"/>
      <c r="SY312" s="33"/>
      <c r="SZ312" s="33"/>
      <c r="TA312" s="33"/>
      <c r="TB312" s="33"/>
      <c r="TC312" s="33"/>
      <c r="TD312" s="33"/>
      <c r="TE312" s="33"/>
    </row>
    <row r="313" spans="1:525" s="22" customFormat="1" ht="49.5" customHeight="1" x14ac:dyDescent="0.25">
      <c r="A313" s="56" t="s">
        <v>208</v>
      </c>
      <c r="B313" s="84" t="str">
        <f>'дод 5'!A18</f>
        <v>0160</v>
      </c>
      <c r="C313" s="84" t="str">
        <f>'дод 5'!B18</f>
        <v>0111</v>
      </c>
      <c r="D313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313" s="141">
        <f>F313+I313</f>
        <v>2275600</v>
      </c>
      <c r="F313" s="141">
        <f>4535900-2260300</f>
        <v>2275600</v>
      </c>
      <c r="G313" s="141">
        <f>3431900-1852700</f>
        <v>1579200</v>
      </c>
      <c r="H313" s="141">
        <v>88100</v>
      </c>
      <c r="I313" s="141"/>
      <c r="J313" s="141">
        <f>L313+O313</f>
        <v>0</v>
      </c>
      <c r="K313" s="141"/>
      <c r="L313" s="141"/>
      <c r="M313" s="141"/>
      <c r="N313" s="141"/>
      <c r="O313" s="141"/>
      <c r="P313" s="141">
        <f>E313+J313</f>
        <v>2275600</v>
      </c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</row>
    <row r="314" spans="1:525" s="27" customFormat="1" ht="40.5" customHeight="1" x14ac:dyDescent="0.25">
      <c r="A314" s="96" t="s">
        <v>210</v>
      </c>
      <c r="B314" s="98"/>
      <c r="C314" s="98"/>
      <c r="D314" s="93" t="s">
        <v>38</v>
      </c>
      <c r="E314" s="139">
        <f>E315</f>
        <v>21726000</v>
      </c>
      <c r="F314" s="139">
        <f t="shared" ref="F314:J314" si="169">F315</f>
        <v>21126000</v>
      </c>
      <c r="G314" s="139">
        <f t="shared" si="169"/>
        <v>14273200</v>
      </c>
      <c r="H314" s="139">
        <f t="shared" si="169"/>
        <v>628000</v>
      </c>
      <c r="I314" s="139">
        <f t="shared" si="169"/>
        <v>600000</v>
      </c>
      <c r="J314" s="139">
        <f t="shared" si="169"/>
        <v>175000</v>
      </c>
      <c r="K314" s="139">
        <f t="shared" ref="K314" si="170">K315</f>
        <v>175000</v>
      </c>
      <c r="L314" s="139">
        <f t="shared" ref="L314" si="171">L315</f>
        <v>0</v>
      </c>
      <c r="M314" s="139">
        <f t="shared" ref="M314" si="172">M315</f>
        <v>0</v>
      </c>
      <c r="N314" s="139">
        <f t="shared" ref="N314" si="173">N315</f>
        <v>0</v>
      </c>
      <c r="O314" s="139">
        <f t="shared" ref="O314" si="174">O315</f>
        <v>175000</v>
      </c>
      <c r="P314" s="139">
        <f>P315</f>
        <v>21901000</v>
      </c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  <c r="EH314" s="32"/>
      <c r="EI314" s="32"/>
      <c r="EJ314" s="32"/>
      <c r="EK314" s="32"/>
      <c r="EL314" s="32"/>
      <c r="EM314" s="32"/>
      <c r="EN314" s="32"/>
      <c r="EO314" s="32"/>
      <c r="EP314" s="32"/>
      <c r="EQ314" s="32"/>
      <c r="ER314" s="32"/>
      <c r="ES314" s="32"/>
      <c r="ET314" s="32"/>
      <c r="EU314" s="32"/>
      <c r="EV314" s="32"/>
      <c r="EW314" s="32"/>
      <c r="EX314" s="32"/>
      <c r="EY314" s="32"/>
      <c r="EZ314" s="32"/>
      <c r="FA314" s="32"/>
      <c r="FB314" s="32"/>
      <c r="FC314" s="32"/>
      <c r="FD314" s="32"/>
      <c r="FE314" s="32"/>
      <c r="FF314" s="32"/>
      <c r="FG314" s="32"/>
      <c r="FH314" s="32"/>
      <c r="FI314" s="32"/>
      <c r="FJ314" s="32"/>
      <c r="FK314" s="32"/>
      <c r="FL314" s="32"/>
      <c r="FM314" s="32"/>
      <c r="FN314" s="32"/>
      <c r="FO314" s="32"/>
      <c r="FP314" s="32"/>
      <c r="FQ314" s="32"/>
      <c r="FR314" s="32"/>
      <c r="FS314" s="32"/>
      <c r="FT314" s="32"/>
      <c r="FU314" s="32"/>
      <c r="FV314" s="32"/>
      <c r="FW314" s="32"/>
      <c r="FX314" s="32"/>
      <c r="FY314" s="32"/>
      <c r="FZ314" s="32"/>
      <c r="GA314" s="32"/>
      <c r="GB314" s="32"/>
      <c r="GC314" s="32"/>
      <c r="GD314" s="32"/>
      <c r="GE314" s="32"/>
      <c r="GF314" s="32"/>
      <c r="GG314" s="32"/>
      <c r="GH314" s="32"/>
      <c r="GI314" s="32"/>
      <c r="GJ314" s="32"/>
      <c r="GK314" s="32"/>
      <c r="GL314" s="32"/>
      <c r="GM314" s="32"/>
      <c r="GN314" s="32"/>
      <c r="GO314" s="32"/>
      <c r="GP314" s="32"/>
      <c r="GQ314" s="32"/>
      <c r="GR314" s="32"/>
      <c r="GS314" s="32"/>
      <c r="GT314" s="32"/>
      <c r="GU314" s="32"/>
      <c r="GV314" s="32"/>
      <c r="GW314" s="32"/>
      <c r="GX314" s="32"/>
      <c r="GY314" s="32"/>
      <c r="GZ314" s="32"/>
      <c r="HA314" s="32"/>
      <c r="HB314" s="32"/>
      <c r="HC314" s="32"/>
      <c r="HD314" s="32"/>
      <c r="HE314" s="32"/>
      <c r="HF314" s="32"/>
      <c r="HG314" s="32"/>
      <c r="HH314" s="32"/>
      <c r="HI314" s="32"/>
      <c r="HJ314" s="32"/>
      <c r="HK314" s="32"/>
      <c r="HL314" s="32"/>
      <c r="HM314" s="32"/>
      <c r="HN314" s="32"/>
      <c r="HO314" s="32"/>
      <c r="HP314" s="32"/>
      <c r="HQ314" s="32"/>
      <c r="HR314" s="32"/>
      <c r="HS314" s="32"/>
      <c r="HT314" s="32"/>
      <c r="HU314" s="32"/>
      <c r="HV314" s="32"/>
      <c r="HW314" s="32"/>
      <c r="HX314" s="32"/>
      <c r="HY314" s="32"/>
      <c r="HZ314" s="32"/>
      <c r="IA314" s="32"/>
      <c r="IB314" s="32"/>
      <c r="IC314" s="32"/>
      <c r="ID314" s="32"/>
      <c r="IE314" s="32"/>
      <c r="IF314" s="32"/>
      <c r="IG314" s="32"/>
      <c r="IH314" s="32"/>
      <c r="II314" s="32"/>
      <c r="IJ314" s="32"/>
      <c r="IK314" s="32"/>
      <c r="IL314" s="32"/>
      <c r="IM314" s="32"/>
      <c r="IN314" s="32"/>
      <c r="IO314" s="32"/>
      <c r="IP314" s="32"/>
      <c r="IQ314" s="32"/>
      <c r="IR314" s="32"/>
      <c r="IS314" s="32"/>
      <c r="IT314" s="32"/>
      <c r="IU314" s="32"/>
      <c r="IV314" s="32"/>
      <c r="IW314" s="32"/>
      <c r="IX314" s="32"/>
      <c r="IY314" s="32"/>
      <c r="IZ314" s="32"/>
      <c r="JA314" s="32"/>
      <c r="JB314" s="32"/>
      <c r="JC314" s="32"/>
      <c r="JD314" s="32"/>
      <c r="JE314" s="32"/>
      <c r="JF314" s="32"/>
      <c r="JG314" s="32"/>
      <c r="JH314" s="32"/>
      <c r="JI314" s="32"/>
      <c r="JJ314" s="32"/>
      <c r="JK314" s="32"/>
      <c r="JL314" s="32"/>
      <c r="JM314" s="32"/>
      <c r="JN314" s="32"/>
      <c r="JO314" s="32"/>
      <c r="JP314" s="32"/>
      <c r="JQ314" s="32"/>
      <c r="JR314" s="32"/>
      <c r="JS314" s="32"/>
      <c r="JT314" s="32"/>
      <c r="JU314" s="32"/>
      <c r="JV314" s="32"/>
      <c r="JW314" s="32"/>
      <c r="JX314" s="32"/>
      <c r="JY314" s="32"/>
      <c r="JZ314" s="32"/>
      <c r="KA314" s="32"/>
      <c r="KB314" s="32"/>
      <c r="KC314" s="32"/>
      <c r="KD314" s="32"/>
      <c r="KE314" s="32"/>
      <c r="KF314" s="32"/>
      <c r="KG314" s="32"/>
      <c r="KH314" s="32"/>
      <c r="KI314" s="32"/>
      <c r="KJ314" s="32"/>
      <c r="KK314" s="32"/>
      <c r="KL314" s="32"/>
      <c r="KM314" s="32"/>
      <c r="KN314" s="32"/>
      <c r="KO314" s="32"/>
      <c r="KP314" s="32"/>
      <c r="KQ314" s="32"/>
      <c r="KR314" s="32"/>
      <c r="KS314" s="32"/>
      <c r="KT314" s="32"/>
      <c r="KU314" s="32"/>
      <c r="KV314" s="32"/>
      <c r="KW314" s="32"/>
      <c r="KX314" s="32"/>
      <c r="KY314" s="32"/>
      <c r="KZ314" s="32"/>
      <c r="LA314" s="32"/>
      <c r="LB314" s="32"/>
      <c r="LC314" s="32"/>
      <c r="LD314" s="32"/>
      <c r="LE314" s="32"/>
      <c r="LF314" s="32"/>
      <c r="LG314" s="32"/>
      <c r="LH314" s="32"/>
      <c r="LI314" s="32"/>
      <c r="LJ314" s="32"/>
      <c r="LK314" s="32"/>
      <c r="LL314" s="32"/>
      <c r="LM314" s="32"/>
      <c r="LN314" s="32"/>
      <c r="LO314" s="32"/>
      <c r="LP314" s="32"/>
      <c r="LQ314" s="32"/>
      <c r="LR314" s="32"/>
      <c r="LS314" s="32"/>
      <c r="LT314" s="32"/>
      <c r="LU314" s="32"/>
      <c r="LV314" s="32"/>
      <c r="LW314" s="32"/>
      <c r="LX314" s="32"/>
      <c r="LY314" s="32"/>
      <c r="LZ314" s="32"/>
      <c r="MA314" s="32"/>
      <c r="MB314" s="32"/>
      <c r="MC314" s="32"/>
      <c r="MD314" s="32"/>
      <c r="ME314" s="32"/>
      <c r="MF314" s="32"/>
      <c r="MG314" s="32"/>
      <c r="MH314" s="32"/>
      <c r="MI314" s="32"/>
      <c r="MJ314" s="32"/>
      <c r="MK314" s="32"/>
      <c r="ML314" s="32"/>
      <c r="MM314" s="32"/>
      <c r="MN314" s="32"/>
      <c r="MO314" s="32"/>
      <c r="MP314" s="32"/>
      <c r="MQ314" s="32"/>
      <c r="MR314" s="32"/>
      <c r="MS314" s="32"/>
      <c r="MT314" s="32"/>
      <c r="MU314" s="32"/>
      <c r="MV314" s="32"/>
      <c r="MW314" s="32"/>
      <c r="MX314" s="32"/>
      <c r="MY314" s="32"/>
      <c r="MZ314" s="32"/>
      <c r="NA314" s="32"/>
      <c r="NB314" s="32"/>
      <c r="NC314" s="32"/>
      <c r="ND314" s="32"/>
      <c r="NE314" s="32"/>
      <c r="NF314" s="32"/>
      <c r="NG314" s="32"/>
      <c r="NH314" s="32"/>
      <c r="NI314" s="32"/>
      <c r="NJ314" s="32"/>
      <c r="NK314" s="32"/>
      <c r="NL314" s="32"/>
      <c r="NM314" s="32"/>
      <c r="NN314" s="32"/>
      <c r="NO314" s="32"/>
      <c r="NP314" s="32"/>
      <c r="NQ314" s="32"/>
      <c r="NR314" s="32"/>
      <c r="NS314" s="32"/>
      <c r="NT314" s="32"/>
      <c r="NU314" s="32"/>
      <c r="NV314" s="32"/>
      <c r="NW314" s="32"/>
      <c r="NX314" s="32"/>
      <c r="NY314" s="32"/>
      <c r="NZ314" s="32"/>
      <c r="OA314" s="32"/>
      <c r="OB314" s="32"/>
      <c r="OC314" s="32"/>
      <c r="OD314" s="32"/>
      <c r="OE314" s="32"/>
      <c r="OF314" s="32"/>
      <c r="OG314" s="32"/>
      <c r="OH314" s="32"/>
      <c r="OI314" s="32"/>
      <c r="OJ314" s="32"/>
      <c r="OK314" s="32"/>
      <c r="OL314" s="32"/>
      <c r="OM314" s="32"/>
      <c r="ON314" s="32"/>
      <c r="OO314" s="32"/>
      <c r="OP314" s="32"/>
      <c r="OQ314" s="32"/>
      <c r="OR314" s="32"/>
      <c r="OS314" s="32"/>
      <c r="OT314" s="32"/>
      <c r="OU314" s="32"/>
      <c r="OV314" s="32"/>
      <c r="OW314" s="32"/>
      <c r="OX314" s="32"/>
      <c r="OY314" s="32"/>
      <c r="OZ314" s="32"/>
      <c r="PA314" s="32"/>
      <c r="PB314" s="32"/>
      <c r="PC314" s="32"/>
      <c r="PD314" s="32"/>
      <c r="PE314" s="32"/>
      <c r="PF314" s="32"/>
      <c r="PG314" s="32"/>
      <c r="PH314" s="32"/>
      <c r="PI314" s="32"/>
      <c r="PJ314" s="32"/>
      <c r="PK314" s="32"/>
      <c r="PL314" s="32"/>
      <c r="PM314" s="32"/>
      <c r="PN314" s="32"/>
      <c r="PO314" s="32"/>
      <c r="PP314" s="32"/>
      <c r="PQ314" s="32"/>
      <c r="PR314" s="32"/>
      <c r="PS314" s="32"/>
      <c r="PT314" s="32"/>
      <c r="PU314" s="32"/>
      <c r="PV314" s="32"/>
      <c r="PW314" s="32"/>
      <c r="PX314" s="32"/>
      <c r="PY314" s="32"/>
      <c r="PZ314" s="32"/>
      <c r="QA314" s="32"/>
      <c r="QB314" s="32"/>
      <c r="QC314" s="32"/>
      <c r="QD314" s="32"/>
      <c r="QE314" s="32"/>
      <c r="QF314" s="32"/>
      <c r="QG314" s="32"/>
      <c r="QH314" s="32"/>
      <c r="QI314" s="32"/>
      <c r="QJ314" s="32"/>
      <c r="QK314" s="32"/>
      <c r="QL314" s="32"/>
      <c r="QM314" s="32"/>
      <c r="QN314" s="32"/>
      <c r="QO314" s="32"/>
      <c r="QP314" s="32"/>
      <c r="QQ314" s="32"/>
      <c r="QR314" s="32"/>
      <c r="QS314" s="32"/>
      <c r="QT314" s="32"/>
      <c r="QU314" s="32"/>
      <c r="QV314" s="32"/>
      <c r="QW314" s="32"/>
      <c r="QX314" s="32"/>
      <c r="QY314" s="32"/>
      <c r="QZ314" s="32"/>
      <c r="RA314" s="32"/>
      <c r="RB314" s="32"/>
      <c r="RC314" s="32"/>
      <c r="RD314" s="32"/>
      <c r="RE314" s="32"/>
      <c r="RF314" s="32"/>
      <c r="RG314" s="32"/>
      <c r="RH314" s="32"/>
      <c r="RI314" s="32"/>
      <c r="RJ314" s="32"/>
      <c r="RK314" s="32"/>
      <c r="RL314" s="32"/>
      <c r="RM314" s="32"/>
      <c r="RN314" s="32"/>
      <c r="RO314" s="32"/>
      <c r="RP314" s="32"/>
      <c r="RQ314" s="32"/>
      <c r="RR314" s="32"/>
      <c r="RS314" s="32"/>
      <c r="RT314" s="32"/>
      <c r="RU314" s="32"/>
      <c r="RV314" s="32"/>
      <c r="RW314" s="32"/>
      <c r="RX314" s="32"/>
      <c r="RY314" s="32"/>
      <c r="RZ314" s="32"/>
      <c r="SA314" s="32"/>
      <c r="SB314" s="32"/>
      <c r="SC314" s="32"/>
      <c r="SD314" s="32"/>
      <c r="SE314" s="32"/>
      <c r="SF314" s="32"/>
      <c r="SG314" s="32"/>
      <c r="SH314" s="32"/>
      <c r="SI314" s="32"/>
      <c r="SJ314" s="32"/>
      <c r="SK314" s="32"/>
      <c r="SL314" s="32"/>
      <c r="SM314" s="32"/>
      <c r="SN314" s="32"/>
      <c r="SO314" s="32"/>
      <c r="SP314" s="32"/>
      <c r="SQ314" s="32"/>
      <c r="SR314" s="32"/>
      <c r="SS314" s="32"/>
      <c r="ST314" s="32"/>
      <c r="SU314" s="32"/>
      <c r="SV314" s="32"/>
      <c r="SW314" s="32"/>
      <c r="SX314" s="32"/>
      <c r="SY314" s="32"/>
      <c r="SZ314" s="32"/>
      <c r="TA314" s="32"/>
      <c r="TB314" s="32"/>
      <c r="TC314" s="32"/>
      <c r="TD314" s="32"/>
      <c r="TE314" s="32"/>
    </row>
    <row r="315" spans="1:525" s="34" customFormat="1" ht="40.5" customHeight="1" x14ac:dyDescent="0.25">
      <c r="A315" s="86" t="s">
        <v>211</v>
      </c>
      <c r="B315" s="95"/>
      <c r="C315" s="95"/>
      <c r="D315" s="70" t="s">
        <v>38</v>
      </c>
      <c r="E315" s="140">
        <f>E316+E317++E318+E319+E320+E321</f>
        <v>21726000</v>
      </c>
      <c r="F315" s="140">
        <f t="shared" ref="F315:P315" si="175">F316+F317++F318+F319+F320+F321</f>
        <v>21126000</v>
      </c>
      <c r="G315" s="140">
        <f t="shared" si="175"/>
        <v>14273200</v>
      </c>
      <c r="H315" s="140">
        <f t="shared" si="175"/>
        <v>628000</v>
      </c>
      <c r="I315" s="140">
        <f t="shared" si="175"/>
        <v>600000</v>
      </c>
      <c r="J315" s="140">
        <f t="shared" si="175"/>
        <v>175000</v>
      </c>
      <c r="K315" s="140">
        <f>K316+K317++K318+K319+K320+K321</f>
        <v>175000</v>
      </c>
      <c r="L315" s="140">
        <f t="shared" si="175"/>
        <v>0</v>
      </c>
      <c r="M315" s="140">
        <f t="shared" si="175"/>
        <v>0</v>
      </c>
      <c r="N315" s="140">
        <f t="shared" si="175"/>
        <v>0</v>
      </c>
      <c r="O315" s="140">
        <f t="shared" si="175"/>
        <v>175000</v>
      </c>
      <c r="P315" s="140">
        <f t="shared" si="175"/>
        <v>21901000</v>
      </c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  <c r="EH315" s="33"/>
      <c r="EI315" s="33"/>
      <c r="EJ315" s="33"/>
      <c r="EK315" s="33"/>
      <c r="EL315" s="33"/>
      <c r="EM315" s="33"/>
      <c r="EN315" s="33"/>
      <c r="EO315" s="33"/>
      <c r="EP315" s="33"/>
      <c r="EQ315" s="33"/>
      <c r="ER315" s="33"/>
      <c r="ES315" s="33"/>
      <c r="ET315" s="33"/>
      <c r="EU315" s="33"/>
      <c r="EV315" s="33"/>
      <c r="EW315" s="33"/>
      <c r="EX315" s="33"/>
      <c r="EY315" s="33"/>
      <c r="EZ315" s="33"/>
      <c r="FA315" s="33"/>
      <c r="FB315" s="33"/>
      <c r="FC315" s="33"/>
      <c r="FD315" s="33"/>
      <c r="FE315" s="33"/>
      <c r="FF315" s="33"/>
      <c r="FG315" s="33"/>
      <c r="FH315" s="33"/>
      <c r="FI315" s="33"/>
      <c r="FJ315" s="33"/>
      <c r="FK315" s="33"/>
      <c r="FL315" s="33"/>
      <c r="FM315" s="33"/>
      <c r="FN315" s="33"/>
      <c r="FO315" s="33"/>
      <c r="FP315" s="33"/>
      <c r="FQ315" s="33"/>
      <c r="FR315" s="33"/>
      <c r="FS315" s="33"/>
      <c r="FT315" s="33"/>
      <c r="FU315" s="33"/>
      <c r="FV315" s="33"/>
      <c r="FW315" s="33"/>
      <c r="FX315" s="33"/>
      <c r="FY315" s="33"/>
      <c r="FZ315" s="33"/>
      <c r="GA315" s="33"/>
      <c r="GB315" s="33"/>
      <c r="GC315" s="33"/>
      <c r="GD315" s="33"/>
      <c r="GE315" s="33"/>
      <c r="GF315" s="33"/>
      <c r="GG315" s="33"/>
      <c r="GH315" s="33"/>
      <c r="GI315" s="33"/>
      <c r="GJ315" s="33"/>
      <c r="GK315" s="33"/>
      <c r="GL315" s="33"/>
      <c r="GM315" s="33"/>
      <c r="GN315" s="33"/>
      <c r="GO315" s="33"/>
      <c r="GP315" s="33"/>
      <c r="GQ315" s="33"/>
      <c r="GR315" s="33"/>
      <c r="GS315" s="33"/>
      <c r="GT315" s="33"/>
      <c r="GU315" s="33"/>
      <c r="GV315" s="33"/>
      <c r="GW315" s="33"/>
      <c r="GX315" s="33"/>
      <c r="GY315" s="33"/>
      <c r="GZ315" s="33"/>
      <c r="HA315" s="33"/>
      <c r="HB315" s="33"/>
      <c r="HC315" s="33"/>
      <c r="HD315" s="33"/>
      <c r="HE315" s="33"/>
      <c r="HF315" s="33"/>
      <c r="HG315" s="33"/>
      <c r="HH315" s="33"/>
      <c r="HI315" s="33"/>
      <c r="HJ315" s="33"/>
      <c r="HK315" s="33"/>
      <c r="HL315" s="33"/>
      <c r="HM315" s="33"/>
      <c r="HN315" s="33"/>
      <c r="HO315" s="33"/>
      <c r="HP315" s="33"/>
      <c r="HQ315" s="33"/>
      <c r="HR315" s="33"/>
      <c r="HS315" s="33"/>
      <c r="HT315" s="33"/>
      <c r="HU315" s="33"/>
      <c r="HV315" s="33"/>
      <c r="HW315" s="33"/>
      <c r="HX315" s="33"/>
      <c r="HY315" s="33"/>
      <c r="HZ315" s="33"/>
      <c r="IA315" s="33"/>
      <c r="IB315" s="33"/>
      <c r="IC315" s="33"/>
      <c r="ID315" s="33"/>
      <c r="IE315" s="33"/>
      <c r="IF315" s="33"/>
      <c r="IG315" s="33"/>
      <c r="IH315" s="33"/>
      <c r="II315" s="33"/>
      <c r="IJ315" s="33"/>
      <c r="IK315" s="33"/>
      <c r="IL315" s="33"/>
      <c r="IM315" s="33"/>
      <c r="IN315" s="33"/>
      <c r="IO315" s="33"/>
      <c r="IP315" s="33"/>
      <c r="IQ315" s="33"/>
      <c r="IR315" s="33"/>
      <c r="IS315" s="33"/>
      <c r="IT315" s="33"/>
      <c r="IU315" s="33"/>
      <c r="IV315" s="33"/>
      <c r="IW315" s="33"/>
      <c r="IX315" s="33"/>
      <c r="IY315" s="33"/>
      <c r="IZ315" s="33"/>
      <c r="JA315" s="33"/>
      <c r="JB315" s="33"/>
      <c r="JC315" s="33"/>
      <c r="JD315" s="33"/>
      <c r="JE315" s="33"/>
      <c r="JF315" s="33"/>
      <c r="JG315" s="33"/>
      <c r="JH315" s="33"/>
      <c r="JI315" s="33"/>
      <c r="JJ315" s="33"/>
      <c r="JK315" s="33"/>
      <c r="JL315" s="33"/>
      <c r="JM315" s="33"/>
      <c r="JN315" s="33"/>
      <c r="JO315" s="33"/>
      <c r="JP315" s="33"/>
      <c r="JQ315" s="33"/>
      <c r="JR315" s="33"/>
      <c r="JS315" s="33"/>
      <c r="JT315" s="33"/>
      <c r="JU315" s="33"/>
      <c r="JV315" s="33"/>
      <c r="JW315" s="33"/>
      <c r="JX315" s="33"/>
      <c r="JY315" s="33"/>
      <c r="JZ315" s="33"/>
      <c r="KA315" s="33"/>
      <c r="KB315" s="33"/>
      <c r="KC315" s="33"/>
      <c r="KD315" s="33"/>
      <c r="KE315" s="33"/>
      <c r="KF315" s="33"/>
      <c r="KG315" s="33"/>
      <c r="KH315" s="33"/>
      <c r="KI315" s="33"/>
      <c r="KJ315" s="33"/>
      <c r="KK315" s="33"/>
      <c r="KL315" s="33"/>
      <c r="KM315" s="33"/>
      <c r="KN315" s="33"/>
      <c r="KO315" s="33"/>
      <c r="KP315" s="33"/>
      <c r="KQ315" s="33"/>
      <c r="KR315" s="33"/>
      <c r="KS315" s="33"/>
      <c r="KT315" s="33"/>
      <c r="KU315" s="33"/>
      <c r="KV315" s="33"/>
      <c r="KW315" s="33"/>
      <c r="KX315" s="33"/>
      <c r="KY315" s="33"/>
      <c r="KZ315" s="33"/>
      <c r="LA315" s="33"/>
      <c r="LB315" s="33"/>
      <c r="LC315" s="33"/>
      <c r="LD315" s="33"/>
      <c r="LE315" s="33"/>
      <c r="LF315" s="33"/>
      <c r="LG315" s="33"/>
      <c r="LH315" s="33"/>
      <c r="LI315" s="33"/>
      <c r="LJ315" s="33"/>
      <c r="LK315" s="33"/>
      <c r="LL315" s="33"/>
      <c r="LM315" s="33"/>
      <c r="LN315" s="33"/>
      <c r="LO315" s="33"/>
      <c r="LP315" s="33"/>
      <c r="LQ315" s="33"/>
      <c r="LR315" s="33"/>
      <c r="LS315" s="33"/>
      <c r="LT315" s="33"/>
      <c r="LU315" s="33"/>
      <c r="LV315" s="33"/>
      <c r="LW315" s="33"/>
      <c r="LX315" s="33"/>
      <c r="LY315" s="33"/>
      <c r="LZ315" s="33"/>
      <c r="MA315" s="33"/>
      <c r="MB315" s="33"/>
      <c r="MC315" s="33"/>
      <c r="MD315" s="33"/>
      <c r="ME315" s="33"/>
      <c r="MF315" s="33"/>
      <c r="MG315" s="33"/>
      <c r="MH315" s="33"/>
      <c r="MI315" s="33"/>
      <c r="MJ315" s="33"/>
      <c r="MK315" s="33"/>
      <c r="ML315" s="33"/>
      <c r="MM315" s="33"/>
      <c r="MN315" s="33"/>
      <c r="MO315" s="33"/>
      <c r="MP315" s="33"/>
      <c r="MQ315" s="33"/>
      <c r="MR315" s="33"/>
      <c r="MS315" s="33"/>
      <c r="MT315" s="33"/>
      <c r="MU315" s="33"/>
      <c r="MV315" s="33"/>
      <c r="MW315" s="33"/>
      <c r="MX315" s="33"/>
      <c r="MY315" s="33"/>
      <c r="MZ315" s="33"/>
      <c r="NA315" s="33"/>
      <c r="NB315" s="33"/>
      <c r="NC315" s="33"/>
      <c r="ND315" s="33"/>
      <c r="NE315" s="33"/>
      <c r="NF315" s="33"/>
      <c r="NG315" s="33"/>
      <c r="NH315" s="33"/>
      <c r="NI315" s="33"/>
      <c r="NJ315" s="33"/>
      <c r="NK315" s="33"/>
      <c r="NL315" s="33"/>
      <c r="NM315" s="33"/>
      <c r="NN315" s="33"/>
      <c r="NO315" s="33"/>
      <c r="NP315" s="33"/>
      <c r="NQ315" s="33"/>
      <c r="NR315" s="33"/>
      <c r="NS315" s="33"/>
      <c r="NT315" s="33"/>
      <c r="NU315" s="33"/>
      <c r="NV315" s="33"/>
      <c r="NW315" s="33"/>
      <c r="NX315" s="33"/>
      <c r="NY315" s="33"/>
      <c r="NZ315" s="33"/>
      <c r="OA315" s="33"/>
      <c r="OB315" s="33"/>
      <c r="OC315" s="33"/>
      <c r="OD315" s="33"/>
      <c r="OE315" s="33"/>
      <c r="OF315" s="33"/>
      <c r="OG315" s="33"/>
      <c r="OH315" s="33"/>
      <c r="OI315" s="33"/>
      <c r="OJ315" s="33"/>
      <c r="OK315" s="33"/>
      <c r="OL315" s="33"/>
      <c r="OM315" s="33"/>
      <c r="ON315" s="33"/>
      <c r="OO315" s="33"/>
      <c r="OP315" s="33"/>
      <c r="OQ315" s="33"/>
      <c r="OR315" s="33"/>
      <c r="OS315" s="33"/>
      <c r="OT315" s="33"/>
      <c r="OU315" s="33"/>
      <c r="OV315" s="33"/>
      <c r="OW315" s="33"/>
      <c r="OX315" s="33"/>
      <c r="OY315" s="33"/>
      <c r="OZ315" s="33"/>
      <c r="PA315" s="33"/>
      <c r="PB315" s="33"/>
      <c r="PC315" s="33"/>
      <c r="PD315" s="33"/>
      <c r="PE315" s="33"/>
      <c r="PF315" s="33"/>
      <c r="PG315" s="33"/>
      <c r="PH315" s="33"/>
      <c r="PI315" s="33"/>
      <c r="PJ315" s="33"/>
      <c r="PK315" s="33"/>
      <c r="PL315" s="33"/>
      <c r="PM315" s="33"/>
      <c r="PN315" s="33"/>
      <c r="PO315" s="33"/>
      <c r="PP315" s="33"/>
      <c r="PQ315" s="33"/>
      <c r="PR315" s="33"/>
      <c r="PS315" s="33"/>
      <c r="PT315" s="33"/>
      <c r="PU315" s="33"/>
      <c r="PV315" s="33"/>
      <c r="PW315" s="33"/>
      <c r="PX315" s="33"/>
      <c r="PY315" s="33"/>
      <c r="PZ315" s="33"/>
      <c r="QA315" s="33"/>
      <c r="QB315" s="33"/>
      <c r="QC315" s="33"/>
      <c r="QD315" s="33"/>
      <c r="QE315" s="33"/>
      <c r="QF315" s="33"/>
      <c r="QG315" s="33"/>
      <c r="QH315" s="33"/>
      <c r="QI315" s="33"/>
      <c r="QJ315" s="33"/>
      <c r="QK315" s="33"/>
      <c r="QL315" s="33"/>
      <c r="QM315" s="33"/>
      <c r="QN315" s="33"/>
      <c r="QO315" s="33"/>
      <c r="QP315" s="33"/>
      <c r="QQ315" s="33"/>
      <c r="QR315" s="33"/>
      <c r="QS315" s="33"/>
      <c r="QT315" s="33"/>
      <c r="QU315" s="33"/>
      <c r="QV315" s="33"/>
      <c r="QW315" s="33"/>
      <c r="QX315" s="33"/>
      <c r="QY315" s="33"/>
      <c r="QZ315" s="33"/>
      <c r="RA315" s="33"/>
      <c r="RB315" s="33"/>
      <c r="RC315" s="33"/>
      <c r="RD315" s="33"/>
      <c r="RE315" s="33"/>
      <c r="RF315" s="33"/>
      <c r="RG315" s="33"/>
      <c r="RH315" s="33"/>
      <c r="RI315" s="33"/>
      <c r="RJ315" s="33"/>
      <c r="RK315" s="33"/>
      <c r="RL315" s="33"/>
      <c r="RM315" s="33"/>
      <c r="RN315" s="33"/>
      <c r="RO315" s="33"/>
      <c r="RP315" s="33"/>
      <c r="RQ315" s="33"/>
      <c r="RR315" s="33"/>
      <c r="RS315" s="33"/>
      <c r="RT315" s="33"/>
      <c r="RU315" s="33"/>
      <c r="RV315" s="33"/>
      <c r="RW315" s="33"/>
      <c r="RX315" s="33"/>
      <c r="RY315" s="33"/>
      <c r="RZ315" s="33"/>
      <c r="SA315" s="33"/>
      <c r="SB315" s="33"/>
      <c r="SC315" s="33"/>
      <c r="SD315" s="33"/>
      <c r="SE315" s="33"/>
      <c r="SF315" s="33"/>
      <c r="SG315" s="33"/>
      <c r="SH315" s="33"/>
      <c r="SI315" s="33"/>
      <c r="SJ315" s="33"/>
      <c r="SK315" s="33"/>
      <c r="SL315" s="33"/>
      <c r="SM315" s="33"/>
      <c r="SN315" s="33"/>
      <c r="SO315" s="33"/>
      <c r="SP315" s="33"/>
      <c r="SQ315" s="33"/>
      <c r="SR315" s="33"/>
      <c r="SS315" s="33"/>
      <c r="ST315" s="33"/>
      <c r="SU315" s="33"/>
      <c r="SV315" s="33"/>
      <c r="SW315" s="33"/>
      <c r="SX315" s="33"/>
      <c r="SY315" s="33"/>
      <c r="SZ315" s="33"/>
      <c r="TA315" s="33"/>
      <c r="TB315" s="33"/>
      <c r="TC315" s="33"/>
      <c r="TD315" s="33"/>
      <c r="TE315" s="33"/>
    </row>
    <row r="316" spans="1:525" s="22" customFormat="1" ht="50.25" customHeight="1" x14ac:dyDescent="0.25">
      <c r="A316" s="56" t="s">
        <v>212</v>
      </c>
      <c r="B316" s="84" t="str">
        <f>'дод 5'!A18</f>
        <v>0160</v>
      </c>
      <c r="C316" s="84" t="str">
        <f>'дод 5'!B18</f>
        <v>0111</v>
      </c>
      <c r="D316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316" s="141">
        <f t="shared" ref="E316:E321" si="176">F316+I316</f>
        <v>18876000</v>
      </c>
      <c r="F316" s="141">
        <f>20327900-1451900</f>
        <v>18876000</v>
      </c>
      <c r="G316" s="141">
        <f>15463300-1190100</f>
        <v>14273200</v>
      </c>
      <c r="H316" s="141">
        <v>628000</v>
      </c>
      <c r="I316" s="141"/>
      <c r="J316" s="141">
        <f>L316+O316</f>
        <v>0</v>
      </c>
      <c r="K316" s="141"/>
      <c r="L316" s="141"/>
      <c r="M316" s="141"/>
      <c r="N316" s="141"/>
      <c r="O316" s="141"/>
      <c r="P316" s="141">
        <f t="shared" ref="P316:P321" si="177">E316+J316</f>
        <v>18876000</v>
      </c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</row>
    <row r="317" spans="1:525" s="25" customFormat="1" ht="30.75" customHeight="1" x14ac:dyDescent="0.25">
      <c r="A317" s="56" t="s">
        <v>213</v>
      </c>
      <c r="B317" s="84" t="str">
        <f>'дод 5'!A177</f>
        <v>7130</v>
      </c>
      <c r="C317" s="84" t="str">
        <f>'дод 5'!B177</f>
        <v>0421</v>
      </c>
      <c r="D317" s="57" t="str">
        <f>'дод 5'!C177</f>
        <v>Здійснення заходів із землеустрою</v>
      </c>
      <c r="E317" s="141">
        <f t="shared" si="176"/>
        <v>990000</v>
      </c>
      <c r="F317" s="141">
        <v>990000</v>
      </c>
      <c r="G317" s="141"/>
      <c r="H317" s="141"/>
      <c r="I317" s="141"/>
      <c r="J317" s="141">
        <f t="shared" ref="J317:J321" si="178">L317+O317</f>
        <v>0</v>
      </c>
      <c r="K317" s="141"/>
      <c r="L317" s="141"/>
      <c r="M317" s="141"/>
      <c r="N317" s="141"/>
      <c r="O317" s="141"/>
      <c r="P317" s="141">
        <f t="shared" si="177"/>
        <v>990000</v>
      </c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  <c r="HG317" s="31"/>
      <c r="HH317" s="31"/>
      <c r="HI317" s="31"/>
      <c r="HJ317" s="31"/>
      <c r="HK317" s="31"/>
      <c r="HL317" s="31"/>
      <c r="HM317" s="31"/>
      <c r="HN317" s="31"/>
      <c r="HO317" s="31"/>
      <c r="HP317" s="31"/>
      <c r="HQ317" s="31"/>
      <c r="HR317" s="31"/>
      <c r="HS317" s="31"/>
      <c r="HT317" s="31"/>
      <c r="HU317" s="31"/>
      <c r="HV317" s="31"/>
      <c r="HW317" s="31"/>
      <c r="HX317" s="31"/>
      <c r="HY317" s="31"/>
      <c r="HZ317" s="31"/>
      <c r="IA317" s="31"/>
      <c r="IB317" s="31"/>
      <c r="IC317" s="31"/>
      <c r="ID317" s="31"/>
      <c r="IE317" s="31"/>
      <c r="IF317" s="31"/>
      <c r="IG317" s="31"/>
      <c r="IH317" s="31"/>
      <c r="II317" s="31"/>
      <c r="IJ317" s="31"/>
      <c r="IK317" s="31"/>
      <c r="IL317" s="31"/>
      <c r="IM317" s="31"/>
      <c r="IN317" s="31"/>
      <c r="IO317" s="31"/>
      <c r="IP317" s="31"/>
      <c r="IQ317" s="31"/>
      <c r="IR317" s="31"/>
      <c r="IS317" s="31"/>
      <c r="IT317" s="31"/>
      <c r="IU317" s="31"/>
      <c r="IV317" s="31"/>
      <c r="IW317" s="31"/>
      <c r="IX317" s="31"/>
      <c r="IY317" s="31"/>
      <c r="IZ317" s="31"/>
      <c r="JA317" s="31"/>
      <c r="JB317" s="31"/>
      <c r="JC317" s="31"/>
      <c r="JD317" s="31"/>
      <c r="JE317" s="31"/>
      <c r="JF317" s="31"/>
      <c r="JG317" s="31"/>
      <c r="JH317" s="31"/>
      <c r="JI317" s="31"/>
      <c r="JJ317" s="31"/>
      <c r="JK317" s="31"/>
      <c r="JL317" s="31"/>
      <c r="JM317" s="31"/>
      <c r="JN317" s="31"/>
      <c r="JO317" s="31"/>
      <c r="JP317" s="31"/>
      <c r="JQ317" s="31"/>
      <c r="JR317" s="31"/>
      <c r="JS317" s="31"/>
      <c r="JT317" s="31"/>
      <c r="JU317" s="31"/>
      <c r="JV317" s="31"/>
      <c r="JW317" s="31"/>
      <c r="JX317" s="31"/>
      <c r="JY317" s="31"/>
      <c r="JZ317" s="31"/>
      <c r="KA317" s="31"/>
      <c r="KB317" s="31"/>
      <c r="KC317" s="31"/>
      <c r="KD317" s="31"/>
      <c r="KE317" s="31"/>
      <c r="KF317" s="31"/>
      <c r="KG317" s="31"/>
      <c r="KH317" s="31"/>
      <c r="KI317" s="31"/>
      <c r="KJ317" s="31"/>
      <c r="KK317" s="31"/>
      <c r="KL317" s="31"/>
      <c r="KM317" s="31"/>
      <c r="KN317" s="31"/>
      <c r="KO317" s="31"/>
      <c r="KP317" s="31"/>
      <c r="KQ317" s="31"/>
      <c r="KR317" s="31"/>
      <c r="KS317" s="31"/>
      <c r="KT317" s="31"/>
      <c r="KU317" s="31"/>
      <c r="KV317" s="31"/>
      <c r="KW317" s="31"/>
      <c r="KX317" s="31"/>
      <c r="KY317" s="31"/>
      <c r="KZ317" s="31"/>
      <c r="LA317" s="31"/>
      <c r="LB317" s="31"/>
      <c r="LC317" s="31"/>
      <c r="LD317" s="31"/>
      <c r="LE317" s="31"/>
      <c r="LF317" s="31"/>
      <c r="LG317" s="31"/>
      <c r="LH317" s="31"/>
      <c r="LI317" s="31"/>
      <c r="LJ317" s="31"/>
      <c r="LK317" s="31"/>
      <c r="LL317" s="31"/>
      <c r="LM317" s="31"/>
      <c r="LN317" s="31"/>
      <c r="LO317" s="31"/>
      <c r="LP317" s="31"/>
      <c r="LQ317" s="31"/>
      <c r="LR317" s="31"/>
      <c r="LS317" s="31"/>
      <c r="LT317" s="31"/>
      <c r="LU317" s="31"/>
      <c r="LV317" s="31"/>
      <c r="LW317" s="31"/>
      <c r="LX317" s="31"/>
      <c r="LY317" s="31"/>
      <c r="LZ317" s="31"/>
      <c r="MA317" s="31"/>
      <c r="MB317" s="31"/>
      <c r="MC317" s="31"/>
      <c r="MD317" s="31"/>
      <c r="ME317" s="31"/>
      <c r="MF317" s="31"/>
      <c r="MG317" s="31"/>
      <c r="MH317" s="31"/>
      <c r="MI317" s="31"/>
      <c r="MJ317" s="31"/>
      <c r="MK317" s="31"/>
      <c r="ML317" s="31"/>
      <c r="MM317" s="31"/>
      <c r="MN317" s="31"/>
      <c r="MO317" s="31"/>
      <c r="MP317" s="31"/>
      <c r="MQ317" s="31"/>
      <c r="MR317" s="31"/>
      <c r="MS317" s="31"/>
      <c r="MT317" s="31"/>
      <c r="MU317" s="31"/>
      <c r="MV317" s="31"/>
      <c r="MW317" s="31"/>
      <c r="MX317" s="31"/>
      <c r="MY317" s="31"/>
      <c r="MZ317" s="31"/>
      <c r="NA317" s="31"/>
      <c r="NB317" s="31"/>
      <c r="NC317" s="31"/>
      <c r="ND317" s="31"/>
      <c r="NE317" s="31"/>
      <c r="NF317" s="31"/>
      <c r="NG317" s="31"/>
      <c r="NH317" s="31"/>
      <c r="NI317" s="31"/>
      <c r="NJ317" s="31"/>
      <c r="NK317" s="31"/>
      <c r="NL317" s="31"/>
      <c r="NM317" s="31"/>
      <c r="NN317" s="31"/>
      <c r="NO317" s="31"/>
      <c r="NP317" s="31"/>
      <c r="NQ317" s="31"/>
      <c r="NR317" s="31"/>
      <c r="NS317" s="31"/>
      <c r="NT317" s="31"/>
      <c r="NU317" s="31"/>
      <c r="NV317" s="31"/>
      <c r="NW317" s="31"/>
      <c r="NX317" s="31"/>
      <c r="NY317" s="31"/>
      <c r="NZ317" s="31"/>
      <c r="OA317" s="31"/>
      <c r="OB317" s="31"/>
      <c r="OC317" s="31"/>
      <c r="OD317" s="31"/>
      <c r="OE317" s="31"/>
      <c r="OF317" s="31"/>
      <c r="OG317" s="31"/>
      <c r="OH317" s="31"/>
      <c r="OI317" s="31"/>
      <c r="OJ317" s="31"/>
      <c r="OK317" s="31"/>
      <c r="OL317" s="31"/>
      <c r="OM317" s="31"/>
      <c r="ON317" s="31"/>
      <c r="OO317" s="31"/>
      <c r="OP317" s="31"/>
      <c r="OQ317" s="31"/>
      <c r="OR317" s="31"/>
      <c r="OS317" s="31"/>
      <c r="OT317" s="31"/>
      <c r="OU317" s="31"/>
      <c r="OV317" s="31"/>
      <c r="OW317" s="31"/>
      <c r="OX317" s="31"/>
      <c r="OY317" s="31"/>
      <c r="OZ317" s="31"/>
      <c r="PA317" s="31"/>
      <c r="PB317" s="31"/>
      <c r="PC317" s="31"/>
      <c r="PD317" s="31"/>
      <c r="PE317" s="31"/>
      <c r="PF317" s="31"/>
      <c r="PG317" s="31"/>
      <c r="PH317" s="31"/>
      <c r="PI317" s="31"/>
      <c r="PJ317" s="31"/>
      <c r="PK317" s="31"/>
      <c r="PL317" s="31"/>
      <c r="PM317" s="31"/>
      <c r="PN317" s="31"/>
      <c r="PO317" s="31"/>
      <c r="PP317" s="31"/>
      <c r="PQ317" s="31"/>
      <c r="PR317" s="31"/>
      <c r="PS317" s="31"/>
      <c r="PT317" s="31"/>
      <c r="PU317" s="31"/>
      <c r="PV317" s="31"/>
      <c r="PW317" s="31"/>
      <c r="PX317" s="31"/>
      <c r="PY317" s="31"/>
      <c r="PZ317" s="31"/>
      <c r="QA317" s="31"/>
      <c r="QB317" s="31"/>
      <c r="QC317" s="31"/>
      <c r="QD317" s="31"/>
      <c r="QE317" s="31"/>
      <c r="QF317" s="31"/>
      <c r="QG317" s="31"/>
      <c r="QH317" s="31"/>
      <c r="QI317" s="31"/>
      <c r="QJ317" s="31"/>
      <c r="QK317" s="31"/>
      <c r="QL317" s="31"/>
      <c r="QM317" s="31"/>
      <c r="QN317" s="31"/>
      <c r="QO317" s="31"/>
      <c r="QP317" s="31"/>
      <c r="QQ317" s="31"/>
      <c r="QR317" s="31"/>
      <c r="QS317" s="31"/>
      <c r="QT317" s="31"/>
      <c r="QU317" s="31"/>
      <c r="QV317" s="31"/>
      <c r="QW317" s="31"/>
      <c r="QX317" s="31"/>
      <c r="QY317" s="31"/>
      <c r="QZ317" s="31"/>
      <c r="RA317" s="31"/>
      <c r="RB317" s="31"/>
      <c r="RC317" s="31"/>
      <c r="RD317" s="31"/>
      <c r="RE317" s="31"/>
      <c r="RF317" s="31"/>
      <c r="RG317" s="31"/>
      <c r="RH317" s="31"/>
      <c r="RI317" s="31"/>
      <c r="RJ317" s="31"/>
      <c r="RK317" s="31"/>
      <c r="RL317" s="31"/>
      <c r="RM317" s="31"/>
      <c r="RN317" s="31"/>
      <c r="RO317" s="31"/>
      <c r="RP317" s="31"/>
      <c r="RQ317" s="31"/>
      <c r="RR317" s="31"/>
      <c r="RS317" s="31"/>
      <c r="RT317" s="31"/>
      <c r="RU317" s="31"/>
      <c r="RV317" s="31"/>
      <c r="RW317" s="31"/>
      <c r="RX317" s="31"/>
      <c r="RY317" s="31"/>
      <c r="RZ317" s="31"/>
      <c r="SA317" s="31"/>
      <c r="SB317" s="31"/>
      <c r="SC317" s="31"/>
      <c r="SD317" s="31"/>
      <c r="SE317" s="31"/>
      <c r="SF317" s="31"/>
      <c r="SG317" s="31"/>
      <c r="SH317" s="31"/>
      <c r="SI317" s="31"/>
      <c r="SJ317" s="31"/>
      <c r="SK317" s="31"/>
      <c r="SL317" s="31"/>
      <c r="SM317" s="31"/>
      <c r="SN317" s="31"/>
      <c r="SO317" s="31"/>
      <c r="SP317" s="31"/>
      <c r="SQ317" s="31"/>
      <c r="SR317" s="31"/>
      <c r="SS317" s="31"/>
      <c r="ST317" s="31"/>
      <c r="SU317" s="31"/>
      <c r="SV317" s="31"/>
      <c r="SW317" s="31"/>
      <c r="SX317" s="31"/>
      <c r="SY317" s="31"/>
      <c r="SZ317" s="31"/>
      <c r="TA317" s="31"/>
      <c r="TB317" s="31"/>
      <c r="TC317" s="31"/>
      <c r="TD317" s="31"/>
      <c r="TE317" s="31"/>
    </row>
    <row r="318" spans="1:525" s="22" customFormat="1" ht="40.5" customHeight="1" x14ac:dyDescent="0.25">
      <c r="A318" s="89" t="s">
        <v>214</v>
      </c>
      <c r="B318" s="42" t="str">
        <f>'дод 5'!A218</f>
        <v>7610</v>
      </c>
      <c r="C318" s="42" t="str">
        <f>'дод 5'!B218</f>
        <v>0411</v>
      </c>
      <c r="D318" s="36" t="str">
        <f>'дод 5'!C218</f>
        <v>Сприяння розвитку малого та середнього підприємництва</v>
      </c>
      <c r="E318" s="141">
        <f t="shared" si="176"/>
        <v>1000000</v>
      </c>
      <c r="F318" s="141">
        <v>400000</v>
      </c>
      <c r="G318" s="141"/>
      <c r="H318" s="141"/>
      <c r="I318" s="141">
        <v>600000</v>
      </c>
      <c r="J318" s="141">
        <f t="shared" si="178"/>
        <v>0</v>
      </c>
      <c r="K318" s="141"/>
      <c r="L318" s="141"/>
      <c r="M318" s="141"/>
      <c r="N318" s="141"/>
      <c r="O318" s="141"/>
      <c r="P318" s="141">
        <f t="shared" si="177"/>
        <v>1000000</v>
      </c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  <c r="HQ318" s="23"/>
      <c r="HR318" s="23"/>
      <c r="HS318" s="23"/>
      <c r="HT318" s="23"/>
      <c r="HU318" s="23"/>
      <c r="HV318" s="23"/>
      <c r="HW318" s="23"/>
      <c r="HX318" s="23"/>
      <c r="HY318" s="23"/>
      <c r="HZ318" s="23"/>
      <c r="IA318" s="23"/>
      <c r="IB318" s="23"/>
      <c r="IC318" s="23"/>
      <c r="ID318" s="23"/>
      <c r="IE318" s="23"/>
      <c r="IF318" s="23"/>
      <c r="IG318" s="23"/>
      <c r="IH318" s="23"/>
      <c r="II318" s="23"/>
      <c r="IJ318" s="23"/>
      <c r="IK318" s="23"/>
      <c r="IL318" s="23"/>
      <c r="IM318" s="23"/>
      <c r="IN318" s="23"/>
      <c r="IO318" s="23"/>
      <c r="IP318" s="23"/>
      <c r="IQ318" s="23"/>
      <c r="IR318" s="23"/>
      <c r="IS318" s="23"/>
      <c r="IT318" s="23"/>
      <c r="IU318" s="23"/>
      <c r="IV318" s="23"/>
      <c r="IW318" s="23"/>
      <c r="IX318" s="23"/>
      <c r="IY318" s="23"/>
      <c r="IZ318" s="23"/>
      <c r="JA318" s="23"/>
      <c r="JB318" s="23"/>
      <c r="JC318" s="23"/>
      <c r="JD318" s="23"/>
      <c r="JE318" s="23"/>
      <c r="JF318" s="23"/>
      <c r="JG318" s="23"/>
      <c r="JH318" s="23"/>
      <c r="JI318" s="23"/>
      <c r="JJ318" s="23"/>
      <c r="JK318" s="23"/>
      <c r="JL318" s="23"/>
      <c r="JM318" s="23"/>
      <c r="JN318" s="23"/>
      <c r="JO318" s="23"/>
      <c r="JP318" s="23"/>
      <c r="JQ318" s="23"/>
      <c r="JR318" s="23"/>
      <c r="JS318" s="23"/>
      <c r="JT318" s="23"/>
      <c r="JU318" s="23"/>
      <c r="JV318" s="23"/>
      <c r="JW318" s="23"/>
      <c r="JX318" s="23"/>
      <c r="JY318" s="23"/>
      <c r="JZ318" s="23"/>
      <c r="KA318" s="23"/>
      <c r="KB318" s="23"/>
      <c r="KC318" s="23"/>
      <c r="KD318" s="23"/>
      <c r="KE318" s="23"/>
      <c r="KF318" s="23"/>
      <c r="KG318" s="23"/>
      <c r="KH318" s="23"/>
      <c r="KI318" s="23"/>
      <c r="KJ318" s="23"/>
      <c r="KK318" s="23"/>
      <c r="KL318" s="23"/>
      <c r="KM318" s="23"/>
      <c r="KN318" s="23"/>
      <c r="KO318" s="23"/>
      <c r="KP318" s="23"/>
      <c r="KQ318" s="23"/>
      <c r="KR318" s="23"/>
      <c r="KS318" s="23"/>
      <c r="KT318" s="23"/>
      <c r="KU318" s="23"/>
      <c r="KV318" s="23"/>
      <c r="KW318" s="23"/>
      <c r="KX318" s="23"/>
      <c r="KY318" s="23"/>
      <c r="KZ318" s="23"/>
      <c r="LA318" s="23"/>
      <c r="LB318" s="23"/>
      <c r="LC318" s="23"/>
      <c r="LD318" s="23"/>
      <c r="LE318" s="23"/>
      <c r="LF318" s="23"/>
      <c r="LG318" s="23"/>
      <c r="LH318" s="23"/>
      <c r="LI318" s="23"/>
      <c r="LJ318" s="23"/>
      <c r="LK318" s="23"/>
      <c r="LL318" s="23"/>
      <c r="LM318" s="23"/>
      <c r="LN318" s="23"/>
      <c r="LO318" s="23"/>
      <c r="LP318" s="23"/>
      <c r="LQ318" s="23"/>
      <c r="LR318" s="23"/>
      <c r="LS318" s="23"/>
      <c r="LT318" s="23"/>
      <c r="LU318" s="23"/>
      <c r="LV318" s="23"/>
      <c r="LW318" s="23"/>
      <c r="LX318" s="23"/>
      <c r="LY318" s="23"/>
      <c r="LZ318" s="23"/>
      <c r="MA318" s="23"/>
      <c r="MB318" s="23"/>
      <c r="MC318" s="23"/>
      <c r="MD318" s="23"/>
      <c r="ME318" s="23"/>
      <c r="MF318" s="23"/>
      <c r="MG318" s="23"/>
      <c r="MH318" s="23"/>
      <c r="MI318" s="23"/>
      <c r="MJ318" s="23"/>
      <c r="MK318" s="23"/>
      <c r="ML318" s="23"/>
      <c r="MM318" s="23"/>
      <c r="MN318" s="23"/>
      <c r="MO318" s="23"/>
      <c r="MP318" s="23"/>
      <c r="MQ318" s="23"/>
      <c r="MR318" s="23"/>
      <c r="MS318" s="23"/>
      <c r="MT318" s="23"/>
      <c r="MU318" s="23"/>
      <c r="MV318" s="23"/>
      <c r="MW318" s="23"/>
      <c r="MX318" s="23"/>
      <c r="MY318" s="23"/>
      <c r="MZ318" s="23"/>
      <c r="NA318" s="23"/>
      <c r="NB318" s="23"/>
      <c r="NC318" s="23"/>
      <c r="ND318" s="23"/>
      <c r="NE318" s="23"/>
      <c r="NF318" s="23"/>
      <c r="NG318" s="23"/>
      <c r="NH318" s="23"/>
      <c r="NI318" s="23"/>
      <c r="NJ318" s="23"/>
      <c r="NK318" s="23"/>
      <c r="NL318" s="23"/>
      <c r="NM318" s="23"/>
      <c r="NN318" s="23"/>
      <c r="NO318" s="23"/>
      <c r="NP318" s="23"/>
      <c r="NQ318" s="23"/>
      <c r="NR318" s="23"/>
      <c r="NS318" s="23"/>
      <c r="NT318" s="23"/>
      <c r="NU318" s="23"/>
      <c r="NV318" s="23"/>
      <c r="NW318" s="23"/>
      <c r="NX318" s="23"/>
      <c r="NY318" s="23"/>
      <c r="NZ318" s="23"/>
      <c r="OA318" s="23"/>
      <c r="OB318" s="23"/>
      <c r="OC318" s="23"/>
      <c r="OD318" s="23"/>
      <c r="OE318" s="23"/>
      <c r="OF318" s="23"/>
      <c r="OG318" s="23"/>
      <c r="OH318" s="23"/>
      <c r="OI318" s="23"/>
      <c r="OJ318" s="23"/>
      <c r="OK318" s="23"/>
      <c r="OL318" s="23"/>
      <c r="OM318" s="23"/>
      <c r="ON318" s="23"/>
      <c r="OO318" s="23"/>
      <c r="OP318" s="23"/>
      <c r="OQ318" s="23"/>
      <c r="OR318" s="23"/>
      <c r="OS318" s="23"/>
      <c r="OT318" s="23"/>
      <c r="OU318" s="23"/>
      <c r="OV318" s="23"/>
      <c r="OW318" s="23"/>
      <c r="OX318" s="23"/>
      <c r="OY318" s="23"/>
      <c r="OZ318" s="23"/>
      <c r="PA318" s="23"/>
      <c r="PB318" s="23"/>
      <c r="PC318" s="23"/>
      <c r="PD318" s="23"/>
      <c r="PE318" s="23"/>
      <c r="PF318" s="23"/>
      <c r="PG318" s="23"/>
      <c r="PH318" s="23"/>
      <c r="PI318" s="23"/>
      <c r="PJ318" s="23"/>
      <c r="PK318" s="23"/>
      <c r="PL318" s="23"/>
      <c r="PM318" s="23"/>
      <c r="PN318" s="23"/>
      <c r="PO318" s="23"/>
      <c r="PP318" s="23"/>
      <c r="PQ318" s="23"/>
      <c r="PR318" s="23"/>
      <c r="PS318" s="23"/>
      <c r="PT318" s="23"/>
      <c r="PU318" s="23"/>
      <c r="PV318" s="23"/>
      <c r="PW318" s="23"/>
      <c r="PX318" s="23"/>
      <c r="PY318" s="23"/>
      <c r="PZ318" s="23"/>
      <c r="QA318" s="23"/>
      <c r="QB318" s="23"/>
      <c r="QC318" s="23"/>
      <c r="QD318" s="23"/>
      <c r="QE318" s="23"/>
      <c r="QF318" s="23"/>
      <c r="QG318" s="23"/>
      <c r="QH318" s="23"/>
      <c r="QI318" s="23"/>
      <c r="QJ318" s="23"/>
      <c r="QK318" s="23"/>
      <c r="QL318" s="23"/>
      <c r="QM318" s="23"/>
      <c r="QN318" s="23"/>
      <c r="QO318" s="23"/>
      <c r="QP318" s="23"/>
      <c r="QQ318" s="23"/>
      <c r="QR318" s="23"/>
      <c r="QS318" s="23"/>
      <c r="QT318" s="23"/>
      <c r="QU318" s="23"/>
      <c r="QV318" s="23"/>
      <c r="QW318" s="23"/>
      <c r="QX318" s="23"/>
      <c r="QY318" s="23"/>
      <c r="QZ318" s="23"/>
      <c r="RA318" s="23"/>
      <c r="RB318" s="23"/>
      <c r="RC318" s="23"/>
      <c r="RD318" s="23"/>
      <c r="RE318" s="23"/>
      <c r="RF318" s="23"/>
      <c r="RG318" s="23"/>
      <c r="RH318" s="23"/>
      <c r="RI318" s="23"/>
      <c r="RJ318" s="23"/>
      <c r="RK318" s="23"/>
      <c r="RL318" s="23"/>
      <c r="RM318" s="23"/>
      <c r="RN318" s="23"/>
      <c r="RO318" s="23"/>
      <c r="RP318" s="23"/>
      <c r="RQ318" s="23"/>
      <c r="RR318" s="23"/>
      <c r="RS318" s="23"/>
      <c r="RT318" s="23"/>
      <c r="RU318" s="23"/>
      <c r="RV318" s="23"/>
      <c r="RW318" s="23"/>
      <c r="RX318" s="23"/>
      <c r="RY318" s="23"/>
      <c r="RZ318" s="23"/>
      <c r="SA318" s="23"/>
      <c r="SB318" s="23"/>
      <c r="SC318" s="23"/>
      <c r="SD318" s="23"/>
      <c r="SE318" s="23"/>
      <c r="SF318" s="23"/>
      <c r="SG318" s="23"/>
      <c r="SH318" s="23"/>
      <c r="SI318" s="23"/>
      <c r="SJ318" s="23"/>
      <c r="SK318" s="23"/>
      <c r="SL318" s="23"/>
      <c r="SM318" s="23"/>
      <c r="SN318" s="23"/>
      <c r="SO318" s="23"/>
      <c r="SP318" s="23"/>
      <c r="SQ318" s="23"/>
      <c r="SR318" s="23"/>
      <c r="SS318" s="23"/>
      <c r="ST318" s="23"/>
      <c r="SU318" s="23"/>
      <c r="SV318" s="23"/>
      <c r="SW318" s="23"/>
      <c r="SX318" s="23"/>
      <c r="SY318" s="23"/>
      <c r="SZ318" s="23"/>
      <c r="TA318" s="23"/>
      <c r="TB318" s="23"/>
      <c r="TC318" s="23"/>
      <c r="TD318" s="23"/>
      <c r="TE318" s="23"/>
    </row>
    <row r="319" spans="1:525" s="22" customFormat="1" ht="40.5" customHeight="1" x14ac:dyDescent="0.25">
      <c r="A319" s="89" t="s">
        <v>263</v>
      </c>
      <c r="B319" s="42" t="str">
        <f>'дод 5'!A221</f>
        <v>7650</v>
      </c>
      <c r="C319" s="42" t="str">
        <f>'дод 5'!B221</f>
        <v>0490</v>
      </c>
      <c r="D319" s="36" t="str">
        <f>'дод 5'!C221</f>
        <v>Проведення експертної грошової оцінки земельної ділянки чи права на неї</v>
      </c>
      <c r="E319" s="141">
        <f t="shared" si="176"/>
        <v>0</v>
      </c>
      <c r="F319" s="141"/>
      <c r="G319" s="141"/>
      <c r="H319" s="141"/>
      <c r="I319" s="141"/>
      <c r="J319" s="141">
        <f t="shared" si="178"/>
        <v>30000</v>
      </c>
      <c r="K319" s="141">
        <v>30000</v>
      </c>
      <c r="L319" s="141"/>
      <c r="M319" s="141"/>
      <c r="N319" s="141"/>
      <c r="O319" s="141">
        <v>30000</v>
      </c>
      <c r="P319" s="141">
        <f t="shared" si="177"/>
        <v>30000</v>
      </c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  <c r="HQ319" s="23"/>
      <c r="HR319" s="23"/>
      <c r="HS319" s="23"/>
      <c r="HT319" s="23"/>
      <c r="HU319" s="23"/>
      <c r="HV319" s="23"/>
      <c r="HW319" s="23"/>
      <c r="HX319" s="23"/>
      <c r="HY319" s="23"/>
      <c r="HZ319" s="23"/>
      <c r="IA319" s="23"/>
      <c r="IB319" s="23"/>
      <c r="IC319" s="23"/>
      <c r="ID319" s="23"/>
      <c r="IE319" s="23"/>
      <c r="IF319" s="23"/>
      <c r="IG319" s="23"/>
      <c r="IH319" s="23"/>
      <c r="II319" s="23"/>
      <c r="IJ319" s="23"/>
      <c r="IK319" s="23"/>
      <c r="IL319" s="23"/>
      <c r="IM319" s="23"/>
      <c r="IN319" s="23"/>
      <c r="IO319" s="23"/>
      <c r="IP319" s="23"/>
      <c r="IQ319" s="23"/>
      <c r="IR319" s="23"/>
      <c r="IS319" s="23"/>
      <c r="IT319" s="23"/>
      <c r="IU319" s="23"/>
      <c r="IV319" s="23"/>
      <c r="IW319" s="23"/>
      <c r="IX319" s="23"/>
      <c r="IY319" s="23"/>
      <c r="IZ319" s="23"/>
      <c r="JA319" s="23"/>
      <c r="JB319" s="23"/>
      <c r="JC319" s="23"/>
      <c r="JD319" s="23"/>
      <c r="JE319" s="23"/>
      <c r="JF319" s="23"/>
      <c r="JG319" s="23"/>
      <c r="JH319" s="23"/>
      <c r="JI319" s="23"/>
      <c r="JJ319" s="23"/>
      <c r="JK319" s="23"/>
      <c r="JL319" s="23"/>
      <c r="JM319" s="23"/>
      <c r="JN319" s="23"/>
      <c r="JO319" s="23"/>
      <c r="JP319" s="23"/>
      <c r="JQ319" s="23"/>
      <c r="JR319" s="23"/>
      <c r="JS319" s="23"/>
      <c r="JT319" s="23"/>
      <c r="JU319" s="23"/>
      <c r="JV319" s="23"/>
      <c r="JW319" s="23"/>
      <c r="JX319" s="23"/>
      <c r="JY319" s="23"/>
      <c r="JZ319" s="23"/>
      <c r="KA319" s="23"/>
      <c r="KB319" s="23"/>
      <c r="KC319" s="23"/>
      <c r="KD319" s="23"/>
      <c r="KE319" s="23"/>
      <c r="KF319" s="23"/>
      <c r="KG319" s="23"/>
      <c r="KH319" s="23"/>
      <c r="KI319" s="23"/>
      <c r="KJ319" s="23"/>
      <c r="KK319" s="23"/>
      <c r="KL319" s="23"/>
      <c r="KM319" s="23"/>
      <c r="KN319" s="23"/>
      <c r="KO319" s="23"/>
      <c r="KP319" s="23"/>
      <c r="KQ319" s="23"/>
      <c r="KR319" s="23"/>
      <c r="KS319" s="23"/>
      <c r="KT319" s="23"/>
      <c r="KU319" s="23"/>
      <c r="KV319" s="23"/>
      <c r="KW319" s="23"/>
      <c r="KX319" s="23"/>
      <c r="KY319" s="23"/>
      <c r="KZ319" s="23"/>
      <c r="LA319" s="23"/>
      <c r="LB319" s="23"/>
      <c r="LC319" s="23"/>
      <c r="LD319" s="23"/>
      <c r="LE319" s="23"/>
      <c r="LF319" s="23"/>
      <c r="LG319" s="23"/>
      <c r="LH319" s="23"/>
      <c r="LI319" s="23"/>
      <c r="LJ319" s="23"/>
      <c r="LK319" s="23"/>
      <c r="LL319" s="23"/>
      <c r="LM319" s="23"/>
      <c r="LN319" s="23"/>
      <c r="LO319" s="23"/>
      <c r="LP319" s="23"/>
      <c r="LQ319" s="23"/>
      <c r="LR319" s="23"/>
      <c r="LS319" s="23"/>
      <c r="LT319" s="23"/>
      <c r="LU319" s="23"/>
      <c r="LV319" s="23"/>
      <c r="LW319" s="23"/>
      <c r="LX319" s="23"/>
      <c r="LY319" s="23"/>
      <c r="LZ319" s="23"/>
      <c r="MA319" s="23"/>
      <c r="MB319" s="23"/>
      <c r="MC319" s="23"/>
      <c r="MD319" s="23"/>
      <c r="ME319" s="23"/>
      <c r="MF319" s="23"/>
      <c r="MG319" s="23"/>
      <c r="MH319" s="23"/>
      <c r="MI319" s="23"/>
      <c r="MJ319" s="23"/>
      <c r="MK319" s="23"/>
      <c r="ML319" s="23"/>
      <c r="MM319" s="23"/>
      <c r="MN319" s="23"/>
      <c r="MO319" s="23"/>
      <c r="MP319" s="23"/>
      <c r="MQ319" s="23"/>
      <c r="MR319" s="23"/>
      <c r="MS319" s="23"/>
      <c r="MT319" s="23"/>
      <c r="MU319" s="23"/>
      <c r="MV319" s="23"/>
      <c r="MW319" s="23"/>
      <c r="MX319" s="23"/>
      <c r="MY319" s="23"/>
      <c r="MZ319" s="23"/>
      <c r="NA319" s="23"/>
      <c r="NB319" s="23"/>
      <c r="NC319" s="23"/>
      <c r="ND319" s="23"/>
      <c r="NE319" s="23"/>
      <c r="NF319" s="23"/>
      <c r="NG319" s="23"/>
      <c r="NH319" s="23"/>
      <c r="NI319" s="23"/>
      <c r="NJ319" s="23"/>
      <c r="NK319" s="23"/>
      <c r="NL319" s="23"/>
      <c r="NM319" s="23"/>
      <c r="NN319" s="23"/>
      <c r="NO319" s="23"/>
      <c r="NP319" s="23"/>
      <c r="NQ319" s="23"/>
      <c r="NR319" s="23"/>
      <c r="NS319" s="23"/>
      <c r="NT319" s="23"/>
      <c r="NU319" s="23"/>
      <c r="NV319" s="23"/>
      <c r="NW319" s="23"/>
      <c r="NX319" s="23"/>
      <c r="NY319" s="23"/>
      <c r="NZ319" s="23"/>
      <c r="OA319" s="23"/>
      <c r="OB319" s="23"/>
      <c r="OC319" s="23"/>
      <c r="OD319" s="23"/>
      <c r="OE319" s="23"/>
      <c r="OF319" s="23"/>
      <c r="OG319" s="23"/>
      <c r="OH319" s="23"/>
      <c r="OI319" s="23"/>
      <c r="OJ319" s="23"/>
      <c r="OK319" s="23"/>
      <c r="OL319" s="23"/>
      <c r="OM319" s="23"/>
      <c r="ON319" s="23"/>
      <c r="OO319" s="23"/>
      <c r="OP319" s="23"/>
      <c r="OQ319" s="23"/>
      <c r="OR319" s="23"/>
      <c r="OS319" s="23"/>
      <c r="OT319" s="23"/>
      <c r="OU319" s="23"/>
      <c r="OV319" s="23"/>
      <c r="OW319" s="23"/>
      <c r="OX319" s="23"/>
      <c r="OY319" s="23"/>
      <c r="OZ319" s="23"/>
      <c r="PA319" s="23"/>
      <c r="PB319" s="23"/>
      <c r="PC319" s="23"/>
      <c r="PD319" s="23"/>
      <c r="PE319" s="23"/>
      <c r="PF319" s="23"/>
      <c r="PG319" s="23"/>
      <c r="PH319" s="23"/>
      <c r="PI319" s="23"/>
      <c r="PJ319" s="23"/>
      <c r="PK319" s="23"/>
      <c r="PL319" s="23"/>
      <c r="PM319" s="23"/>
      <c r="PN319" s="23"/>
      <c r="PO319" s="23"/>
      <c r="PP319" s="23"/>
      <c r="PQ319" s="23"/>
      <c r="PR319" s="23"/>
      <c r="PS319" s="23"/>
      <c r="PT319" s="23"/>
      <c r="PU319" s="23"/>
      <c r="PV319" s="23"/>
      <c r="PW319" s="23"/>
      <c r="PX319" s="23"/>
      <c r="PY319" s="23"/>
      <c r="PZ319" s="23"/>
      <c r="QA319" s="23"/>
      <c r="QB319" s="23"/>
      <c r="QC319" s="23"/>
      <c r="QD319" s="23"/>
      <c r="QE319" s="23"/>
      <c r="QF319" s="23"/>
      <c r="QG319" s="23"/>
      <c r="QH319" s="23"/>
      <c r="QI319" s="23"/>
      <c r="QJ319" s="23"/>
      <c r="QK319" s="23"/>
      <c r="QL319" s="23"/>
      <c r="QM319" s="23"/>
      <c r="QN319" s="23"/>
      <c r="QO319" s="23"/>
      <c r="QP319" s="23"/>
      <c r="QQ319" s="23"/>
      <c r="QR319" s="23"/>
      <c r="QS319" s="23"/>
      <c r="QT319" s="23"/>
      <c r="QU319" s="23"/>
      <c r="QV319" s="23"/>
      <c r="QW319" s="23"/>
      <c r="QX319" s="23"/>
      <c r="QY319" s="23"/>
      <c r="QZ319" s="23"/>
      <c r="RA319" s="23"/>
      <c r="RB319" s="23"/>
      <c r="RC319" s="23"/>
      <c r="RD319" s="23"/>
      <c r="RE319" s="23"/>
      <c r="RF319" s="23"/>
      <c r="RG319" s="23"/>
      <c r="RH319" s="23"/>
      <c r="RI319" s="23"/>
      <c r="RJ319" s="23"/>
      <c r="RK319" s="23"/>
      <c r="RL319" s="23"/>
      <c r="RM319" s="23"/>
      <c r="RN319" s="23"/>
      <c r="RO319" s="23"/>
      <c r="RP319" s="23"/>
      <c r="RQ319" s="23"/>
      <c r="RR319" s="23"/>
      <c r="RS319" s="23"/>
      <c r="RT319" s="23"/>
      <c r="RU319" s="23"/>
      <c r="RV319" s="23"/>
      <c r="RW319" s="23"/>
      <c r="RX319" s="23"/>
      <c r="RY319" s="23"/>
      <c r="RZ319" s="23"/>
      <c r="SA319" s="23"/>
      <c r="SB319" s="23"/>
      <c r="SC319" s="23"/>
      <c r="SD319" s="23"/>
      <c r="SE319" s="23"/>
      <c r="SF319" s="23"/>
      <c r="SG319" s="23"/>
      <c r="SH319" s="23"/>
      <c r="SI319" s="23"/>
      <c r="SJ319" s="23"/>
      <c r="SK319" s="23"/>
      <c r="SL319" s="23"/>
      <c r="SM319" s="23"/>
      <c r="SN319" s="23"/>
      <c r="SO319" s="23"/>
      <c r="SP319" s="23"/>
      <c r="SQ319" s="23"/>
      <c r="SR319" s="23"/>
      <c r="SS319" s="23"/>
      <c r="ST319" s="23"/>
      <c r="SU319" s="23"/>
      <c r="SV319" s="23"/>
      <c r="SW319" s="23"/>
      <c r="SX319" s="23"/>
      <c r="SY319" s="23"/>
      <c r="SZ319" s="23"/>
      <c r="TA319" s="23"/>
      <c r="TB319" s="23"/>
      <c r="TC319" s="23"/>
      <c r="TD319" s="23"/>
      <c r="TE319" s="23"/>
    </row>
    <row r="320" spans="1:525" s="22" customFormat="1" ht="63" x14ac:dyDescent="0.25">
      <c r="A320" s="89" t="s">
        <v>265</v>
      </c>
      <c r="B320" s="42" t="str">
        <f>'дод 5'!A222</f>
        <v>7660</v>
      </c>
      <c r="C320" s="42" t="str">
        <f>'дод 5'!B222</f>
        <v>0490</v>
      </c>
      <c r="D320" s="36" t="str">
        <f>'дод 5'!C222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0" s="141">
        <f t="shared" si="176"/>
        <v>0</v>
      </c>
      <c r="F320" s="141"/>
      <c r="G320" s="141"/>
      <c r="H320" s="141"/>
      <c r="I320" s="141"/>
      <c r="J320" s="141">
        <f t="shared" si="178"/>
        <v>145000</v>
      </c>
      <c r="K320" s="141">
        <v>145000</v>
      </c>
      <c r="L320" s="141"/>
      <c r="M320" s="141"/>
      <c r="N320" s="141"/>
      <c r="O320" s="141">
        <v>145000</v>
      </c>
      <c r="P320" s="141">
        <f t="shared" si="177"/>
        <v>145000</v>
      </c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  <c r="MJ320" s="23"/>
      <c r="MK320" s="23"/>
      <c r="ML320" s="23"/>
      <c r="MM320" s="23"/>
      <c r="MN320" s="23"/>
      <c r="MO320" s="23"/>
      <c r="MP320" s="23"/>
      <c r="MQ320" s="23"/>
      <c r="MR320" s="23"/>
      <c r="MS320" s="23"/>
      <c r="MT320" s="23"/>
      <c r="MU320" s="23"/>
      <c r="MV320" s="23"/>
      <c r="MW320" s="23"/>
      <c r="MX320" s="23"/>
      <c r="MY320" s="23"/>
      <c r="MZ320" s="23"/>
      <c r="NA320" s="23"/>
      <c r="NB320" s="23"/>
      <c r="NC320" s="23"/>
      <c r="ND320" s="23"/>
      <c r="NE320" s="23"/>
      <c r="NF320" s="23"/>
      <c r="NG320" s="23"/>
      <c r="NH320" s="23"/>
      <c r="NI320" s="23"/>
      <c r="NJ320" s="23"/>
      <c r="NK320" s="23"/>
      <c r="NL320" s="23"/>
      <c r="NM320" s="23"/>
      <c r="NN320" s="23"/>
      <c r="NO320" s="23"/>
      <c r="NP320" s="23"/>
      <c r="NQ320" s="23"/>
      <c r="NR320" s="23"/>
      <c r="NS320" s="23"/>
      <c r="NT320" s="23"/>
      <c r="NU320" s="23"/>
      <c r="NV320" s="23"/>
      <c r="NW320" s="23"/>
      <c r="NX320" s="23"/>
      <c r="NY320" s="23"/>
      <c r="NZ320" s="23"/>
      <c r="OA320" s="23"/>
      <c r="OB320" s="23"/>
      <c r="OC320" s="23"/>
      <c r="OD320" s="23"/>
      <c r="OE320" s="23"/>
      <c r="OF320" s="23"/>
      <c r="OG320" s="23"/>
      <c r="OH320" s="23"/>
      <c r="OI320" s="23"/>
      <c r="OJ320" s="23"/>
      <c r="OK320" s="23"/>
      <c r="OL320" s="23"/>
      <c r="OM320" s="23"/>
      <c r="ON320" s="23"/>
      <c r="OO320" s="23"/>
      <c r="OP320" s="23"/>
      <c r="OQ320" s="23"/>
      <c r="OR320" s="23"/>
      <c r="OS320" s="23"/>
      <c r="OT320" s="23"/>
      <c r="OU320" s="23"/>
      <c r="OV320" s="23"/>
      <c r="OW320" s="23"/>
      <c r="OX320" s="23"/>
      <c r="OY320" s="23"/>
      <c r="OZ320" s="23"/>
      <c r="PA320" s="23"/>
      <c r="PB320" s="23"/>
      <c r="PC320" s="23"/>
      <c r="PD320" s="23"/>
      <c r="PE320" s="23"/>
      <c r="PF320" s="23"/>
      <c r="PG320" s="23"/>
      <c r="PH320" s="23"/>
      <c r="PI320" s="23"/>
      <c r="PJ320" s="23"/>
      <c r="PK320" s="23"/>
      <c r="PL320" s="23"/>
      <c r="PM320" s="23"/>
      <c r="PN320" s="23"/>
      <c r="PO320" s="23"/>
      <c r="PP320" s="23"/>
      <c r="PQ320" s="23"/>
      <c r="PR320" s="23"/>
      <c r="PS320" s="23"/>
      <c r="PT320" s="23"/>
      <c r="PU320" s="23"/>
      <c r="PV320" s="23"/>
      <c r="PW320" s="23"/>
      <c r="PX320" s="23"/>
      <c r="PY320" s="23"/>
      <c r="PZ320" s="23"/>
      <c r="QA320" s="23"/>
      <c r="QB320" s="23"/>
      <c r="QC320" s="23"/>
      <c r="QD320" s="23"/>
      <c r="QE320" s="23"/>
      <c r="QF320" s="23"/>
      <c r="QG320" s="23"/>
      <c r="QH320" s="23"/>
      <c r="QI320" s="23"/>
      <c r="QJ320" s="23"/>
      <c r="QK320" s="23"/>
      <c r="QL320" s="23"/>
      <c r="QM320" s="23"/>
      <c r="QN320" s="23"/>
      <c r="QO320" s="23"/>
      <c r="QP320" s="23"/>
      <c r="QQ320" s="23"/>
      <c r="QR320" s="23"/>
      <c r="QS320" s="23"/>
      <c r="QT320" s="23"/>
      <c r="QU320" s="23"/>
      <c r="QV320" s="23"/>
      <c r="QW320" s="23"/>
      <c r="QX320" s="23"/>
      <c r="QY320" s="23"/>
      <c r="QZ320" s="23"/>
      <c r="RA320" s="23"/>
      <c r="RB320" s="23"/>
      <c r="RC320" s="23"/>
      <c r="RD320" s="23"/>
      <c r="RE320" s="23"/>
      <c r="RF320" s="23"/>
      <c r="RG320" s="23"/>
      <c r="RH320" s="23"/>
      <c r="RI320" s="23"/>
      <c r="RJ320" s="23"/>
      <c r="RK320" s="23"/>
      <c r="RL320" s="23"/>
      <c r="RM320" s="23"/>
      <c r="RN320" s="23"/>
      <c r="RO320" s="23"/>
      <c r="RP320" s="23"/>
      <c r="RQ320" s="23"/>
      <c r="RR320" s="23"/>
      <c r="RS320" s="23"/>
      <c r="RT320" s="23"/>
      <c r="RU320" s="23"/>
      <c r="RV320" s="23"/>
      <c r="RW320" s="23"/>
      <c r="RX320" s="23"/>
      <c r="RY320" s="23"/>
      <c r="RZ320" s="23"/>
      <c r="SA320" s="23"/>
      <c r="SB320" s="23"/>
      <c r="SC320" s="23"/>
      <c r="SD320" s="23"/>
      <c r="SE320" s="23"/>
      <c r="SF320" s="23"/>
      <c r="SG320" s="23"/>
      <c r="SH320" s="23"/>
      <c r="SI320" s="23"/>
      <c r="SJ320" s="23"/>
      <c r="SK320" s="23"/>
      <c r="SL320" s="23"/>
      <c r="SM320" s="23"/>
      <c r="SN320" s="23"/>
      <c r="SO320" s="23"/>
      <c r="SP320" s="23"/>
      <c r="SQ320" s="23"/>
      <c r="SR320" s="23"/>
      <c r="SS320" s="23"/>
      <c r="ST320" s="23"/>
      <c r="SU320" s="23"/>
      <c r="SV320" s="23"/>
      <c r="SW320" s="23"/>
      <c r="SX320" s="23"/>
      <c r="SY320" s="23"/>
      <c r="SZ320" s="23"/>
      <c r="TA320" s="23"/>
      <c r="TB320" s="23"/>
      <c r="TC320" s="23"/>
      <c r="TD320" s="23"/>
      <c r="TE320" s="23"/>
    </row>
    <row r="321" spans="1:525" s="22" customFormat="1" ht="27.75" customHeight="1" x14ac:dyDescent="0.25">
      <c r="A321" s="89" t="s">
        <v>261</v>
      </c>
      <c r="B321" s="42" t="str">
        <f>'дод 5'!A227</f>
        <v>7693</v>
      </c>
      <c r="C321" s="42" t="str">
        <f>'дод 5'!B227</f>
        <v>0490</v>
      </c>
      <c r="D321" s="36" t="str">
        <f>'дод 5'!C227</f>
        <v>Інші заходи, пов'язані з економічною діяльністю</v>
      </c>
      <c r="E321" s="141">
        <f t="shared" si="176"/>
        <v>860000</v>
      </c>
      <c r="F321" s="141">
        <v>860000</v>
      </c>
      <c r="G321" s="141"/>
      <c r="H321" s="141"/>
      <c r="I321" s="141"/>
      <c r="J321" s="141">
        <f t="shared" si="178"/>
        <v>0</v>
      </c>
      <c r="K321" s="141"/>
      <c r="L321" s="141"/>
      <c r="M321" s="141"/>
      <c r="N321" s="141"/>
      <c r="O321" s="141"/>
      <c r="P321" s="141">
        <f t="shared" si="177"/>
        <v>860000</v>
      </c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  <c r="SQ321" s="23"/>
      <c r="SR321" s="23"/>
      <c r="SS321" s="23"/>
      <c r="ST321" s="23"/>
      <c r="SU321" s="23"/>
      <c r="SV321" s="23"/>
      <c r="SW321" s="23"/>
      <c r="SX321" s="23"/>
      <c r="SY321" s="23"/>
      <c r="SZ321" s="23"/>
      <c r="TA321" s="23"/>
      <c r="TB321" s="23"/>
      <c r="TC321" s="23"/>
      <c r="TD321" s="23"/>
      <c r="TE321" s="23"/>
    </row>
    <row r="322" spans="1:525" s="27" customFormat="1" ht="38.25" customHeight="1" x14ac:dyDescent="0.25">
      <c r="A322" s="96" t="s">
        <v>215</v>
      </c>
      <c r="B322" s="98"/>
      <c r="C322" s="98"/>
      <c r="D322" s="93" t="s">
        <v>40</v>
      </c>
      <c r="E322" s="139">
        <f>E323</f>
        <v>210472292</v>
      </c>
      <c r="F322" s="139">
        <f t="shared" ref="F322:J322" si="179">F323</f>
        <v>195532600</v>
      </c>
      <c r="G322" s="139">
        <f t="shared" si="179"/>
        <v>15186600</v>
      </c>
      <c r="H322" s="139">
        <f t="shared" si="179"/>
        <v>542000</v>
      </c>
      <c r="I322" s="139">
        <f t="shared" si="179"/>
        <v>0</v>
      </c>
      <c r="J322" s="139">
        <f t="shared" si="179"/>
        <v>104000</v>
      </c>
      <c r="K322" s="139">
        <f t="shared" ref="K322" si="180">K323</f>
        <v>0</v>
      </c>
      <c r="L322" s="139">
        <f t="shared" ref="L322" si="181">L323</f>
        <v>104000</v>
      </c>
      <c r="M322" s="139">
        <f t="shared" ref="M322" si="182">M323</f>
        <v>0</v>
      </c>
      <c r="N322" s="139">
        <f t="shared" ref="N322" si="183">N323</f>
        <v>0</v>
      </c>
      <c r="O322" s="139">
        <f t="shared" ref="O322:P322" si="184">O323</f>
        <v>0</v>
      </c>
      <c r="P322" s="139">
        <f t="shared" si="184"/>
        <v>210576292</v>
      </c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  <c r="EH322" s="32"/>
      <c r="EI322" s="32"/>
      <c r="EJ322" s="32"/>
      <c r="EK322" s="32"/>
      <c r="EL322" s="32"/>
      <c r="EM322" s="32"/>
      <c r="EN322" s="32"/>
      <c r="EO322" s="32"/>
      <c r="EP322" s="32"/>
      <c r="EQ322" s="32"/>
      <c r="ER322" s="32"/>
      <c r="ES322" s="32"/>
      <c r="ET322" s="32"/>
      <c r="EU322" s="32"/>
      <c r="EV322" s="32"/>
      <c r="EW322" s="32"/>
      <c r="EX322" s="32"/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2"/>
      <c r="FK322" s="32"/>
      <c r="FL322" s="32"/>
      <c r="FM322" s="32"/>
      <c r="FN322" s="32"/>
      <c r="FO322" s="32"/>
      <c r="FP322" s="32"/>
      <c r="FQ322" s="32"/>
      <c r="FR322" s="32"/>
      <c r="FS322" s="32"/>
      <c r="FT322" s="32"/>
      <c r="FU322" s="32"/>
      <c r="FV322" s="32"/>
      <c r="FW322" s="32"/>
      <c r="FX322" s="32"/>
      <c r="FY322" s="32"/>
      <c r="FZ322" s="32"/>
      <c r="GA322" s="32"/>
      <c r="GB322" s="32"/>
      <c r="GC322" s="32"/>
      <c r="GD322" s="32"/>
      <c r="GE322" s="32"/>
      <c r="GF322" s="32"/>
      <c r="GG322" s="32"/>
      <c r="GH322" s="32"/>
      <c r="GI322" s="32"/>
      <c r="GJ322" s="32"/>
      <c r="GK322" s="32"/>
      <c r="GL322" s="32"/>
      <c r="GM322" s="32"/>
      <c r="GN322" s="32"/>
      <c r="GO322" s="32"/>
      <c r="GP322" s="32"/>
      <c r="GQ322" s="32"/>
      <c r="GR322" s="32"/>
      <c r="GS322" s="32"/>
      <c r="GT322" s="32"/>
      <c r="GU322" s="32"/>
      <c r="GV322" s="32"/>
      <c r="GW322" s="32"/>
      <c r="GX322" s="32"/>
      <c r="GY322" s="32"/>
      <c r="GZ322" s="32"/>
      <c r="HA322" s="32"/>
      <c r="HB322" s="32"/>
      <c r="HC322" s="32"/>
      <c r="HD322" s="32"/>
      <c r="HE322" s="32"/>
      <c r="HF322" s="32"/>
      <c r="HG322" s="32"/>
      <c r="HH322" s="32"/>
      <c r="HI322" s="32"/>
      <c r="HJ322" s="32"/>
      <c r="HK322" s="32"/>
      <c r="HL322" s="32"/>
      <c r="HM322" s="32"/>
      <c r="HN322" s="32"/>
      <c r="HO322" s="32"/>
      <c r="HP322" s="32"/>
      <c r="HQ322" s="32"/>
      <c r="HR322" s="32"/>
      <c r="HS322" s="32"/>
      <c r="HT322" s="32"/>
      <c r="HU322" s="32"/>
      <c r="HV322" s="32"/>
      <c r="HW322" s="32"/>
      <c r="HX322" s="32"/>
      <c r="HY322" s="32"/>
      <c r="HZ322" s="32"/>
      <c r="IA322" s="32"/>
      <c r="IB322" s="32"/>
      <c r="IC322" s="32"/>
      <c r="ID322" s="32"/>
      <c r="IE322" s="32"/>
      <c r="IF322" s="32"/>
      <c r="IG322" s="32"/>
      <c r="IH322" s="32"/>
      <c r="II322" s="32"/>
      <c r="IJ322" s="32"/>
      <c r="IK322" s="32"/>
      <c r="IL322" s="32"/>
      <c r="IM322" s="32"/>
      <c r="IN322" s="32"/>
      <c r="IO322" s="32"/>
      <c r="IP322" s="32"/>
      <c r="IQ322" s="32"/>
      <c r="IR322" s="32"/>
      <c r="IS322" s="32"/>
      <c r="IT322" s="32"/>
      <c r="IU322" s="32"/>
      <c r="IV322" s="32"/>
      <c r="IW322" s="32"/>
      <c r="IX322" s="32"/>
      <c r="IY322" s="32"/>
      <c r="IZ322" s="32"/>
      <c r="JA322" s="32"/>
      <c r="JB322" s="32"/>
      <c r="JC322" s="32"/>
      <c r="JD322" s="32"/>
      <c r="JE322" s="32"/>
      <c r="JF322" s="32"/>
      <c r="JG322" s="32"/>
      <c r="JH322" s="32"/>
      <c r="JI322" s="32"/>
      <c r="JJ322" s="32"/>
      <c r="JK322" s="32"/>
      <c r="JL322" s="32"/>
      <c r="JM322" s="32"/>
      <c r="JN322" s="32"/>
      <c r="JO322" s="32"/>
      <c r="JP322" s="32"/>
      <c r="JQ322" s="32"/>
      <c r="JR322" s="32"/>
      <c r="JS322" s="32"/>
      <c r="JT322" s="32"/>
      <c r="JU322" s="32"/>
      <c r="JV322" s="32"/>
      <c r="JW322" s="32"/>
      <c r="JX322" s="32"/>
      <c r="JY322" s="32"/>
      <c r="JZ322" s="32"/>
      <c r="KA322" s="32"/>
      <c r="KB322" s="32"/>
      <c r="KC322" s="32"/>
      <c r="KD322" s="32"/>
      <c r="KE322" s="32"/>
      <c r="KF322" s="32"/>
      <c r="KG322" s="32"/>
      <c r="KH322" s="32"/>
      <c r="KI322" s="32"/>
      <c r="KJ322" s="32"/>
      <c r="KK322" s="32"/>
      <c r="KL322" s="32"/>
      <c r="KM322" s="32"/>
      <c r="KN322" s="32"/>
      <c r="KO322" s="32"/>
      <c r="KP322" s="32"/>
      <c r="KQ322" s="32"/>
      <c r="KR322" s="32"/>
      <c r="KS322" s="32"/>
      <c r="KT322" s="32"/>
      <c r="KU322" s="32"/>
      <c r="KV322" s="32"/>
      <c r="KW322" s="32"/>
      <c r="KX322" s="32"/>
      <c r="KY322" s="32"/>
      <c r="KZ322" s="32"/>
      <c r="LA322" s="32"/>
      <c r="LB322" s="32"/>
      <c r="LC322" s="32"/>
      <c r="LD322" s="32"/>
      <c r="LE322" s="32"/>
      <c r="LF322" s="32"/>
      <c r="LG322" s="32"/>
      <c r="LH322" s="32"/>
      <c r="LI322" s="32"/>
      <c r="LJ322" s="32"/>
      <c r="LK322" s="32"/>
      <c r="LL322" s="32"/>
      <c r="LM322" s="32"/>
      <c r="LN322" s="32"/>
      <c r="LO322" s="32"/>
      <c r="LP322" s="32"/>
      <c r="LQ322" s="32"/>
      <c r="LR322" s="32"/>
      <c r="LS322" s="32"/>
      <c r="LT322" s="32"/>
      <c r="LU322" s="32"/>
      <c r="LV322" s="32"/>
      <c r="LW322" s="32"/>
      <c r="LX322" s="32"/>
      <c r="LY322" s="32"/>
      <c r="LZ322" s="32"/>
      <c r="MA322" s="32"/>
      <c r="MB322" s="32"/>
      <c r="MC322" s="32"/>
      <c r="MD322" s="32"/>
      <c r="ME322" s="32"/>
      <c r="MF322" s="32"/>
      <c r="MG322" s="32"/>
      <c r="MH322" s="32"/>
      <c r="MI322" s="32"/>
      <c r="MJ322" s="32"/>
      <c r="MK322" s="32"/>
      <c r="ML322" s="32"/>
      <c r="MM322" s="32"/>
      <c r="MN322" s="32"/>
      <c r="MO322" s="32"/>
      <c r="MP322" s="32"/>
      <c r="MQ322" s="32"/>
      <c r="MR322" s="32"/>
      <c r="MS322" s="32"/>
      <c r="MT322" s="32"/>
      <c r="MU322" s="32"/>
      <c r="MV322" s="32"/>
      <c r="MW322" s="32"/>
      <c r="MX322" s="32"/>
      <c r="MY322" s="32"/>
      <c r="MZ322" s="32"/>
      <c r="NA322" s="32"/>
      <c r="NB322" s="32"/>
      <c r="NC322" s="32"/>
      <c r="ND322" s="32"/>
      <c r="NE322" s="32"/>
      <c r="NF322" s="32"/>
      <c r="NG322" s="32"/>
      <c r="NH322" s="32"/>
      <c r="NI322" s="32"/>
      <c r="NJ322" s="32"/>
      <c r="NK322" s="32"/>
      <c r="NL322" s="32"/>
      <c r="NM322" s="32"/>
      <c r="NN322" s="32"/>
      <c r="NO322" s="32"/>
      <c r="NP322" s="32"/>
      <c r="NQ322" s="32"/>
      <c r="NR322" s="32"/>
      <c r="NS322" s="32"/>
      <c r="NT322" s="32"/>
      <c r="NU322" s="32"/>
      <c r="NV322" s="32"/>
      <c r="NW322" s="32"/>
      <c r="NX322" s="32"/>
      <c r="NY322" s="32"/>
      <c r="NZ322" s="32"/>
      <c r="OA322" s="32"/>
      <c r="OB322" s="32"/>
      <c r="OC322" s="32"/>
      <c r="OD322" s="32"/>
      <c r="OE322" s="32"/>
      <c r="OF322" s="32"/>
      <c r="OG322" s="32"/>
      <c r="OH322" s="32"/>
      <c r="OI322" s="32"/>
      <c r="OJ322" s="32"/>
      <c r="OK322" s="32"/>
      <c r="OL322" s="32"/>
      <c r="OM322" s="32"/>
      <c r="ON322" s="32"/>
      <c r="OO322" s="32"/>
      <c r="OP322" s="32"/>
      <c r="OQ322" s="32"/>
      <c r="OR322" s="32"/>
      <c r="OS322" s="32"/>
      <c r="OT322" s="32"/>
      <c r="OU322" s="32"/>
      <c r="OV322" s="32"/>
      <c r="OW322" s="32"/>
      <c r="OX322" s="32"/>
      <c r="OY322" s="32"/>
      <c r="OZ322" s="32"/>
      <c r="PA322" s="32"/>
      <c r="PB322" s="32"/>
      <c r="PC322" s="32"/>
      <c r="PD322" s="32"/>
      <c r="PE322" s="32"/>
      <c r="PF322" s="32"/>
      <c r="PG322" s="32"/>
      <c r="PH322" s="32"/>
      <c r="PI322" s="32"/>
      <c r="PJ322" s="32"/>
      <c r="PK322" s="32"/>
      <c r="PL322" s="32"/>
      <c r="PM322" s="32"/>
      <c r="PN322" s="32"/>
      <c r="PO322" s="32"/>
      <c r="PP322" s="32"/>
      <c r="PQ322" s="32"/>
      <c r="PR322" s="32"/>
      <c r="PS322" s="32"/>
      <c r="PT322" s="32"/>
      <c r="PU322" s="32"/>
      <c r="PV322" s="32"/>
      <c r="PW322" s="32"/>
      <c r="PX322" s="32"/>
      <c r="PY322" s="32"/>
      <c r="PZ322" s="32"/>
      <c r="QA322" s="32"/>
      <c r="QB322" s="32"/>
      <c r="QC322" s="32"/>
      <c r="QD322" s="32"/>
      <c r="QE322" s="32"/>
      <c r="QF322" s="32"/>
      <c r="QG322" s="32"/>
      <c r="QH322" s="32"/>
      <c r="QI322" s="32"/>
      <c r="QJ322" s="32"/>
      <c r="QK322" s="32"/>
      <c r="QL322" s="32"/>
      <c r="QM322" s="32"/>
      <c r="QN322" s="32"/>
      <c r="QO322" s="32"/>
      <c r="QP322" s="32"/>
      <c r="QQ322" s="32"/>
      <c r="QR322" s="32"/>
      <c r="QS322" s="32"/>
      <c r="QT322" s="32"/>
      <c r="QU322" s="32"/>
      <c r="QV322" s="32"/>
      <c r="QW322" s="32"/>
      <c r="QX322" s="32"/>
      <c r="QY322" s="32"/>
      <c r="QZ322" s="32"/>
      <c r="RA322" s="32"/>
      <c r="RB322" s="32"/>
      <c r="RC322" s="32"/>
      <c r="RD322" s="32"/>
      <c r="RE322" s="32"/>
      <c r="RF322" s="32"/>
      <c r="RG322" s="32"/>
      <c r="RH322" s="32"/>
      <c r="RI322" s="32"/>
      <c r="RJ322" s="32"/>
      <c r="RK322" s="32"/>
      <c r="RL322" s="32"/>
      <c r="RM322" s="32"/>
      <c r="RN322" s="32"/>
      <c r="RO322" s="32"/>
      <c r="RP322" s="32"/>
      <c r="RQ322" s="32"/>
      <c r="RR322" s="32"/>
      <c r="RS322" s="32"/>
      <c r="RT322" s="32"/>
      <c r="RU322" s="32"/>
      <c r="RV322" s="32"/>
      <c r="RW322" s="32"/>
      <c r="RX322" s="32"/>
      <c r="RY322" s="32"/>
      <c r="RZ322" s="32"/>
      <c r="SA322" s="32"/>
      <c r="SB322" s="32"/>
      <c r="SC322" s="32"/>
      <c r="SD322" s="32"/>
      <c r="SE322" s="32"/>
      <c r="SF322" s="32"/>
      <c r="SG322" s="32"/>
      <c r="SH322" s="32"/>
      <c r="SI322" s="32"/>
      <c r="SJ322" s="32"/>
      <c r="SK322" s="32"/>
      <c r="SL322" s="32"/>
      <c r="SM322" s="32"/>
      <c r="SN322" s="32"/>
      <c r="SO322" s="32"/>
      <c r="SP322" s="32"/>
      <c r="SQ322" s="32"/>
      <c r="SR322" s="32"/>
      <c r="SS322" s="32"/>
      <c r="ST322" s="32"/>
      <c r="SU322" s="32"/>
      <c r="SV322" s="32"/>
      <c r="SW322" s="32"/>
      <c r="SX322" s="32"/>
      <c r="SY322" s="32"/>
      <c r="SZ322" s="32"/>
      <c r="TA322" s="32"/>
      <c r="TB322" s="32"/>
      <c r="TC322" s="32"/>
      <c r="TD322" s="32"/>
      <c r="TE322" s="32"/>
    </row>
    <row r="323" spans="1:525" s="34" customFormat="1" ht="34.5" customHeight="1" x14ac:dyDescent="0.25">
      <c r="A323" s="86" t="s">
        <v>216</v>
      </c>
      <c r="B323" s="95"/>
      <c r="C323" s="95"/>
      <c r="D323" s="70" t="s">
        <v>40</v>
      </c>
      <c r="E323" s="140">
        <f>SUM(E324+E325+E326+E328+E329+E330+E331+E327)</f>
        <v>210472292</v>
      </c>
      <c r="F323" s="140">
        <f t="shared" ref="F323:P323" si="185">SUM(F324+F325+F326+F328+F329+F330+F331+F327)</f>
        <v>195532600</v>
      </c>
      <c r="G323" s="140">
        <f t="shared" si="185"/>
        <v>15186600</v>
      </c>
      <c r="H323" s="140">
        <f t="shared" si="185"/>
        <v>542000</v>
      </c>
      <c r="I323" s="140">
        <f t="shared" si="185"/>
        <v>0</v>
      </c>
      <c r="J323" s="140">
        <f t="shared" si="185"/>
        <v>104000</v>
      </c>
      <c r="K323" s="140">
        <f t="shared" si="185"/>
        <v>0</v>
      </c>
      <c r="L323" s="140">
        <f t="shared" si="185"/>
        <v>104000</v>
      </c>
      <c r="M323" s="140">
        <f t="shared" si="185"/>
        <v>0</v>
      </c>
      <c r="N323" s="140">
        <f t="shared" si="185"/>
        <v>0</v>
      </c>
      <c r="O323" s="140">
        <f t="shared" si="185"/>
        <v>0</v>
      </c>
      <c r="P323" s="140">
        <f t="shared" si="185"/>
        <v>210576292</v>
      </c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  <c r="EH323" s="33"/>
      <c r="EI323" s="33"/>
      <c r="EJ323" s="33"/>
      <c r="EK323" s="33"/>
      <c r="EL323" s="33"/>
      <c r="EM323" s="33"/>
      <c r="EN323" s="33"/>
      <c r="EO323" s="33"/>
      <c r="EP323" s="33"/>
      <c r="EQ323" s="33"/>
      <c r="ER323" s="33"/>
      <c r="ES323" s="33"/>
      <c r="ET323" s="33"/>
      <c r="EU323" s="33"/>
      <c r="EV323" s="33"/>
      <c r="EW323" s="33"/>
      <c r="EX323" s="33"/>
      <c r="EY323" s="33"/>
      <c r="EZ323" s="33"/>
      <c r="FA323" s="33"/>
      <c r="FB323" s="33"/>
      <c r="FC323" s="33"/>
      <c r="FD323" s="33"/>
      <c r="FE323" s="33"/>
      <c r="FF323" s="33"/>
      <c r="FG323" s="33"/>
      <c r="FH323" s="33"/>
      <c r="FI323" s="33"/>
      <c r="FJ323" s="33"/>
      <c r="FK323" s="33"/>
      <c r="FL323" s="33"/>
      <c r="FM323" s="33"/>
      <c r="FN323" s="33"/>
      <c r="FO323" s="33"/>
      <c r="FP323" s="33"/>
      <c r="FQ323" s="33"/>
      <c r="FR323" s="33"/>
      <c r="FS323" s="33"/>
      <c r="FT323" s="33"/>
      <c r="FU323" s="33"/>
      <c r="FV323" s="33"/>
      <c r="FW323" s="33"/>
      <c r="FX323" s="33"/>
      <c r="FY323" s="33"/>
      <c r="FZ323" s="33"/>
      <c r="GA323" s="33"/>
      <c r="GB323" s="33"/>
      <c r="GC323" s="33"/>
      <c r="GD323" s="33"/>
      <c r="GE323" s="33"/>
      <c r="GF323" s="33"/>
      <c r="GG323" s="33"/>
      <c r="GH323" s="33"/>
      <c r="GI323" s="33"/>
      <c r="GJ323" s="33"/>
      <c r="GK323" s="33"/>
      <c r="GL323" s="33"/>
      <c r="GM323" s="33"/>
      <c r="GN323" s="33"/>
      <c r="GO323" s="33"/>
      <c r="GP323" s="33"/>
      <c r="GQ323" s="33"/>
      <c r="GR323" s="33"/>
      <c r="GS323" s="33"/>
      <c r="GT323" s="33"/>
      <c r="GU323" s="33"/>
      <c r="GV323" s="33"/>
      <c r="GW323" s="33"/>
      <c r="GX323" s="33"/>
      <c r="GY323" s="33"/>
      <c r="GZ323" s="33"/>
      <c r="HA323" s="33"/>
      <c r="HB323" s="33"/>
      <c r="HC323" s="33"/>
      <c r="HD323" s="33"/>
      <c r="HE323" s="33"/>
      <c r="HF323" s="33"/>
      <c r="HG323" s="33"/>
      <c r="HH323" s="33"/>
      <c r="HI323" s="33"/>
      <c r="HJ323" s="33"/>
      <c r="HK323" s="33"/>
      <c r="HL323" s="33"/>
      <c r="HM323" s="33"/>
      <c r="HN323" s="33"/>
      <c r="HO323" s="33"/>
      <c r="HP323" s="33"/>
      <c r="HQ323" s="33"/>
      <c r="HR323" s="33"/>
      <c r="HS323" s="33"/>
      <c r="HT323" s="33"/>
      <c r="HU323" s="33"/>
      <c r="HV323" s="33"/>
      <c r="HW323" s="33"/>
      <c r="HX323" s="33"/>
      <c r="HY323" s="33"/>
      <c r="HZ323" s="33"/>
      <c r="IA323" s="33"/>
      <c r="IB323" s="33"/>
      <c r="IC323" s="33"/>
      <c r="ID323" s="33"/>
      <c r="IE323" s="33"/>
      <c r="IF323" s="33"/>
      <c r="IG323" s="33"/>
      <c r="IH323" s="33"/>
      <c r="II323" s="33"/>
      <c r="IJ323" s="33"/>
      <c r="IK323" s="33"/>
      <c r="IL323" s="33"/>
      <c r="IM323" s="33"/>
      <c r="IN323" s="33"/>
      <c r="IO323" s="33"/>
      <c r="IP323" s="33"/>
      <c r="IQ323" s="33"/>
      <c r="IR323" s="33"/>
      <c r="IS323" s="33"/>
      <c r="IT323" s="33"/>
      <c r="IU323" s="33"/>
      <c r="IV323" s="33"/>
      <c r="IW323" s="33"/>
      <c r="IX323" s="33"/>
      <c r="IY323" s="33"/>
      <c r="IZ323" s="33"/>
      <c r="JA323" s="33"/>
      <c r="JB323" s="33"/>
      <c r="JC323" s="33"/>
      <c r="JD323" s="33"/>
      <c r="JE323" s="33"/>
      <c r="JF323" s="33"/>
      <c r="JG323" s="33"/>
      <c r="JH323" s="33"/>
      <c r="JI323" s="33"/>
      <c r="JJ323" s="33"/>
      <c r="JK323" s="33"/>
      <c r="JL323" s="33"/>
      <c r="JM323" s="33"/>
      <c r="JN323" s="33"/>
      <c r="JO323" s="33"/>
      <c r="JP323" s="33"/>
      <c r="JQ323" s="33"/>
      <c r="JR323" s="33"/>
      <c r="JS323" s="33"/>
      <c r="JT323" s="33"/>
      <c r="JU323" s="33"/>
      <c r="JV323" s="33"/>
      <c r="JW323" s="33"/>
      <c r="JX323" s="33"/>
      <c r="JY323" s="33"/>
      <c r="JZ323" s="33"/>
      <c r="KA323" s="33"/>
      <c r="KB323" s="33"/>
      <c r="KC323" s="33"/>
      <c r="KD323" s="33"/>
      <c r="KE323" s="33"/>
      <c r="KF323" s="33"/>
      <c r="KG323" s="33"/>
      <c r="KH323" s="33"/>
      <c r="KI323" s="33"/>
      <c r="KJ323" s="33"/>
      <c r="KK323" s="33"/>
      <c r="KL323" s="33"/>
      <c r="KM323" s="33"/>
      <c r="KN323" s="33"/>
      <c r="KO323" s="33"/>
      <c r="KP323" s="33"/>
      <c r="KQ323" s="33"/>
      <c r="KR323" s="33"/>
      <c r="KS323" s="33"/>
      <c r="KT323" s="33"/>
      <c r="KU323" s="33"/>
      <c r="KV323" s="33"/>
      <c r="KW323" s="33"/>
      <c r="KX323" s="33"/>
      <c r="KY323" s="33"/>
      <c r="KZ323" s="33"/>
      <c r="LA323" s="33"/>
      <c r="LB323" s="33"/>
      <c r="LC323" s="33"/>
      <c r="LD323" s="33"/>
      <c r="LE323" s="33"/>
      <c r="LF323" s="33"/>
      <c r="LG323" s="33"/>
      <c r="LH323" s="33"/>
      <c r="LI323" s="33"/>
      <c r="LJ323" s="33"/>
      <c r="LK323" s="33"/>
      <c r="LL323" s="33"/>
      <c r="LM323" s="33"/>
      <c r="LN323" s="33"/>
      <c r="LO323" s="33"/>
      <c r="LP323" s="33"/>
      <c r="LQ323" s="33"/>
      <c r="LR323" s="33"/>
      <c r="LS323" s="33"/>
      <c r="LT323" s="33"/>
      <c r="LU323" s="33"/>
      <c r="LV323" s="33"/>
      <c r="LW323" s="33"/>
      <c r="LX323" s="33"/>
      <c r="LY323" s="33"/>
      <c r="LZ323" s="33"/>
      <c r="MA323" s="33"/>
      <c r="MB323" s="33"/>
      <c r="MC323" s="33"/>
      <c r="MD323" s="33"/>
      <c r="ME323" s="33"/>
      <c r="MF323" s="33"/>
      <c r="MG323" s="33"/>
      <c r="MH323" s="33"/>
      <c r="MI323" s="33"/>
      <c r="MJ323" s="33"/>
      <c r="MK323" s="33"/>
      <c r="ML323" s="33"/>
      <c r="MM323" s="33"/>
      <c r="MN323" s="33"/>
      <c r="MO323" s="33"/>
      <c r="MP323" s="33"/>
      <c r="MQ323" s="33"/>
      <c r="MR323" s="33"/>
      <c r="MS323" s="33"/>
      <c r="MT323" s="33"/>
      <c r="MU323" s="33"/>
      <c r="MV323" s="33"/>
      <c r="MW323" s="33"/>
      <c r="MX323" s="33"/>
      <c r="MY323" s="33"/>
      <c r="MZ323" s="33"/>
      <c r="NA323" s="33"/>
      <c r="NB323" s="33"/>
      <c r="NC323" s="33"/>
      <c r="ND323" s="33"/>
      <c r="NE323" s="33"/>
      <c r="NF323" s="33"/>
      <c r="NG323" s="33"/>
      <c r="NH323" s="33"/>
      <c r="NI323" s="33"/>
      <c r="NJ323" s="33"/>
      <c r="NK323" s="33"/>
      <c r="NL323" s="33"/>
      <c r="NM323" s="33"/>
      <c r="NN323" s="33"/>
      <c r="NO323" s="33"/>
      <c r="NP323" s="33"/>
      <c r="NQ323" s="33"/>
      <c r="NR323" s="33"/>
      <c r="NS323" s="33"/>
      <c r="NT323" s="33"/>
      <c r="NU323" s="33"/>
      <c r="NV323" s="33"/>
      <c r="NW323" s="33"/>
      <c r="NX323" s="33"/>
      <c r="NY323" s="33"/>
      <c r="NZ323" s="33"/>
      <c r="OA323" s="33"/>
      <c r="OB323" s="33"/>
      <c r="OC323" s="33"/>
      <c r="OD323" s="33"/>
      <c r="OE323" s="33"/>
      <c r="OF323" s="33"/>
      <c r="OG323" s="33"/>
      <c r="OH323" s="33"/>
      <c r="OI323" s="33"/>
      <c r="OJ323" s="33"/>
      <c r="OK323" s="33"/>
      <c r="OL323" s="33"/>
      <c r="OM323" s="33"/>
      <c r="ON323" s="33"/>
      <c r="OO323" s="33"/>
      <c r="OP323" s="33"/>
      <c r="OQ323" s="33"/>
      <c r="OR323" s="33"/>
      <c r="OS323" s="33"/>
      <c r="OT323" s="33"/>
      <c r="OU323" s="33"/>
      <c r="OV323" s="33"/>
      <c r="OW323" s="33"/>
      <c r="OX323" s="33"/>
      <c r="OY323" s="33"/>
      <c r="OZ323" s="33"/>
      <c r="PA323" s="33"/>
      <c r="PB323" s="33"/>
      <c r="PC323" s="33"/>
      <c r="PD323" s="33"/>
      <c r="PE323" s="33"/>
      <c r="PF323" s="33"/>
      <c r="PG323" s="33"/>
      <c r="PH323" s="33"/>
      <c r="PI323" s="33"/>
      <c r="PJ323" s="33"/>
      <c r="PK323" s="33"/>
      <c r="PL323" s="33"/>
      <c r="PM323" s="33"/>
      <c r="PN323" s="33"/>
      <c r="PO323" s="33"/>
      <c r="PP323" s="33"/>
      <c r="PQ323" s="33"/>
      <c r="PR323" s="33"/>
      <c r="PS323" s="33"/>
      <c r="PT323" s="33"/>
      <c r="PU323" s="33"/>
      <c r="PV323" s="33"/>
      <c r="PW323" s="33"/>
      <c r="PX323" s="33"/>
      <c r="PY323" s="33"/>
      <c r="PZ323" s="33"/>
      <c r="QA323" s="33"/>
      <c r="QB323" s="33"/>
      <c r="QC323" s="33"/>
      <c r="QD323" s="33"/>
      <c r="QE323" s="33"/>
      <c r="QF323" s="33"/>
      <c r="QG323" s="33"/>
      <c r="QH323" s="33"/>
      <c r="QI323" s="33"/>
      <c r="QJ323" s="33"/>
      <c r="QK323" s="33"/>
      <c r="QL323" s="33"/>
      <c r="QM323" s="33"/>
      <c r="QN323" s="33"/>
      <c r="QO323" s="33"/>
      <c r="QP323" s="33"/>
      <c r="QQ323" s="33"/>
      <c r="QR323" s="33"/>
      <c r="QS323" s="33"/>
      <c r="QT323" s="33"/>
      <c r="QU323" s="33"/>
      <c r="QV323" s="33"/>
      <c r="QW323" s="33"/>
      <c r="QX323" s="33"/>
      <c r="QY323" s="33"/>
      <c r="QZ323" s="33"/>
      <c r="RA323" s="33"/>
      <c r="RB323" s="33"/>
      <c r="RC323" s="33"/>
      <c r="RD323" s="33"/>
      <c r="RE323" s="33"/>
      <c r="RF323" s="33"/>
      <c r="RG323" s="33"/>
      <c r="RH323" s="33"/>
      <c r="RI323" s="33"/>
      <c r="RJ323" s="33"/>
      <c r="RK323" s="33"/>
      <c r="RL323" s="33"/>
      <c r="RM323" s="33"/>
      <c r="RN323" s="33"/>
      <c r="RO323" s="33"/>
      <c r="RP323" s="33"/>
      <c r="RQ323" s="33"/>
      <c r="RR323" s="33"/>
      <c r="RS323" s="33"/>
      <c r="RT323" s="33"/>
      <c r="RU323" s="33"/>
      <c r="RV323" s="33"/>
      <c r="RW323" s="33"/>
      <c r="RX323" s="33"/>
      <c r="RY323" s="33"/>
      <c r="RZ323" s="33"/>
      <c r="SA323" s="33"/>
      <c r="SB323" s="33"/>
      <c r="SC323" s="33"/>
      <c r="SD323" s="33"/>
      <c r="SE323" s="33"/>
      <c r="SF323" s="33"/>
      <c r="SG323" s="33"/>
      <c r="SH323" s="33"/>
      <c r="SI323" s="33"/>
      <c r="SJ323" s="33"/>
      <c r="SK323" s="33"/>
      <c r="SL323" s="33"/>
      <c r="SM323" s="33"/>
      <c r="SN323" s="33"/>
      <c r="SO323" s="33"/>
      <c r="SP323" s="33"/>
      <c r="SQ323" s="33"/>
      <c r="SR323" s="33"/>
      <c r="SS323" s="33"/>
      <c r="ST323" s="33"/>
      <c r="SU323" s="33"/>
      <c r="SV323" s="33"/>
      <c r="SW323" s="33"/>
      <c r="SX323" s="33"/>
      <c r="SY323" s="33"/>
      <c r="SZ323" s="33"/>
      <c r="TA323" s="33"/>
      <c r="TB323" s="33"/>
      <c r="TC323" s="33"/>
      <c r="TD323" s="33"/>
      <c r="TE323" s="33"/>
    </row>
    <row r="324" spans="1:525" s="22" customFormat="1" ht="58.5" customHeight="1" x14ac:dyDescent="0.25">
      <c r="A324" s="56" t="s">
        <v>217</v>
      </c>
      <c r="B324" s="84" t="str">
        <f>'дод 5'!A18</f>
        <v>0160</v>
      </c>
      <c r="C324" s="84" t="str">
        <f>'дод 5'!B18</f>
        <v>0111</v>
      </c>
      <c r="D324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324" s="141">
        <f t="shared" ref="E324:E331" si="186">F324+I324</f>
        <v>19804700</v>
      </c>
      <c r="F324" s="141">
        <f>21238100-1433400</f>
        <v>19804700</v>
      </c>
      <c r="G324" s="141">
        <f>16361500-1174900</f>
        <v>15186600</v>
      </c>
      <c r="H324" s="141">
        <v>542000</v>
      </c>
      <c r="I324" s="141"/>
      <c r="J324" s="141">
        <f>L324+O324</f>
        <v>0</v>
      </c>
      <c r="K324" s="141"/>
      <c r="L324" s="141"/>
      <c r="M324" s="141"/>
      <c r="N324" s="141"/>
      <c r="O324" s="141"/>
      <c r="P324" s="141">
        <f t="shared" ref="P324:P331" si="187">E324+J324</f>
        <v>19804700</v>
      </c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  <c r="SQ324" s="23"/>
      <c r="SR324" s="23"/>
      <c r="SS324" s="23"/>
      <c r="ST324" s="23"/>
      <c r="SU324" s="23"/>
      <c r="SV324" s="23"/>
      <c r="SW324" s="23"/>
      <c r="SX324" s="23"/>
      <c r="SY324" s="23"/>
      <c r="SZ324" s="23"/>
      <c r="TA324" s="23"/>
      <c r="TB324" s="23"/>
      <c r="TC324" s="23"/>
      <c r="TD324" s="23"/>
      <c r="TE324" s="23"/>
    </row>
    <row r="325" spans="1:525" s="22" customFormat="1" ht="24" customHeight="1" x14ac:dyDescent="0.25">
      <c r="A325" s="56" t="s">
        <v>255</v>
      </c>
      <c r="B325" s="84" t="str">
        <f>'дод 5'!A219</f>
        <v>7640</v>
      </c>
      <c r="C325" s="84" t="str">
        <f>'дод 5'!B219</f>
        <v>0470</v>
      </c>
      <c r="D325" s="57" t="s">
        <v>416</v>
      </c>
      <c r="E325" s="141">
        <f t="shared" si="186"/>
        <v>415000</v>
      </c>
      <c r="F325" s="141">
        <v>415000</v>
      </c>
      <c r="G325" s="141"/>
      <c r="H325" s="141"/>
      <c r="I325" s="141"/>
      <c r="J325" s="141">
        <f t="shared" ref="J325:J331" si="188">L325+O325</f>
        <v>0</v>
      </c>
      <c r="K325" s="141"/>
      <c r="L325" s="141"/>
      <c r="M325" s="141"/>
      <c r="N325" s="141"/>
      <c r="O325" s="141"/>
      <c r="P325" s="141">
        <f t="shared" si="187"/>
        <v>415000</v>
      </c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</row>
    <row r="326" spans="1:525" s="22" customFormat="1" ht="29.25" customHeight="1" x14ac:dyDescent="0.25">
      <c r="A326" s="56" t="s">
        <v>325</v>
      </c>
      <c r="B326" s="84" t="str">
        <f>'дод 5'!A227</f>
        <v>7693</v>
      </c>
      <c r="C326" s="84" t="str">
        <f>'дод 5'!B227</f>
        <v>0490</v>
      </c>
      <c r="D326" s="57" t="str">
        <f>'дод 5'!C227</f>
        <v>Інші заходи, пов'язані з економічною діяльністю</v>
      </c>
      <c r="E326" s="141">
        <f t="shared" si="186"/>
        <v>132800</v>
      </c>
      <c r="F326" s="141">
        <v>132800</v>
      </c>
      <c r="G326" s="141"/>
      <c r="H326" s="141"/>
      <c r="I326" s="141"/>
      <c r="J326" s="141">
        <f t="shared" si="188"/>
        <v>0</v>
      </c>
      <c r="K326" s="141"/>
      <c r="L326" s="141"/>
      <c r="M326" s="141"/>
      <c r="N326" s="141"/>
      <c r="O326" s="141"/>
      <c r="P326" s="141">
        <f t="shared" si="187"/>
        <v>132800</v>
      </c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</row>
    <row r="327" spans="1:525" s="22" customFormat="1" ht="42.75" customHeight="1" x14ac:dyDescent="0.25">
      <c r="A327" s="56">
        <v>3718330</v>
      </c>
      <c r="B327" s="84">
        <f>'дод 5'!A240</f>
        <v>8330</v>
      </c>
      <c r="C327" s="56" t="s">
        <v>91</v>
      </c>
      <c r="D327" s="57" t="str">
        <f>'дод 5'!C240</f>
        <v xml:space="preserve">Інша діяльність у сфері екології та охорони природних ресурсів </v>
      </c>
      <c r="E327" s="141">
        <f t="shared" si="186"/>
        <v>80000</v>
      </c>
      <c r="F327" s="141">
        <v>80000</v>
      </c>
      <c r="G327" s="141"/>
      <c r="H327" s="141"/>
      <c r="I327" s="141"/>
      <c r="J327" s="141">
        <f t="shared" si="188"/>
        <v>0</v>
      </c>
      <c r="K327" s="141"/>
      <c r="L327" s="141"/>
      <c r="M327" s="141"/>
      <c r="N327" s="141"/>
      <c r="O327" s="141"/>
      <c r="P327" s="141">
        <f t="shared" si="187"/>
        <v>80000</v>
      </c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  <c r="SQ327" s="23"/>
      <c r="SR327" s="23"/>
      <c r="SS327" s="23"/>
      <c r="ST327" s="23"/>
      <c r="SU327" s="23"/>
      <c r="SV327" s="23"/>
      <c r="SW327" s="23"/>
      <c r="SX327" s="23"/>
      <c r="SY327" s="23"/>
      <c r="SZ327" s="23"/>
      <c r="TA327" s="23"/>
      <c r="TB327" s="23"/>
      <c r="TC327" s="23"/>
      <c r="TD327" s="23"/>
      <c r="TE327" s="23"/>
    </row>
    <row r="328" spans="1:525" s="22" customFormat="1" ht="37.5" customHeight="1" x14ac:dyDescent="0.25">
      <c r="A328" s="56" t="s">
        <v>218</v>
      </c>
      <c r="B328" s="84" t="str">
        <f>'дод 5'!A241</f>
        <v>8340</v>
      </c>
      <c r="C328" s="56" t="str">
        <f>'дод 5'!B241</f>
        <v>0540</v>
      </c>
      <c r="D328" s="57" t="str">
        <f>'дод 5'!C241</f>
        <v>Природоохоронні заходи за рахунок цільових фондів</v>
      </c>
      <c r="E328" s="141">
        <f t="shared" si="186"/>
        <v>0</v>
      </c>
      <c r="F328" s="141"/>
      <c r="G328" s="141"/>
      <c r="H328" s="141"/>
      <c r="I328" s="141"/>
      <c r="J328" s="141">
        <f t="shared" si="188"/>
        <v>104000</v>
      </c>
      <c r="K328" s="141"/>
      <c r="L328" s="141">
        <v>104000</v>
      </c>
      <c r="M328" s="141"/>
      <c r="N328" s="141"/>
      <c r="O328" s="141"/>
      <c r="P328" s="141">
        <f t="shared" si="187"/>
        <v>104000</v>
      </c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  <c r="SQ328" s="23"/>
      <c r="SR328" s="23"/>
      <c r="SS328" s="23"/>
      <c r="ST328" s="23"/>
      <c r="SU328" s="23"/>
      <c r="SV328" s="23"/>
      <c r="SW328" s="23"/>
      <c r="SX328" s="23"/>
      <c r="SY328" s="23"/>
      <c r="SZ328" s="23"/>
      <c r="TA328" s="23"/>
      <c r="TB328" s="23"/>
      <c r="TC328" s="23"/>
      <c r="TD328" s="23"/>
      <c r="TE328" s="23"/>
    </row>
    <row r="329" spans="1:525" s="22" customFormat="1" ht="21.75" customHeight="1" x14ac:dyDescent="0.25">
      <c r="A329" s="56" t="s">
        <v>219</v>
      </c>
      <c r="B329" s="84" t="str">
        <f>'дод 5'!A244</f>
        <v>8600</v>
      </c>
      <c r="C329" s="84" t="str">
        <f>'дод 5'!B244</f>
        <v>0170</v>
      </c>
      <c r="D329" s="57" t="str">
        <f>'дод 5'!C244</f>
        <v>Обслуговування місцевого боргу</v>
      </c>
      <c r="E329" s="141">
        <f t="shared" si="186"/>
        <v>3807000</v>
      </c>
      <c r="F329" s="141">
        <v>3807000</v>
      </c>
      <c r="G329" s="141"/>
      <c r="H329" s="141"/>
      <c r="I329" s="141"/>
      <c r="J329" s="141">
        <f t="shared" si="188"/>
        <v>0</v>
      </c>
      <c r="K329" s="141"/>
      <c r="L329" s="141"/>
      <c r="M329" s="141"/>
      <c r="N329" s="141"/>
      <c r="O329" s="141"/>
      <c r="P329" s="141">
        <f t="shared" si="187"/>
        <v>3807000</v>
      </c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  <c r="SQ329" s="23"/>
      <c r="SR329" s="23"/>
      <c r="SS329" s="23"/>
      <c r="ST329" s="23"/>
      <c r="SU329" s="23"/>
      <c r="SV329" s="23"/>
      <c r="SW329" s="23"/>
      <c r="SX329" s="23"/>
      <c r="SY329" s="23"/>
      <c r="SZ329" s="23"/>
      <c r="TA329" s="23"/>
      <c r="TB329" s="23"/>
      <c r="TC329" s="23"/>
      <c r="TD329" s="23"/>
      <c r="TE329" s="23"/>
    </row>
    <row r="330" spans="1:525" s="22" customFormat="1" ht="22.5" customHeight="1" x14ac:dyDescent="0.25">
      <c r="A330" s="56" t="s">
        <v>497</v>
      </c>
      <c r="B330" s="84">
        <v>8710</v>
      </c>
      <c r="C330" s="84" t="str">
        <f>'дод 5'!B245</f>
        <v>0133</v>
      </c>
      <c r="D330" s="57" t="str">
        <f>'дод 5'!C245</f>
        <v>Резервний фонд місцевого бюджету</v>
      </c>
      <c r="E330" s="141">
        <f>24835000+427846-239651-8000000-937638-800000+18335-364200</f>
        <v>14939692</v>
      </c>
      <c r="F330" s="141"/>
      <c r="G330" s="141"/>
      <c r="H330" s="141"/>
      <c r="I330" s="141"/>
      <c r="J330" s="141">
        <f t="shared" si="188"/>
        <v>0</v>
      </c>
      <c r="K330" s="141"/>
      <c r="L330" s="141"/>
      <c r="M330" s="141"/>
      <c r="N330" s="141"/>
      <c r="O330" s="141"/>
      <c r="P330" s="141">
        <f t="shared" si="187"/>
        <v>14939692</v>
      </c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  <c r="SQ330" s="23"/>
      <c r="SR330" s="23"/>
      <c r="SS330" s="23"/>
      <c r="ST330" s="23"/>
      <c r="SU330" s="23"/>
      <c r="SV330" s="23"/>
      <c r="SW330" s="23"/>
      <c r="SX330" s="23"/>
      <c r="SY330" s="23"/>
      <c r="SZ330" s="23"/>
      <c r="TA330" s="23"/>
      <c r="TB330" s="23"/>
      <c r="TC330" s="23"/>
      <c r="TD330" s="23"/>
      <c r="TE330" s="23"/>
    </row>
    <row r="331" spans="1:525" s="22" customFormat="1" ht="24.75" customHeight="1" x14ac:dyDescent="0.25">
      <c r="A331" s="56" t="s">
        <v>229</v>
      </c>
      <c r="B331" s="84" t="str">
        <f>'дод 5'!A249</f>
        <v>9110</v>
      </c>
      <c r="C331" s="84" t="str">
        <f>'дод 5'!B249</f>
        <v>0180</v>
      </c>
      <c r="D331" s="57" t="str">
        <f>'дод 5'!C249</f>
        <v>Реверсна дотація</v>
      </c>
      <c r="E331" s="141">
        <f t="shared" si="186"/>
        <v>171293100</v>
      </c>
      <c r="F331" s="141">
        <v>171293100</v>
      </c>
      <c r="G331" s="141"/>
      <c r="H331" s="141"/>
      <c r="I331" s="141"/>
      <c r="J331" s="141">
        <f t="shared" si="188"/>
        <v>0</v>
      </c>
      <c r="K331" s="141"/>
      <c r="L331" s="141"/>
      <c r="M331" s="141"/>
      <c r="N331" s="141"/>
      <c r="O331" s="141"/>
      <c r="P331" s="141">
        <f t="shared" si="187"/>
        <v>171293100</v>
      </c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  <c r="IS331" s="23"/>
      <c r="IT331" s="23"/>
      <c r="IU331" s="23"/>
      <c r="IV331" s="23"/>
      <c r="IW331" s="23"/>
      <c r="IX331" s="23"/>
      <c r="IY331" s="23"/>
      <c r="IZ331" s="23"/>
      <c r="JA331" s="23"/>
      <c r="JB331" s="23"/>
      <c r="JC331" s="23"/>
      <c r="JD331" s="23"/>
      <c r="JE331" s="23"/>
      <c r="JF331" s="23"/>
      <c r="JG331" s="23"/>
      <c r="JH331" s="23"/>
      <c r="JI331" s="23"/>
      <c r="JJ331" s="23"/>
      <c r="JK331" s="23"/>
      <c r="JL331" s="23"/>
      <c r="JM331" s="23"/>
      <c r="JN331" s="23"/>
      <c r="JO331" s="23"/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  <c r="KC331" s="23"/>
      <c r="KD331" s="23"/>
      <c r="KE331" s="23"/>
      <c r="KF331" s="23"/>
      <c r="KG331" s="23"/>
      <c r="KH331" s="23"/>
      <c r="KI331" s="23"/>
      <c r="KJ331" s="23"/>
      <c r="KK331" s="23"/>
      <c r="KL331" s="23"/>
      <c r="KM331" s="23"/>
      <c r="KN331" s="23"/>
      <c r="KO331" s="23"/>
      <c r="KP331" s="23"/>
      <c r="KQ331" s="23"/>
      <c r="KR331" s="23"/>
      <c r="KS331" s="23"/>
      <c r="KT331" s="23"/>
      <c r="KU331" s="23"/>
      <c r="KV331" s="23"/>
      <c r="KW331" s="23"/>
      <c r="KX331" s="23"/>
      <c r="KY331" s="23"/>
      <c r="KZ331" s="23"/>
      <c r="LA331" s="23"/>
      <c r="LB331" s="23"/>
      <c r="LC331" s="23"/>
      <c r="LD331" s="23"/>
      <c r="LE331" s="23"/>
      <c r="LF331" s="23"/>
      <c r="LG331" s="23"/>
      <c r="LH331" s="23"/>
      <c r="LI331" s="23"/>
      <c r="LJ331" s="23"/>
      <c r="LK331" s="23"/>
      <c r="LL331" s="23"/>
      <c r="LM331" s="23"/>
      <c r="LN331" s="23"/>
      <c r="LO331" s="23"/>
      <c r="LP331" s="23"/>
      <c r="LQ331" s="23"/>
      <c r="LR331" s="23"/>
      <c r="LS331" s="23"/>
      <c r="LT331" s="23"/>
      <c r="LU331" s="23"/>
      <c r="LV331" s="23"/>
      <c r="LW331" s="23"/>
      <c r="LX331" s="23"/>
      <c r="LY331" s="23"/>
      <c r="LZ331" s="23"/>
      <c r="MA331" s="23"/>
      <c r="MB331" s="23"/>
      <c r="MC331" s="23"/>
      <c r="MD331" s="23"/>
      <c r="ME331" s="23"/>
      <c r="MF331" s="23"/>
      <c r="MG331" s="23"/>
      <c r="MH331" s="23"/>
      <c r="MI331" s="23"/>
      <c r="MJ331" s="23"/>
      <c r="MK331" s="23"/>
      <c r="ML331" s="23"/>
      <c r="MM331" s="23"/>
      <c r="MN331" s="23"/>
      <c r="MO331" s="23"/>
      <c r="MP331" s="23"/>
      <c r="MQ331" s="23"/>
      <c r="MR331" s="23"/>
      <c r="MS331" s="23"/>
      <c r="MT331" s="23"/>
      <c r="MU331" s="23"/>
      <c r="MV331" s="23"/>
      <c r="MW331" s="23"/>
      <c r="MX331" s="23"/>
      <c r="MY331" s="23"/>
      <c r="MZ331" s="23"/>
      <c r="NA331" s="23"/>
      <c r="NB331" s="23"/>
      <c r="NC331" s="23"/>
      <c r="ND331" s="23"/>
      <c r="NE331" s="23"/>
      <c r="NF331" s="23"/>
      <c r="NG331" s="23"/>
      <c r="NH331" s="23"/>
      <c r="NI331" s="23"/>
      <c r="NJ331" s="23"/>
      <c r="NK331" s="23"/>
      <c r="NL331" s="23"/>
      <c r="NM331" s="23"/>
      <c r="NN331" s="23"/>
      <c r="NO331" s="23"/>
      <c r="NP331" s="23"/>
      <c r="NQ331" s="23"/>
      <c r="NR331" s="23"/>
      <c r="NS331" s="23"/>
      <c r="NT331" s="23"/>
      <c r="NU331" s="23"/>
      <c r="NV331" s="23"/>
      <c r="NW331" s="23"/>
      <c r="NX331" s="23"/>
      <c r="NY331" s="23"/>
      <c r="NZ331" s="23"/>
      <c r="OA331" s="23"/>
      <c r="OB331" s="23"/>
      <c r="OC331" s="23"/>
      <c r="OD331" s="23"/>
      <c r="OE331" s="23"/>
      <c r="OF331" s="23"/>
      <c r="OG331" s="23"/>
      <c r="OH331" s="23"/>
      <c r="OI331" s="23"/>
      <c r="OJ331" s="23"/>
      <c r="OK331" s="23"/>
      <c r="OL331" s="23"/>
      <c r="OM331" s="23"/>
      <c r="ON331" s="23"/>
      <c r="OO331" s="23"/>
      <c r="OP331" s="23"/>
      <c r="OQ331" s="23"/>
      <c r="OR331" s="23"/>
      <c r="OS331" s="23"/>
      <c r="OT331" s="23"/>
      <c r="OU331" s="23"/>
      <c r="OV331" s="23"/>
      <c r="OW331" s="23"/>
      <c r="OX331" s="23"/>
      <c r="OY331" s="23"/>
      <c r="OZ331" s="23"/>
      <c r="PA331" s="23"/>
      <c r="PB331" s="23"/>
      <c r="PC331" s="23"/>
      <c r="PD331" s="23"/>
      <c r="PE331" s="23"/>
      <c r="PF331" s="23"/>
      <c r="PG331" s="23"/>
      <c r="PH331" s="23"/>
      <c r="PI331" s="23"/>
      <c r="PJ331" s="23"/>
      <c r="PK331" s="23"/>
      <c r="PL331" s="23"/>
      <c r="PM331" s="23"/>
      <c r="PN331" s="23"/>
      <c r="PO331" s="23"/>
      <c r="PP331" s="23"/>
      <c r="PQ331" s="23"/>
      <c r="PR331" s="23"/>
      <c r="PS331" s="23"/>
      <c r="PT331" s="23"/>
      <c r="PU331" s="23"/>
      <c r="PV331" s="23"/>
      <c r="PW331" s="23"/>
      <c r="PX331" s="23"/>
      <c r="PY331" s="23"/>
      <c r="PZ331" s="23"/>
      <c r="QA331" s="23"/>
      <c r="QB331" s="23"/>
      <c r="QC331" s="23"/>
      <c r="QD331" s="23"/>
      <c r="QE331" s="23"/>
      <c r="QF331" s="23"/>
      <c r="QG331" s="23"/>
      <c r="QH331" s="23"/>
      <c r="QI331" s="23"/>
      <c r="QJ331" s="23"/>
      <c r="QK331" s="23"/>
      <c r="QL331" s="23"/>
      <c r="QM331" s="23"/>
      <c r="QN331" s="23"/>
      <c r="QO331" s="23"/>
      <c r="QP331" s="23"/>
      <c r="QQ331" s="23"/>
      <c r="QR331" s="23"/>
      <c r="QS331" s="23"/>
      <c r="QT331" s="23"/>
      <c r="QU331" s="23"/>
      <c r="QV331" s="23"/>
      <c r="QW331" s="23"/>
      <c r="QX331" s="23"/>
      <c r="QY331" s="23"/>
      <c r="QZ331" s="23"/>
      <c r="RA331" s="23"/>
      <c r="RB331" s="23"/>
      <c r="RC331" s="23"/>
      <c r="RD331" s="23"/>
      <c r="RE331" s="23"/>
      <c r="RF331" s="23"/>
      <c r="RG331" s="23"/>
      <c r="RH331" s="23"/>
      <c r="RI331" s="23"/>
      <c r="RJ331" s="23"/>
      <c r="RK331" s="23"/>
      <c r="RL331" s="23"/>
      <c r="RM331" s="23"/>
      <c r="RN331" s="23"/>
      <c r="RO331" s="23"/>
      <c r="RP331" s="23"/>
      <c r="RQ331" s="23"/>
      <c r="RR331" s="23"/>
      <c r="RS331" s="23"/>
      <c r="RT331" s="23"/>
      <c r="RU331" s="23"/>
      <c r="RV331" s="23"/>
      <c r="RW331" s="23"/>
      <c r="RX331" s="23"/>
      <c r="RY331" s="23"/>
      <c r="RZ331" s="23"/>
      <c r="SA331" s="23"/>
      <c r="SB331" s="23"/>
      <c r="SC331" s="23"/>
      <c r="SD331" s="23"/>
      <c r="SE331" s="23"/>
      <c r="SF331" s="23"/>
      <c r="SG331" s="23"/>
      <c r="SH331" s="23"/>
      <c r="SI331" s="23"/>
      <c r="SJ331" s="23"/>
      <c r="SK331" s="23"/>
      <c r="SL331" s="23"/>
      <c r="SM331" s="23"/>
      <c r="SN331" s="23"/>
      <c r="SO331" s="23"/>
      <c r="SP331" s="23"/>
      <c r="SQ331" s="23"/>
      <c r="SR331" s="23"/>
      <c r="SS331" s="23"/>
      <c r="ST331" s="23"/>
      <c r="SU331" s="23"/>
      <c r="SV331" s="23"/>
      <c r="SW331" s="23"/>
      <c r="SX331" s="23"/>
      <c r="SY331" s="23"/>
      <c r="SZ331" s="23"/>
      <c r="TA331" s="23"/>
      <c r="TB331" s="23"/>
      <c r="TC331" s="23"/>
      <c r="TD331" s="23"/>
      <c r="TE331" s="23"/>
    </row>
    <row r="332" spans="1:525" s="27" customFormat="1" ht="22.5" customHeight="1" x14ac:dyDescent="0.25">
      <c r="A332" s="100"/>
      <c r="B332" s="98"/>
      <c r="C332" s="125"/>
      <c r="D332" s="93" t="s">
        <v>402</v>
      </c>
      <c r="E332" s="139">
        <f t="shared" ref="E332:P332" si="189">E16+E64+E131+E165+E208+E217+E228+E274+E277+E303+E311+E314+E322</f>
        <v>2845805079</v>
      </c>
      <c r="F332" s="139">
        <f t="shared" si="189"/>
        <v>2584871667</v>
      </c>
      <c r="G332" s="139">
        <f t="shared" si="189"/>
        <v>1271954705</v>
      </c>
      <c r="H332" s="139">
        <f t="shared" si="189"/>
        <v>220062900</v>
      </c>
      <c r="I332" s="139">
        <f t="shared" si="189"/>
        <v>245993720</v>
      </c>
      <c r="J332" s="139">
        <f t="shared" si="189"/>
        <v>902506338</v>
      </c>
      <c r="K332" s="139">
        <f t="shared" si="189"/>
        <v>789294757</v>
      </c>
      <c r="L332" s="139">
        <f t="shared" si="189"/>
        <v>106562676</v>
      </c>
      <c r="M332" s="139">
        <f t="shared" si="189"/>
        <v>9868845</v>
      </c>
      <c r="N332" s="139">
        <f t="shared" si="189"/>
        <v>5509383</v>
      </c>
      <c r="O332" s="139">
        <f t="shared" si="189"/>
        <v>795943662</v>
      </c>
      <c r="P332" s="139">
        <f t="shared" si="189"/>
        <v>3748311417</v>
      </c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  <c r="FK332" s="32"/>
      <c r="FL332" s="32"/>
      <c r="FM332" s="32"/>
      <c r="FN332" s="32"/>
      <c r="FO332" s="32"/>
      <c r="FP332" s="32"/>
      <c r="FQ332" s="32"/>
      <c r="FR332" s="32"/>
      <c r="FS332" s="32"/>
      <c r="FT332" s="32"/>
      <c r="FU332" s="32"/>
      <c r="FV332" s="32"/>
      <c r="FW332" s="32"/>
      <c r="FX332" s="32"/>
      <c r="FY332" s="32"/>
      <c r="FZ332" s="32"/>
      <c r="GA332" s="32"/>
      <c r="GB332" s="32"/>
      <c r="GC332" s="32"/>
      <c r="GD332" s="32"/>
      <c r="GE332" s="32"/>
      <c r="GF332" s="32"/>
      <c r="GG332" s="32"/>
      <c r="GH332" s="32"/>
      <c r="GI332" s="32"/>
      <c r="GJ332" s="32"/>
      <c r="GK332" s="32"/>
      <c r="GL332" s="32"/>
      <c r="GM332" s="32"/>
      <c r="GN332" s="32"/>
      <c r="GO332" s="32"/>
      <c r="GP332" s="32"/>
      <c r="GQ332" s="32"/>
      <c r="GR332" s="32"/>
      <c r="GS332" s="32"/>
      <c r="GT332" s="32"/>
      <c r="GU332" s="32"/>
      <c r="GV332" s="32"/>
      <c r="GW332" s="32"/>
      <c r="GX332" s="32"/>
      <c r="GY332" s="32"/>
      <c r="GZ332" s="32"/>
      <c r="HA332" s="32"/>
      <c r="HB332" s="32"/>
      <c r="HC332" s="32"/>
      <c r="HD332" s="32"/>
      <c r="HE332" s="32"/>
      <c r="HF332" s="32"/>
      <c r="HG332" s="32"/>
      <c r="HH332" s="32"/>
      <c r="HI332" s="32"/>
      <c r="HJ332" s="32"/>
      <c r="HK332" s="32"/>
      <c r="HL332" s="32"/>
      <c r="HM332" s="32"/>
      <c r="HN332" s="32"/>
      <c r="HO332" s="32"/>
      <c r="HP332" s="32"/>
      <c r="HQ332" s="32"/>
      <c r="HR332" s="32"/>
      <c r="HS332" s="32"/>
      <c r="HT332" s="32"/>
      <c r="HU332" s="32"/>
      <c r="HV332" s="32"/>
      <c r="HW332" s="32"/>
      <c r="HX332" s="32"/>
      <c r="HY332" s="32"/>
      <c r="HZ332" s="32"/>
      <c r="IA332" s="32"/>
      <c r="IB332" s="32"/>
      <c r="IC332" s="32"/>
      <c r="ID332" s="32"/>
      <c r="IE332" s="32"/>
      <c r="IF332" s="32"/>
      <c r="IG332" s="32"/>
      <c r="IH332" s="32"/>
      <c r="II332" s="32"/>
      <c r="IJ332" s="32"/>
      <c r="IK332" s="32"/>
      <c r="IL332" s="32"/>
      <c r="IM332" s="32"/>
      <c r="IN332" s="32"/>
      <c r="IO332" s="32"/>
      <c r="IP332" s="32"/>
      <c r="IQ332" s="32"/>
      <c r="IR332" s="32"/>
      <c r="IS332" s="32"/>
      <c r="IT332" s="32"/>
      <c r="IU332" s="32"/>
      <c r="IV332" s="32"/>
      <c r="IW332" s="32"/>
      <c r="IX332" s="32"/>
      <c r="IY332" s="32"/>
      <c r="IZ332" s="32"/>
      <c r="JA332" s="32"/>
      <c r="JB332" s="32"/>
      <c r="JC332" s="32"/>
      <c r="JD332" s="32"/>
      <c r="JE332" s="32"/>
      <c r="JF332" s="32"/>
      <c r="JG332" s="32"/>
      <c r="JH332" s="32"/>
      <c r="JI332" s="32"/>
      <c r="JJ332" s="32"/>
      <c r="JK332" s="32"/>
      <c r="JL332" s="32"/>
      <c r="JM332" s="32"/>
      <c r="JN332" s="32"/>
      <c r="JO332" s="32"/>
      <c r="JP332" s="32"/>
      <c r="JQ332" s="32"/>
      <c r="JR332" s="32"/>
      <c r="JS332" s="32"/>
      <c r="JT332" s="32"/>
      <c r="JU332" s="32"/>
      <c r="JV332" s="32"/>
      <c r="JW332" s="32"/>
      <c r="JX332" s="32"/>
      <c r="JY332" s="32"/>
      <c r="JZ332" s="32"/>
      <c r="KA332" s="32"/>
      <c r="KB332" s="32"/>
      <c r="KC332" s="32"/>
      <c r="KD332" s="32"/>
      <c r="KE332" s="32"/>
      <c r="KF332" s="32"/>
      <c r="KG332" s="32"/>
      <c r="KH332" s="32"/>
      <c r="KI332" s="32"/>
      <c r="KJ332" s="32"/>
      <c r="KK332" s="32"/>
      <c r="KL332" s="32"/>
      <c r="KM332" s="32"/>
      <c r="KN332" s="32"/>
      <c r="KO332" s="32"/>
      <c r="KP332" s="32"/>
      <c r="KQ332" s="32"/>
      <c r="KR332" s="32"/>
      <c r="KS332" s="32"/>
      <c r="KT332" s="32"/>
      <c r="KU332" s="32"/>
      <c r="KV332" s="32"/>
      <c r="KW332" s="32"/>
      <c r="KX332" s="32"/>
      <c r="KY332" s="32"/>
      <c r="KZ332" s="32"/>
      <c r="LA332" s="32"/>
      <c r="LB332" s="32"/>
      <c r="LC332" s="32"/>
      <c r="LD332" s="32"/>
      <c r="LE332" s="32"/>
      <c r="LF332" s="32"/>
      <c r="LG332" s="32"/>
      <c r="LH332" s="32"/>
      <c r="LI332" s="32"/>
      <c r="LJ332" s="32"/>
      <c r="LK332" s="32"/>
      <c r="LL332" s="32"/>
      <c r="LM332" s="32"/>
      <c r="LN332" s="32"/>
      <c r="LO332" s="32"/>
      <c r="LP332" s="32"/>
      <c r="LQ332" s="32"/>
      <c r="LR332" s="32"/>
      <c r="LS332" s="32"/>
      <c r="LT332" s="32"/>
      <c r="LU332" s="32"/>
      <c r="LV332" s="32"/>
      <c r="LW332" s="32"/>
      <c r="LX332" s="32"/>
      <c r="LY332" s="32"/>
      <c r="LZ332" s="32"/>
      <c r="MA332" s="32"/>
      <c r="MB332" s="32"/>
      <c r="MC332" s="32"/>
      <c r="MD332" s="32"/>
      <c r="ME332" s="32"/>
      <c r="MF332" s="32"/>
      <c r="MG332" s="32"/>
      <c r="MH332" s="32"/>
      <c r="MI332" s="32"/>
      <c r="MJ332" s="32"/>
      <c r="MK332" s="32"/>
      <c r="ML332" s="32"/>
      <c r="MM332" s="32"/>
      <c r="MN332" s="32"/>
      <c r="MO332" s="32"/>
      <c r="MP332" s="32"/>
      <c r="MQ332" s="32"/>
      <c r="MR332" s="32"/>
      <c r="MS332" s="32"/>
      <c r="MT332" s="32"/>
      <c r="MU332" s="32"/>
      <c r="MV332" s="32"/>
      <c r="MW332" s="32"/>
      <c r="MX332" s="32"/>
      <c r="MY332" s="32"/>
      <c r="MZ332" s="32"/>
      <c r="NA332" s="32"/>
      <c r="NB332" s="32"/>
      <c r="NC332" s="32"/>
      <c r="ND332" s="32"/>
      <c r="NE332" s="32"/>
      <c r="NF332" s="32"/>
      <c r="NG332" s="32"/>
      <c r="NH332" s="32"/>
      <c r="NI332" s="32"/>
      <c r="NJ332" s="32"/>
      <c r="NK332" s="32"/>
      <c r="NL332" s="32"/>
      <c r="NM332" s="32"/>
      <c r="NN332" s="32"/>
      <c r="NO332" s="32"/>
      <c r="NP332" s="32"/>
      <c r="NQ332" s="32"/>
      <c r="NR332" s="32"/>
      <c r="NS332" s="32"/>
      <c r="NT332" s="32"/>
      <c r="NU332" s="32"/>
      <c r="NV332" s="32"/>
      <c r="NW332" s="32"/>
      <c r="NX332" s="32"/>
      <c r="NY332" s="32"/>
      <c r="NZ332" s="32"/>
      <c r="OA332" s="32"/>
      <c r="OB332" s="32"/>
      <c r="OC332" s="32"/>
      <c r="OD332" s="32"/>
      <c r="OE332" s="32"/>
      <c r="OF332" s="32"/>
      <c r="OG332" s="32"/>
      <c r="OH332" s="32"/>
      <c r="OI332" s="32"/>
      <c r="OJ332" s="32"/>
      <c r="OK332" s="32"/>
      <c r="OL332" s="32"/>
      <c r="OM332" s="32"/>
      <c r="ON332" s="32"/>
      <c r="OO332" s="32"/>
      <c r="OP332" s="32"/>
      <c r="OQ332" s="32"/>
      <c r="OR332" s="32"/>
      <c r="OS332" s="32"/>
      <c r="OT332" s="32"/>
      <c r="OU332" s="32"/>
      <c r="OV332" s="32"/>
      <c r="OW332" s="32"/>
      <c r="OX332" s="32"/>
      <c r="OY332" s="32"/>
      <c r="OZ332" s="32"/>
      <c r="PA332" s="32"/>
      <c r="PB332" s="32"/>
      <c r="PC332" s="32"/>
      <c r="PD332" s="32"/>
      <c r="PE332" s="32"/>
      <c r="PF332" s="32"/>
      <c r="PG332" s="32"/>
      <c r="PH332" s="32"/>
      <c r="PI332" s="32"/>
      <c r="PJ332" s="32"/>
      <c r="PK332" s="32"/>
      <c r="PL332" s="32"/>
      <c r="PM332" s="32"/>
      <c r="PN332" s="32"/>
      <c r="PO332" s="32"/>
      <c r="PP332" s="32"/>
      <c r="PQ332" s="32"/>
      <c r="PR332" s="32"/>
      <c r="PS332" s="32"/>
      <c r="PT332" s="32"/>
      <c r="PU332" s="32"/>
      <c r="PV332" s="32"/>
      <c r="PW332" s="32"/>
      <c r="PX332" s="32"/>
      <c r="PY332" s="32"/>
      <c r="PZ332" s="32"/>
      <c r="QA332" s="32"/>
      <c r="QB332" s="32"/>
      <c r="QC332" s="32"/>
      <c r="QD332" s="32"/>
      <c r="QE332" s="32"/>
      <c r="QF332" s="32"/>
      <c r="QG332" s="32"/>
      <c r="QH332" s="32"/>
      <c r="QI332" s="32"/>
      <c r="QJ332" s="32"/>
      <c r="QK332" s="32"/>
      <c r="QL332" s="32"/>
      <c r="QM332" s="32"/>
      <c r="QN332" s="32"/>
      <c r="QO332" s="32"/>
      <c r="QP332" s="32"/>
      <c r="QQ332" s="32"/>
      <c r="QR332" s="32"/>
      <c r="QS332" s="32"/>
      <c r="QT332" s="32"/>
      <c r="QU332" s="32"/>
      <c r="QV332" s="32"/>
      <c r="QW332" s="32"/>
      <c r="QX332" s="32"/>
      <c r="QY332" s="32"/>
      <c r="QZ332" s="32"/>
      <c r="RA332" s="32"/>
      <c r="RB332" s="32"/>
      <c r="RC332" s="32"/>
      <c r="RD332" s="32"/>
      <c r="RE332" s="32"/>
      <c r="RF332" s="32"/>
      <c r="RG332" s="32"/>
      <c r="RH332" s="32"/>
      <c r="RI332" s="32"/>
      <c r="RJ332" s="32"/>
      <c r="RK332" s="32"/>
      <c r="RL332" s="32"/>
      <c r="RM332" s="32"/>
      <c r="RN332" s="32"/>
      <c r="RO332" s="32"/>
      <c r="RP332" s="32"/>
      <c r="RQ332" s="32"/>
      <c r="RR332" s="32"/>
      <c r="RS332" s="32"/>
      <c r="RT332" s="32"/>
      <c r="RU332" s="32"/>
      <c r="RV332" s="32"/>
      <c r="RW332" s="32"/>
      <c r="RX332" s="32"/>
      <c r="RY332" s="32"/>
      <c r="RZ332" s="32"/>
      <c r="SA332" s="32"/>
      <c r="SB332" s="32"/>
      <c r="SC332" s="32"/>
      <c r="SD332" s="32"/>
      <c r="SE332" s="32"/>
      <c r="SF332" s="32"/>
      <c r="SG332" s="32"/>
      <c r="SH332" s="32"/>
      <c r="SI332" s="32"/>
      <c r="SJ332" s="32"/>
      <c r="SK332" s="32"/>
      <c r="SL332" s="32"/>
      <c r="SM332" s="32"/>
      <c r="SN332" s="32"/>
      <c r="SO332" s="32"/>
      <c r="SP332" s="32"/>
      <c r="SQ332" s="32"/>
      <c r="SR332" s="32"/>
      <c r="SS332" s="32"/>
      <c r="ST332" s="32"/>
      <c r="SU332" s="32"/>
      <c r="SV332" s="32"/>
      <c r="SW332" s="32"/>
      <c r="SX332" s="32"/>
      <c r="SY332" s="32"/>
      <c r="SZ332" s="32"/>
      <c r="TA332" s="32"/>
      <c r="TB332" s="32"/>
      <c r="TC332" s="32"/>
      <c r="TD332" s="32"/>
      <c r="TE332" s="32"/>
    </row>
    <row r="333" spans="1:525" s="34" customFormat="1" ht="39.75" customHeight="1" x14ac:dyDescent="0.25">
      <c r="A333" s="101"/>
      <c r="B333" s="95"/>
      <c r="C333" s="87"/>
      <c r="D333" s="70" t="s">
        <v>395</v>
      </c>
      <c r="E333" s="140">
        <f t="shared" ref="E333:P333" si="190">E66+E73+E231+E232+E76+E137+E75+E279</f>
        <v>571788600</v>
      </c>
      <c r="F333" s="140">
        <f t="shared" si="190"/>
        <v>571788600</v>
      </c>
      <c r="G333" s="140">
        <f t="shared" si="190"/>
        <v>469390600</v>
      </c>
      <c r="H333" s="140">
        <f t="shared" si="190"/>
        <v>0</v>
      </c>
      <c r="I333" s="140">
        <f t="shared" si="190"/>
        <v>0</v>
      </c>
      <c r="J333" s="140">
        <f t="shared" si="190"/>
        <v>0</v>
      </c>
      <c r="K333" s="140">
        <f t="shared" si="190"/>
        <v>0</v>
      </c>
      <c r="L333" s="140">
        <f t="shared" si="190"/>
        <v>0</v>
      </c>
      <c r="M333" s="140">
        <f t="shared" si="190"/>
        <v>0</v>
      </c>
      <c r="N333" s="140">
        <f t="shared" si="190"/>
        <v>0</v>
      </c>
      <c r="O333" s="140">
        <f t="shared" si="190"/>
        <v>0</v>
      </c>
      <c r="P333" s="140">
        <f t="shared" si="190"/>
        <v>571788600</v>
      </c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  <c r="IW333" s="33"/>
      <c r="IX333" s="33"/>
      <c r="IY333" s="33"/>
      <c r="IZ333" s="33"/>
      <c r="JA333" s="33"/>
      <c r="JB333" s="33"/>
      <c r="JC333" s="33"/>
      <c r="JD333" s="33"/>
      <c r="JE333" s="33"/>
      <c r="JF333" s="33"/>
      <c r="JG333" s="33"/>
      <c r="JH333" s="33"/>
      <c r="JI333" s="33"/>
      <c r="JJ333" s="33"/>
      <c r="JK333" s="33"/>
      <c r="JL333" s="33"/>
      <c r="JM333" s="33"/>
      <c r="JN333" s="33"/>
      <c r="JO333" s="33"/>
      <c r="JP333" s="33"/>
      <c r="JQ333" s="33"/>
      <c r="JR333" s="33"/>
      <c r="JS333" s="33"/>
      <c r="JT333" s="33"/>
      <c r="JU333" s="33"/>
      <c r="JV333" s="33"/>
      <c r="JW333" s="33"/>
      <c r="JX333" s="33"/>
      <c r="JY333" s="33"/>
      <c r="JZ333" s="33"/>
      <c r="KA333" s="33"/>
      <c r="KB333" s="33"/>
      <c r="KC333" s="33"/>
      <c r="KD333" s="33"/>
      <c r="KE333" s="33"/>
      <c r="KF333" s="33"/>
      <c r="KG333" s="33"/>
      <c r="KH333" s="33"/>
      <c r="KI333" s="33"/>
      <c r="KJ333" s="33"/>
      <c r="KK333" s="33"/>
      <c r="KL333" s="33"/>
      <c r="KM333" s="33"/>
      <c r="KN333" s="33"/>
      <c r="KO333" s="33"/>
      <c r="KP333" s="33"/>
      <c r="KQ333" s="33"/>
      <c r="KR333" s="33"/>
      <c r="KS333" s="33"/>
      <c r="KT333" s="33"/>
      <c r="KU333" s="33"/>
      <c r="KV333" s="33"/>
      <c r="KW333" s="33"/>
      <c r="KX333" s="33"/>
      <c r="KY333" s="33"/>
      <c r="KZ333" s="33"/>
      <c r="LA333" s="33"/>
      <c r="LB333" s="33"/>
      <c r="LC333" s="33"/>
      <c r="LD333" s="33"/>
      <c r="LE333" s="33"/>
      <c r="LF333" s="33"/>
      <c r="LG333" s="33"/>
      <c r="LH333" s="33"/>
      <c r="LI333" s="33"/>
      <c r="LJ333" s="33"/>
      <c r="LK333" s="33"/>
      <c r="LL333" s="33"/>
      <c r="LM333" s="33"/>
      <c r="LN333" s="33"/>
      <c r="LO333" s="33"/>
      <c r="LP333" s="33"/>
      <c r="LQ333" s="33"/>
      <c r="LR333" s="33"/>
      <c r="LS333" s="33"/>
      <c r="LT333" s="33"/>
      <c r="LU333" s="33"/>
      <c r="LV333" s="33"/>
      <c r="LW333" s="33"/>
      <c r="LX333" s="33"/>
      <c r="LY333" s="33"/>
      <c r="LZ333" s="33"/>
      <c r="MA333" s="33"/>
      <c r="MB333" s="33"/>
      <c r="MC333" s="33"/>
      <c r="MD333" s="33"/>
      <c r="ME333" s="33"/>
      <c r="MF333" s="33"/>
      <c r="MG333" s="33"/>
      <c r="MH333" s="33"/>
      <c r="MI333" s="33"/>
      <c r="MJ333" s="33"/>
      <c r="MK333" s="33"/>
      <c r="ML333" s="33"/>
      <c r="MM333" s="33"/>
      <c r="MN333" s="33"/>
      <c r="MO333" s="33"/>
      <c r="MP333" s="33"/>
      <c r="MQ333" s="33"/>
      <c r="MR333" s="33"/>
      <c r="MS333" s="33"/>
      <c r="MT333" s="33"/>
      <c r="MU333" s="33"/>
      <c r="MV333" s="33"/>
      <c r="MW333" s="33"/>
      <c r="MX333" s="33"/>
      <c r="MY333" s="33"/>
      <c r="MZ333" s="33"/>
      <c r="NA333" s="33"/>
      <c r="NB333" s="33"/>
      <c r="NC333" s="33"/>
      <c r="ND333" s="33"/>
      <c r="NE333" s="33"/>
      <c r="NF333" s="33"/>
      <c r="NG333" s="33"/>
      <c r="NH333" s="33"/>
      <c r="NI333" s="33"/>
      <c r="NJ333" s="33"/>
      <c r="NK333" s="33"/>
      <c r="NL333" s="33"/>
      <c r="NM333" s="33"/>
      <c r="NN333" s="33"/>
      <c r="NO333" s="33"/>
      <c r="NP333" s="33"/>
      <c r="NQ333" s="33"/>
      <c r="NR333" s="33"/>
      <c r="NS333" s="33"/>
      <c r="NT333" s="33"/>
      <c r="NU333" s="33"/>
      <c r="NV333" s="33"/>
      <c r="NW333" s="33"/>
      <c r="NX333" s="33"/>
      <c r="NY333" s="33"/>
      <c r="NZ333" s="33"/>
      <c r="OA333" s="33"/>
      <c r="OB333" s="33"/>
      <c r="OC333" s="33"/>
      <c r="OD333" s="33"/>
      <c r="OE333" s="33"/>
      <c r="OF333" s="33"/>
      <c r="OG333" s="33"/>
      <c r="OH333" s="33"/>
      <c r="OI333" s="33"/>
      <c r="OJ333" s="33"/>
      <c r="OK333" s="33"/>
      <c r="OL333" s="33"/>
      <c r="OM333" s="33"/>
      <c r="ON333" s="33"/>
      <c r="OO333" s="33"/>
      <c r="OP333" s="33"/>
      <c r="OQ333" s="33"/>
      <c r="OR333" s="33"/>
      <c r="OS333" s="33"/>
      <c r="OT333" s="33"/>
      <c r="OU333" s="33"/>
      <c r="OV333" s="33"/>
      <c r="OW333" s="33"/>
      <c r="OX333" s="33"/>
      <c r="OY333" s="33"/>
      <c r="OZ333" s="33"/>
      <c r="PA333" s="33"/>
      <c r="PB333" s="33"/>
      <c r="PC333" s="33"/>
      <c r="PD333" s="33"/>
      <c r="PE333" s="33"/>
      <c r="PF333" s="33"/>
      <c r="PG333" s="33"/>
      <c r="PH333" s="33"/>
      <c r="PI333" s="33"/>
      <c r="PJ333" s="33"/>
      <c r="PK333" s="33"/>
      <c r="PL333" s="33"/>
      <c r="PM333" s="33"/>
      <c r="PN333" s="33"/>
      <c r="PO333" s="33"/>
      <c r="PP333" s="33"/>
      <c r="PQ333" s="33"/>
      <c r="PR333" s="33"/>
      <c r="PS333" s="33"/>
      <c r="PT333" s="33"/>
      <c r="PU333" s="33"/>
      <c r="PV333" s="33"/>
      <c r="PW333" s="33"/>
      <c r="PX333" s="33"/>
      <c r="PY333" s="33"/>
      <c r="PZ333" s="33"/>
      <c r="QA333" s="33"/>
      <c r="QB333" s="33"/>
      <c r="QC333" s="33"/>
      <c r="QD333" s="33"/>
      <c r="QE333" s="33"/>
      <c r="QF333" s="33"/>
      <c r="QG333" s="33"/>
      <c r="QH333" s="33"/>
      <c r="QI333" s="33"/>
      <c r="QJ333" s="33"/>
      <c r="QK333" s="33"/>
      <c r="QL333" s="33"/>
      <c r="QM333" s="33"/>
      <c r="QN333" s="33"/>
      <c r="QO333" s="33"/>
      <c r="QP333" s="33"/>
      <c r="QQ333" s="33"/>
      <c r="QR333" s="33"/>
      <c r="QS333" s="33"/>
      <c r="QT333" s="33"/>
      <c r="QU333" s="33"/>
      <c r="QV333" s="33"/>
      <c r="QW333" s="33"/>
      <c r="QX333" s="33"/>
      <c r="QY333" s="33"/>
      <c r="QZ333" s="33"/>
      <c r="RA333" s="33"/>
      <c r="RB333" s="33"/>
      <c r="RC333" s="33"/>
      <c r="RD333" s="33"/>
      <c r="RE333" s="33"/>
      <c r="RF333" s="33"/>
      <c r="RG333" s="33"/>
      <c r="RH333" s="33"/>
      <c r="RI333" s="33"/>
      <c r="RJ333" s="33"/>
      <c r="RK333" s="33"/>
      <c r="RL333" s="33"/>
      <c r="RM333" s="33"/>
      <c r="RN333" s="33"/>
      <c r="RO333" s="33"/>
      <c r="RP333" s="33"/>
      <c r="RQ333" s="33"/>
      <c r="RR333" s="33"/>
      <c r="RS333" s="33"/>
      <c r="RT333" s="33"/>
      <c r="RU333" s="33"/>
      <c r="RV333" s="33"/>
      <c r="RW333" s="33"/>
      <c r="RX333" s="33"/>
      <c r="RY333" s="33"/>
      <c r="RZ333" s="33"/>
      <c r="SA333" s="33"/>
      <c r="SB333" s="33"/>
      <c r="SC333" s="33"/>
      <c r="SD333" s="33"/>
      <c r="SE333" s="33"/>
      <c r="SF333" s="33"/>
      <c r="SG333" s="33"/>
      <c r="SH333" s="33"/>
      <c r="SI333" s="33"/>
      <c r="SJ333" s="33"/>
      <c r="SK333" s="33"/>
      <c r="SL333" s="33"/>
      <c r="SM333" s="33"/>
      <c r="SN333" s="33"/>
      <c r="SO333" s="33"/>
      <c r="SP333" s="33"/>
      <c r="SQ333" s="33"/>
      <c r="SR333" s="33"/>
      <c r="SS333" s="33"/>
      <c r="ST333" s="33"/>
      <c r="SU333" s="33"/>
      <c r="SV333" s="33"/>
      <c r="SW333" s="33"/>
      <c r="SX333" s="33"/>
      <c r="SY333" s="33"/>
      <c r="SZ333" s="33"/>
      <c r="TA333" s="33"/>
      <c r="TB333" s="33"/>
      <c r="TC333" s="33"/>
      <c r="TD333" s="33"/>
      <c r="TE333" s="33"/>
    </row>
    <row r="334" spans="1:525" s="34" customFormat="1" ht="37.5" customHeight="1" x14ac:dyDescent="0.25">
      <c r="A334" s="101"/>
      <c r="B334" s="95"/>
      <c r="C334" s="87"/>
      <c r="D334" s="70" t="s">
        <v>396</v>
      </c>
      <c r="E334" s="140">
        <f t="shared" ref="E334:P334" si="191">E18+E69+E71+E169+E68+E72+E136+E74+E77+E138+E170+E171+E234+E210+E230+E233</f>
        <v>6252730</v>
      </c>
      <c r="F334" s="140">
        <f t="shared" si="191"/>
        <v>6252730</v>
      </c>
      <c r="G334" s="140">
        <f t="shared" si="191"/>
        <v>2004561</v>
      </c>
      <c r="H334" s="140">
        <f t="shared" si="191"/>
        <v>0</v>
      </c>
      <c r="I334" s="140">
        <f t="shared" si="191"/>
        <v>0</v>
      </c>
      <c r="J334" s="140">
        <f t="shared" si="191"/>
        <v>0</v>
      </c>
      <c r="K334" s="140">
        <f t="shared" si="191"/>
        <v>0</v>
      </c>
      <c r="L334" s="140">
        <f t="shared" si="191"/>
        <v>0</v>
      </c>
      <c r="M334" s="140">
        <f t="shared" si="191"/>
        <v>0</v>
      </c>
      <c r="N334" s="140">
        <f t="shared" si="191"/>
        <v>0</v>
      </c>
      <c r="O334" s="140">
        <f t="shared" si="191"/>
        <v>0</v>
      </c>
      <c r="P334" s="140">
        <f t="shared" si="191"/>
        <v>6252730</v>
      </c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  <c r="FV334" s="33"/>
      <c r="FW334" s="33"/>
      <c r="FX334" s="33"/>
      <c r="FY334" s="33"/>
      <c r="FZ334" s="33"/>
      <c r="GA334" s="33"/>
      <c r="GB334" s="33"/>
      <c r="GC334" s="33"/>
      <c r="GD334" s="33"/>
      <c r="GE334" s="33"/>
      <c r="GF334" s="33"/>
      <c r="GG334" s="33"/>
      <c r="GH334" s="33"/>
      <c r="GI334" s="33"/>
      <c r="GJ334" s="33"/>
      <c r="GK334" s="33"/>
      <c r="GL334" s="33"/>
      <c r="GM334" s="33"/>
      <c r="GN334" s="33"/>
      <c r="GO334" s="33"/>
      <c r="GP334" s="33"/>
      <c r="GQ334" s="33"/>
      <c r="GR334" s="33"/>
      <c r="GS334" s="33"/>
      <c r="GT334" s="33"/>
      <c r="GU334" s="33"/>
      <c r="GV334" s="33"/>
      <c r="GW334" s="33"/>
      <c r="GX334" s="33"/>
      <c r="GY334" s="33"/>
      <c r="GZ334" s="33"/>
      <c r="HA334" s="33"/>
      <c r="HB334" s="33"/>
      <c r="HC334" s="33"/>
      <c r="HD334" s="33"/>
      <c r="HE334" s="33"/>
      <c r="HF334" s="33"/>
      <c r="HG334" s="33"/>
      <c r="HH334" s="33"/>
      <c r="HI334" s="33"/>
      <c r="HJ334" s="33"/>
      <c r="HK334" s="33"/>
      <c r="HL334" s="33"/>
      <c r="HM334" s="33"/>
      <c r="HN334" s="33"/>
      <c r="HO334" s="33"/>
      <c r="HP334" s="33"/>
      <c r="HQ334" s="33"/>
      <c r="HR334" s="33"/>
      <c r="HS334" s="33"/>
      <c r="HT334" s="33"/>
      <c r="HU334" s="33"/>
      <c r="HV334" s="33"/>
      <c r="HW334" s="33"/>
      <c r="HX334" s="33"/>
      <c r="HY334" s="33"/>
      <c r="HZ334" s="33"/>
      <c r="IA334" s="33"/>
      <c r="IB334" s="33"/>
      <c r="IC334" s="33"/>
      <c r="ID334" s="33"/>
      <c r="IE334" s="33"/>
      <c r="IF334" s="33"/>
      <c r="IG334" s="33"/>
      <c r="IH334" s="33"/>
      <c r="II334" s="33"/>
      <c r="IJ334" s="33"/>
      <c r="IK334" s="33"/>
      <c r="IL334" s="33"/>
      <c r="IM334" s="33"/>
      <c r="IN334" s="33"/>
      <c r="IO334" s="33"/>
      <c r="IP334" s="33"/>
      <c r="IQ334" s="33"/>
      <c r="IR334" s="33"/>
      <c r="IS334" s="33"/>
      <c r="IT334" s="33"/>
      <c r="IU334" s="33"/>
      <c r="IV334" s="33"/>
      <c r="IW334" s="33"/>
      <c r="IX334" s="33"/>
      <c r="IY334" s="33"/>
      <c r="IZ334" s="33"/>
      <c r="JA334" s="33"/>
      <c r="JB334" s="33"/>
      <c r="JC334" s="33"/>
      <c r="JD334" s="33"/>
      <c r="JE334" s="33"/>
      <c r="JF334" s="33"/>
      <c r="JG334" s="33"/>
      <c r="JH334" s="33"/>
      <c r="JI334" s="33"/>
      <c r="JJ334" s="33"/>
      <c r="JK334" s="33"/>
      <c r="JL334" s="33"/>
      <c r="JM334" s="33"/>
      <c r="JN334" s="33"/>
      <c r="JO334" s="33"/>
      <c r="JP334" s="33"/>
      <c r="JQ334" s="33"/>
      <c r="JR334" s="33"/>
      <c r="JS334" s="33"/>
      <c r="JT334" s="33"/>
      <c r="JU334" s="33"/>
      <c r="JV334" s="33"/>
      <c r="JW334" s="33"/>
      <c r="JX334" s="33"/>
      <c r="JY334" s="33"/>
      <c r="JZ334" s="33"/>
      <c r="KA334" s="33"/>
      <c r="KB334" s="33"/>
      <c r="KC334" s="33"/>
      <c r="KD334" s="33"/>
      <c r="KE334" s="33"/>
      <c r="KF334" s="33"/>
      <c r="KG334" s="33"/>
      <c r="KH334" s="33"/>
      <c r="KI334" s="33"/>
      <c r="KJ334" s="33"/>
      <c r="KK334" s="33"/>
      <c r="KL334" s="33"/>
      <c r="KM334" s="33"/>
      <c r="KN334" s="33"/>
      <c r="KO334" s="33"/>
      <c r="KP334" s="33"/>
      <c r="KQ334" s="33"/>
      <c r="KR334" s="33"/>
      <c r="KS334" s="33"/>
      <c r="KT334" s="33"/>
      <c r="KU334" s="33"/>
      <c r="KV334" s="33"/>
      <c r="KW334" s="33"/>
      <c r="KX334" s="33"/>
      <c r="KY334" s="33"/>
      <c r="KZ334" s="33"/>
      <c r="LA334" s="33"/>
      <c r="LB334" s="33"/>
      <c r="LC334" s="33"/>
      <c r="LD334" s="33"/>
      <c r="LE334" s="33"/>
      <c r="LF334" s="33"/>
      <c r="LG334" s="33"/>
      <c r="LH334" s="33"/>
      <c r="LI334" s="33"/>
      <c r="LJ334" s="33"/>
      <c r="LK334" s="33"/>
      <c r="LL334" s="33"/>
      <c r="LM334" s="33"/>
      <c r="LN334" s="33"/>
      <c r="LO334" s="33"/>
      <c r="LP334" s="33"/>
      <c r="LQ334" s="33"/>
      <c r="LR334" s="33"/>
      <c r="LS334" s="33"/>
      <c r="LT334" s="33"/>
      <c r="LU334" s="33"/>
      <c r="LV334" s="33"/>
      <c r="LW334" s="33"/>
      <c r="LX334" s="33"/>
      <c r="LY334" s="33"/>
      <c r="LZ334" s="33"/>
      <c r="MA334" s="33"/>
      <c r="MB334" s="33"/>
      <c r="MC334" s="33"/>
      <c r="MD334" s="33"/>
      <c r="ME334" s="33"/>
      <c r="MF334" s="33"/>
      <c r="MG334" s="33"/>
      <c r="MH334" s="33"/>
      <c r="MI334" s="33"/>
      <c r="MJ334" s="33"/>
      <c r="MK334" s="33"/>
      <c r="ML334" s="33"/>
      <c r="MM334" s="33"/>
      <c r="MN334" s="33"/>
      <c r="MO334" s="33"/>
      <c r="MP334" s="33"/>
      <c r="MQ334" s="33"/>
      <c r="MR334" s="33"/>
      <c r="MS334" s="33"/>
      <c r="MT334" s="33"/>
      <c r="MU334" s="33"/>
      <c r="MV334" s="33"/>
      <c r="MW334" s="33"/>
      <c r="MX334" s="33"/>
      <c r="MY334" s="33"/>
      <c r="MZ334" s="33"/>
      <c r="NA334" s="33"/>
      <c r="NB334" s="33"/>
      <c r="NC334" s="33"/>
      <c r="ND334" s="33"/>
      <c r="NE334" s="33"/>
      <c r="NF334" s="33"/>
      <c r="NG334" s="33"/>
      <c r="NH334" s="33"/>
      <c r="NI334" s="33"/>
      <c r="NJ334" s="33"/>
      <c r="NK334" s="33"/>
      <c r="NL334" s="33"/>
      <c r="NM334" s="33"/>
      <c r="NN334" s="33"/>
      <c r="NO334" s="33"/>
      <c r="NP334" s="33"/>
      <c r="NQ334" s="33"/>
      <c r="NR334" s="33"/>
      <c r="NS334" s="33"/>
      <c r="NT334" s="33"/>
      <c r="NU334" s="33"/>
      <c r="NV334" s="33"/>
      <c r="NW334" s="33"/>
      <c r="NX334" s="33"/>
      <c r="NY334" s="33"/>
      <c r="NZ334" s="33"/>
      <c r="OA334" s="33"/>
      <c r="OB334" s="33"/>
      <c r="OC334" s="33"/>
      <c r="OD334" s="33"/>
      <c r="OE334" s="33"/>
      <c r="OF334" s="33"/>
      <c r="OG334" s="33"/>
      <c r="OH334" s="33"/>
      <c r="OI334" s="33"/>
      <c r="OJ334" s="33"/>
      <c r="OK334" s="33"/>
      <c r="OL334" s="33"/>
      <c r="OM334" s="33"/>
      <c r="ON334" s="33"/>
      <c r="OO334" s="33"/>
      <c r="OP334" s="33"/>
      <c r="OQ334" s="33"/>
      <c r="OR334" s="33"/>
      <c r="OS334" s="33"/>
      <c r="OT334" s="33"/>
      <c r="OU334" s="33"/>
      <c r="OV334" s="33"/>
      <c r="OW334" s="33"/>
      <c r="OX334" s="33"/>
      <c r="OY334" s="33"/>
      <c r="OZ334" s="33"/>
      <c r="PA334" s="33"/>
      <c r="PB334" s="33"/>
      <c r="PC334" s="33"/>
      <c r="PD334" s="33"/>
      <c r="PE334" s="33"/>
      <c r="PF334" s="33"/>
      <c r="PG334" s="33"/>
      <c r="PH334" s="33"/>
      <c r="PI334" s="33"/>
      <c r="PJ334" s="33"/>
      <c r="PK334" s="33"/>
      <c r="PL334" s="33"/>
      <c r="PM334" s="33"/>
      <c r="PN334" s="33"/>
      <c r="PO334" s="33"/>
      <c r="PP334" s="33"/>
      <c r="PQ334" s="33"/>
      <c r="PR334" s="33"/>
      <c r="PS334" s="33"/>
      <c r="PT334" s="33"/>
      <c r="PU334" s="33"/>
      <c r="PV334" s="33"/>
      <c r="PW334" s="33"/>
      <c r="PX334" s="33"/>
      <c r="PY334" s="33"/>
      <c r="PZ334" s="33"/>
      <c r="QA334" s="33"/>
      <c r="QB334" s="33"/>
      <c r="QC334" s="33"/>
      <c r="QD334" s="33"/>
      <c r="QE334" s="33"/>
      <c r="QF334" s="33"/>
      <c r="QG334" s="33"/>
      <c r="QH334" s="33"/>
      <c r="QI334" s="33"/>
      <c r="QJ334" s="33"/>
      <c r="QK334" s="33"/>
      <c r="QL334" s="33"/>
      <c r="QM334" s="33"/>
      <c r="QN334" s="33"/>
      <c r="QO334" s="33"/>
      <c r="QP334" s="33"/>
      <c r="QQ334" s="33"/>
      <c r="QR334" s="33"/>
      <c r="QS334" s="33"/>
      <c r="QT334" s="33"/>
      <c r="QU334" s="33"/>
      <c r="QV334" s="33"/>
      <c r="QW334" s="33"/>
      <c r="QX334" s="33"/>
      <c r="QY334" s="33"/>
      <c r="QZ334" s="33"/>
      <c r="RA334" s="33"/>
      <c r="RB334" s="33"/>
      <c r="RC334" s="33"/>
      <c r="RD334" s="33"/>
      <c r="RE334" s="33"/>
      <c r="RF334" s="33"/>
      <c r="RG334" s="33"/>
      <c r="RH334" s="33"/>
      <c r="RI334" s="33"/>
      <c r="RJ334" s="33"/>
      <c r="RK334" s="33"/>
      <c r="RL334" s="33"/>
      <c r="RM334" s="33"/>
      <c r="RN334" s="33"/>
      <c r="RO334" s="33"/>
      <c r="RP334" s="33"/>
      <c r="RQ334" s="33"/>
      <c r="RR334" s="33"/>
      <c r="RS334" s="33"/>
      <c r="RT334" s="33"/>
      <c r="RU334" s="33"/>
      <c r="RV334" s="33"/>
      <c r="RW334" s="33"/>
      <c r="RX334" s="33"/>
      <c r="RY334" s="33"/>
      <c r="RZ334" s="33"/>
      <c r="SA334" s="33"/>
      <c r="SB334" s="33"/>
      <c r="SC334" s="33"/>
      <c r="SD334" s="33"/>
      <c r="SE334" s="33"/>
      <c r="SF334" s="33"/>
      <c r="SG334" s="33"/>
      <c r="SH334" s="33"/>
      <c r="SI334" s="33"/>
      <c r="SJ334" s="33"/>
      <c r="SK334" s="33"/>
      <c r="SL334" s="33"/>
      <c r="SM334" s="33"/>
      <c r="SN334" s="33"/>
      <c r="SO334" s="33"/>
      <c r="SP334" s="33"/>
      <c r="SQ334" s="33"/>
      <c r="SR334" s="33"/>
      <c r="SS334" s="33"/>
      <c r="ST334" s="33"/>
      <c r="SU334" s="33"/>
      <c r="SV334" s="33"/>
      <c r="SW334" s="33"/>
      <c r="SX334" s="33"/>
      <c r="SY334" s="33"/>
      <c r="SZ334" s="33"/>
      <c r="TA334" s="33"/>
      <c r="TB334" s="33"/>
      <c r="TC334" s="33"/>
      <c r="TD334" s="33"/>
      <c r="TE334" s="33"/>
    </row>
    <row r="335" spans="1:525" s="34" customFormat="1" ht="26.25" customHeight="1" x14ac:dyDescent="0.25">
      <c r="A335" s="86"/>
      <c r="B335" s="95"/>
      <c r="C335" s="95"/>
      <c r="D335" s="75" t="s">
        <v>413</v>
      </c>
      <c r="E335" s="140">
        <f t="shared" ref="E335:P335" si="192">E139+E280+E235</f>
        <v>0</v>
      </c>
      <c r="F335" s="140">
        <f t="shared" si="192"/>
        <v>0</v>
      </c>
      <c r="G335" s="140">
        <f t="shared" si="192"/>
        <v>0</v>
      </c>
      <c r="H335" s="140">
        <f t="shared" si="192"/>
        <v>0</v>
      </c>
      <c r="I335" s="140">
        <f t="shared" si="192"/>
        <v>0</v>
      </c>
      <c r="J335" s="140">
        <f t="shared" si="192"/>
        <v>180458652</v>
      </c>
      <c r="K335" s="140">
        <f t="shared" si="192"/>
        <v>180458652</v>
      </c>
      <c r="L335" s="140">
        <f t="shared" si="192"/>
        <v>0</v>
      </c>
      <c r="M335" s="140">
        <f t="shared" si="192"/>
        <v>0</v>
      </c>
      <c r="N335" s="140">
        <f t="shared" si="192"/>
        <v>0</v>
      </c>
      <c r="O335" s="140">
        <f t="shared" si="192"/>
        <v>180458652</v>
      </c>
      <c r="P335" s="140">
        <f t="shared" si="192"/>
        <v>180458652</v>
      </c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  <c r="EH335" s="33"/>
      <c r="EI335" s="33"/>
      <c r="EJ335" s="33"/>
      <c r="EK335" s="33"/>
      <c r="EL335" s="33"/>
      <c r="EM335" s="33"/>
      <c r="EN335" s="33"/>
      <c r="EO335" s="33"/>
      <c r="EP335" s="33"/>
      <c r="EQ335" s="33"/>
      <c r="ER335" s="33"/>
      <c r="ES335" s="33"/>
      <c r="ET335" s="33"/>
      <c r="EU335" s="33"/>
      <c r="EV335" s="33"/>
      <c r="EW335" s="33"/>
      <c r="EX335" s="33"/>
      <c r="EY335" s="33"/>
      <c r="EZ335" s="33"/>
      <c r="FA335" s="33"/>
      <c r="FB335" s="33"/>
      <c r="FC335" s="33"/>
      <c r="FD335" s="33"/>
      <c r="FE335" s="33"/>
      <c r="FF335" s="33"/>
      <c r="FG335" s="33"/>
      <c r="FH335" s="33"/>
      <c r="FI335" s="33"/>
      <c r="FJ335" s="33"/>
      <c r="FK335" s="33"/>
      <c r="FL335" s="33"/>
      <c r="FM335" s="33"/>
      <c r="FN335" s="33"/>
      <c r="FO335" s="33"/>
      <c r="FP335" s="33"/>
      <c r="FQ335" s="33"/>
      <c r="FR335" s="33"/>
      <c r="FS335" s="33"/>
      <c r="FT335" s="33"/>
      <c r="FU335" s="33"/>
      <c r="FV335" s="33"/>
      <c r="FW335" s="33"/>
      <c r="FX335" s="33"/>
      <c r="FY335" s="33"/>
      <c r="FZ335" s="33"/>
      <c r="GA335" s="33"/>
      <c r="GB335" s="33"/>
      <c r="GC335" s="33"/>
      <c r="GD335" s="33"/>
      <c r="GE335" s="33"/>
      <c r="GF335" s="33"/>
      <c r="GG335" s="33"/>
      <c r="GH335" s="33"/>
      <c r="GI335" s="33"/>
      <c r="GJ335" s="33"/>
      <c r="GK335" s="33"/>
      <c r="GL335" s="33"/>
      <c r="GM335" s="33"/>
      <c r="GN335" s="33"/>
      <c r="GO335" s="33"/>
      <c r="GP335" s="33"/>
      <c r="GQ335" s="33"/>
      <c r="GR335" s="33"/>
      <c r="GS335" s="33"/>
      <c r="GT335" s="33"/>
      <c r="GU335" s="33"/>
      <c r="GV335" s="33"/>
      <c r="GW335" s="33"/>
      <c r="GX335" s="33"/>
      <c r="GY335" s="33"/>
      <c r="GZ335" s="33"/>
      <c r="HA335" s="33"/>
      <c r="HB335" s="33"/>
      <c r="HC335" s="33"/>
      <c r="HD335" s="33"/>
      <c r="HE335" s="33"/>
      <c r="HF335" s="33"/>
      <c r="HG335" s="33"/>
      <c r="HH335" s="33"/>
      <c r="HI335" s="33"/>
      <c r="HJ335" s="33"/>
      <c r="HK335" s="33"/>
      <c r="HL335" s="33"/>
      <c r="HM335" s="33"/>
      <c r="HN335" s="33"/>
      <c r="HO335" s="33"/>
      <c r="HP335" s="33"/>
      <c r="HQ335" s="33"/>
      <c r="HR335" s="33"/>
      <c r="HS335" s="33"/>
      <c r="HT335" s="33"/>
      <c r="HU335" s="33"/>
      <c r="HV335" s="33"/>
      <c r="HW335" s="33"/>
      <c r="HX335" s="33"/>
      <c r="HY335" s="33"/>
      <c r="HZ335" s="33"/>
      <c r="IA335" s="33"/>
      <c r="IB335" s="33"/>
      <c r="IC335" s="33"/>
      <c r="ID335" s="33"/>
      <c r="IE335" s="33"/>
      <c r="IF335" s="33"/>
      <c r="IG335" s="33"/>
      <c r="IH335" s="33"/>
      <c r="II335" s="33"/>
      <c r="IJ335" s="33"/>
      <c r="IK335" s="33"/>
      <c r="IL335" s="33"/>
      <c r="IM335" s="33"/>
      <c r="IN335" s="33"/>
      <c r="IO335" s="33"/>
      <c r="IP335" s="33"/>
      <c r="IQ335" s="33"/>
      <c r="IR335" s="33"/>
      <c r="IS335" s="33"/>
      <c r="IT335" s="33"/>
      <c r="IU335" s="33"/>
      <c r="IV335" s="33"/>
      <c r="IW335" s="33"/>
      <c r="IX335" s="33"/>
      <c r="IY335" s="33"/>
      <c r="IZ335" s="33"/>
      <c r="JA335" s="33"/>
      <c r="JB335" s="33"/>
      <c r="JC335" s="33"/>
      <c r="JD335" s="33"/>
      <c r="JE335" s="33"/>
      <c r="JF335" s="33"/>
      <c r="JG335" s="33"/>
      <c r="JH335" s="33"/>
      <c r="JI335" s="33"/>
      <c r="JJ335" s="33"/>
      <c r="JK335" s="33"/>
      <c r="JL335" s="33"/>
      <c r="JM335" s="33"/>
      <c r="JN335" s="33"/>
      <c r="JO335" s="33"/>
      <c r="JP335" s="33"/>
      <c r="JQ335" s="33"/>
      <c r="JR335" s="33"/>
      <c r="JS335" s="33"/>
      <c r="JT335" s="33"/>
      <c r="JU335" s="33"/>
      <c r="JV335" s="33"/>
      <c r="JW335" s="33"/>
      <c r="JX335" s="33"/>
      <c r="JY335" s="33"/>
      <c r="JZ335" s="33"/>
      <c r="KA335" s="33"/>
      <c r="KB335" s="33"/>
      <c r="KC335" s="33"/>
      <c r="KD335" s="33"/>
      <c r="KE335" s="33"/>
      <c r="KF335" s="33"/>
      <c r="KG335" s="33"/>
      <c r="KH335" s="33"/>
      <c r="KI335" s="33"/>
      <c r="KJ335" s="33"/>
      <c r="KK335" s="33"/>
      <c r="KL335" s="33"/>
      <c r="KM335" s="33"/>
      <c r="KN335" s="33"/>
      <c r="KO335" s="33"/>
      <c r="KP335" s="33"/>
      <c r="KQ335" s="33"/>
      <c r="KR335" s="33"/>
      <c r="KS335" s="33"/>
      <c r="KT335" s="33"/>
      <c r="KU335" s="33"/>
      <c r="KV335" s="33"/>
      <c r="KW335" s="33"/>
      <c r="KX335" s="33"/>
      <c r="KY335" s="33"/>
      <c r="KZ335" s="33"/>
      <c r="LA335" s="33"/>
      <c r="LB335" s="33"/>
      <c r="LC335" s="33"/>
      <c r="LD335" s="33"/>
      <c r="LE335" s="33"/>
      <c r="LF335" s="33"/>
      <c r="LG335" s="33"/>
      <c r="LH335" s="33"/>
      <c r="LI335" s="33"/>
      <c r="LJ335" s="33"/>
      <c r="LK335" s="33"/>
      <c r="LL335" s="33"/>
      <c r="LM335" s="33"/>
      <c r="LN335" s="33"/>
      <c r="LO335" s="33"/>
      <c r="LP335" s="33"/>
      <c r="LQ335" s="33"/>
      <c r="LR335" s="33"/>
      <c r="LS335" s="33"/>
      <c r="LT335" s="33"/>
      <c r="LU335" s="33"/>
      <c r="LV335" s="33"/>
      <c r="LW335" s="33"/>
      <c r="LX335" s="33"/>
      <c r="LY335" s="33"/>
      <c r="LZ335" s="33"/>
      <c r="MA335" s="33"/>
      <c r="MB335" s="33"/>
      <c r="MC335" s="33"/>
      <c r="MD335" s="33"/>
      <c r="ME335" s="33"/>
      <c r="MF335" s="33"/>
      <c r="MG335" s="33"/>
      <c r="MH335" s="33"/>
      <c r="MI335" s="33"/>
      <c r="MJ335" s="33"/>
      <c r="MK335" s="33"/>
      <c r="ML335" s="33"/>
      <c r="MM335" s="33"/>
      <c r="MN335" s="33"/>
      <c r="MO335" s="33"/>
      <c r="MP335" s="33"/>
      <c r="MQ335" s="33"/>
      <c r="MR335" s="33"/>
      <c r="MS335" s="33"/>
      <c r="MT335" s="33"/>
      <c r="MU335" s="33"/>
      <c r="MV335" s="33"/>
      <c r="MW335" s="33"/>
      <c r="MX335" s="33"/>
      <c r="MY335" s="33"/>
      <c r="MZ335" s="33"/>
      <c r="NA335" s="33"/>
      <c r="NB335" s="33"/>
      <c r="NC335" s="33"/>
      <c r="ND335" s="33"/>
      <c r="NE335" s="33"/>
      <c r="NF335" s="33"/>
      <c r="NG335" s="33"/>
      <c r="NH335" s="33"/>
      <c r="NI335" s="33"/>
      <c r="NJ335" s="33"/>
      <c r="NK335" s="33"/>
      <c r="NL335" s="33"/>
      <c r="NM335" s="33"/>
      <c r="NN335" s="33"/>
      <c r="NO335" s="33"/>
      <c r="NP335" s="33"/>
      <c r="NQ335" s="33"/>
      <c r="NR335" s="33"/>
      <c r="NS335" s="33"/>
      <c r="NT335" s="33"/>
      <c r="NU335" s="33"/>
      <c r="NV335" s="33"/>
      <c r="NW335" s="33"/>
      <c r="NX335" s="33"/>
      <c r="NY335" s="33"/>
      <c r="NZ335" s="33"/>
      <c r="OA335" s="33"/>
      <c r="OB335" s="33"/>
      <c r="OC335" s="33"/>
      <c r="OD335" s="33"/>
      <c r="OE335" s="33"/>
      <c r="OF335" s="33"/>
      <c r="OG335" s="33"/>
      <c r="OH335" s="33"/>
      <c r="OI335" s="33"/>
      <c r="OJ335" s="33"/>
      <c r="OK335" s="33"/>
      <c r="OL335" s="33"/>
      <c r="OM335" s="33"/>
      <c r="ON335" s="33"/>
      <c r="OO335" s="33"/>
      <c r="OP335" s="33"/>
      <c r="OQ335" s="33"/>
      <c r="OR335" s="33"/>
      <c r="OS335" s="33"/>
      <c r="OT335" s="33"/>
      <c r="OU335" s="33"/>
      <c r="OV335" s="33"/>
      <c r="OW335" s="33"/>
      <c r="OX335" s="33"/>
      <c r="OY335" s="33"/>
      <c r="OZ335" s="33"/>
      <c r="PA335" s="33"/>
      <c r="PB335" s="33"/>
      <c r="PC335" s="33"/>
      <c r="PD335" s="33"/>
      <c r="PE335" s="33"/>
      <c r="PF335" s="33"/>
      <c r="PG335" s="33"/>
      <c r="PH335" s="33"/>
      <c r="PI335" s="33"/>
      <c r="PJ335" s="33"/>
      <c r="PK335" s="33"/>
      <c r="PL335" s="33"/>
      <c r="PM335" s="33"/>
      <c r="PN335" s="33"/>
      <c r="PO335" s="33"/>
      <c r="PP335" s="33"/>
      <c r="PQ335" s="33"/>
      <c r="PR335" s="33"/>
      <c r="PS335" s="33"/>
      <c r="PT335" s="33"/>
      <c r="PU335" s="33"/>
      <c r="PV335" s="33"/>
      <c r="PW335" s="33"/>
      <c r="PX335" s="33"/>
      <c r="PY335" s="33"/>
      <c r="PZ335" s="33"/>
      <c r="QA335" s="33"/>
      <c r="QB335" s="33"/>
      <c r="QC335" s="33"/>
      <c r="QD335" s="33"/>
      <c r="QE335" s="33"/>
      <c r="QF335" s="33"/>
      <c r="QG335" s="33"/>
      <c r="QH335" s="33"/>
      <c r="QI335" s="33"/>
      <c r="QJ335" s="33"/>
      <c r="QK335" s="33"/>
      <c r="QL335" s="33"/>
      <c r="QM335" s="33"/>
      <c r="QN335" s="33"/>
      <c r="QO335" s="33"/>
      <c r="QP335" s="33"/>
      <c r="QQ335" s="33"/>
      <c r="QR335" s="33"/>
      <c r="QS335" s="33"/>
      <c r="QT335" s="33"/>
      <c r="QU335" s="33"/>
      <c r="QV335" s="33"/>
      <c r="QW335" s="33"/>
      <c r="QX335" s="33"/>
      <c r="QY335" s="33"/>
      <c r="QZ335" s="33"/>
      <c r="RA335" s="33"/>
      <c r="RB335" s="33"/>
      <c r="RC335" s="33"/>
      <c r="RD335" s="33"/>
      <c r="RE335" s="33"/>
      <c r="RF335" s="33"/>
      <c r="RG335" s="33"/>
      <c r="RH335" s="33"/>
      <c r="RI335" s="33"/>
      <c r="RJ335" s="33"/>
      <c r="RK335" s="33"/>
      <c r="RL335" s="33"/>
      <c r="RM335" s="33"/>
      <c r="RN335" s="33"/>
      <c r="RO335" s="33"/>
      <c r="RP335" s="33"/>
      <c r="RQ335" s="33"/>
      <c r="RR335" s="33"/>
      <c r="RS335" s="33"/>
      <c r="RT335" s="33"/>
      <c r="RU335" s="33"/>
      <c r="RV335" s="33"/>
      <c r="RW335" s="33"/>
      <c r="RX335" s="33"/>
      <c r="RY335" s="33"/>
      <c r="RZ335" s="33"/>
      <c r="SA335" s="33"/>
      <c r="SB335" s="33"/>
      <c r="SC335" s="33"/>
      <c r="SD335" s="33"/>
      <c r="SE335" s="33"/>
      <c r="SF335" s="33"/>
      <c r="SG335" s="33"/>
      <c r="SH335" s="33"/>
      <c r="SI335" s="33"/>
      <c r="SJ335" s="33"/>
      <c r="SK335" s="33"/>
      <c r="SL335" s="33"/>
      <c r="SM335" s="33"/>
      <c r="SN335" s="33"/>
      <c r="SO335" s="33"/>
      <c r="SP335" s="33"/>
      <c r="SQ335" s="33"/>
      <c r="SR335" s="33"/>
      <c r="SS335" s="33"/>
      <c r="ST335" s="33"/>
      <c r="SU335" s="33"/>
      <c r="SV335" s="33"/>
      <c r="SW335" s="33"/>
      <c r="SX335" s="33"/>
      <c r="SY335" s="33"/>
      <c r="SZ335" s="33"/>
      <c r="TA335" s="33"/>
      <c r="TB335" s="33"/>
      <c r="TC335" s="33"/>
      <c r="TD335" s="33"/>
      <c r="TE335" s="33"/>
    </row>
    <row r="336" spans="1:525" s="27" customFormat="1" ht="30" customHeight="1" x14ac:dyDescent="0.25">
      <c r="A336" s="61"/>
      <c r="B336" s="62"/>
      <c r="C336" s="63"/>
      <c r="D336" s="64"/>
      <c r="E336" s="150"/>
      <c r="F336" s="151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  <c r="IP336" s="32"/>
      <c r="IQ336" s="32"/>
      <c r="IR336" s="32"/>
      <c r="IS336" s="32"/>
      <c r="IT336" s="32"/>
      <c r="IU336" s="32"/>
      <c r="IV336" s="32"/>
      <c r="IW336" s="32"/>
      <c r="IX336" s="32"/>
      <c r="IY336" s="32"/>
      <c r="IZ336" s="32"/>
      <c r="JA336" s="32"/>
      <c r="JB336" s="32"/>
      <c r="JC336" s="32"/>
      <c r="JD336" s="32"/>
      <c r="JE336" s="32"/>
      <c r="JF336" s="32"/>
      <c r="JG336" s="32"/>
      <c r="JH336" s="32"/>
      <c r="JI336" s="32"/>
      <c r="JJ336" s="32"/>
      <c r="JK336" s="32"/>
      <c r="JL336" s="32"/>
      <c r="JM336" s="32"/>
      <c r="JN336" s="32"/>
      <c r="JO336" s="32"/>
      <c r="JP336" s="32"/>
      <c r="JQ336" s="32"/>
      <c r="JR336" s="32"/>
      <c r="JS336" s="32"/>
      <c r="JT336" s="32"/>
      <c r="JU336" s="32"/>
      <c r="JV336" s="32"/>
      <c r="JW336" s="32"/>
      <c r="JX336" s="32"/>
      <c r="JY336" s="32"/>
      <c r="JZ336" s="32"/>
      <c r="KA336" s="32"/>
      <c r="KB336" s="32"/>
      <c r="KC336" s="32"/>
      <c r="KD336" s="32"/>
      <c r="KE336" s="32"/>
      <c r="KF336" s="32"/>
      <c r="KG336" s="32"/>
      <c r="KH336" s="32"/>
      <c r="KI336" s="32"/>
      <c r="KJ336" s="32"/>
      <c r="KK336" s="32"/>
      <c r="KL336" s="32"/>
      <c r="KM336" s="32"/>
      <c r="KN336" s="32"/>
      <c r="KO336" s="32"/>
      <c r="KP336" s="32"/>
      <c r="KQ336" s="32"/>
      <c r="KR336" s="32"/>
      <c r="KS336" s="32"/>
      <c r="KT336" s="32"/>
      <c r="KU336" s="32"/>
      <c r="KV336" s="32"/>
      <c r="KW336" s="32"/>
      <c r="KX336" s="32"/>
      <c r="KY336" s="32"/>
      <c r="KZ336" s="32"/>
      <c r="LA336" s="32"/>
      <c r="LB336" s="32"/>
      <c r="LC336" s="32"/>
      <c r="LD336" s="32"/>
      <c r="LE336" s="32"/>
      <c r="LF336" s="32"/>
      <c r="LG336" s="32"/>
      <c r="LH336" s="32"/>
      <c r="LI336" s="32"/>
      <c r="LJ336" s="32"/>
      <c r="LK336" s="32"/>
      <c r="LL336" s="32"/>
      <c r="LM336" s="32"/>
      <c r="LN336" s="32"/>
      <c r="LO336" s="32"/>
      <c r="LP336" s="32"/>
      <c r="LQ336" s="32"/>
      <c r="LR336" s="32"/>
      <c r="LS336" s="32"/>
      <c r="LT336" s="32"/>
      <c r="LU336" s="32"/>
      <c r="LV336" s="32"/>
      <c r="LW336" s="32"/>
      <c r="LX336" s="32"/>
      <c r="LY336" s="32"/>
      <c r="LZ336" s="32"/>
      <c r="MA336" s="32"/>
      <c r="MB336" s="32"/>
      <c r="MC336" s="32"/>
      <c r="MD336" s="32"/>
      <c r="ME336" s="32"/>
      <c r="MF336" s="32"/>
      <c r="MG336" s="32"/>
      <c r="MH336" s="32"/>
      <c r="MI336" s="32"/>
      <c r="MJ336" s="32"/>
      <c r="MK336" s="32"/>
      <c r="ML336" s="32"/>
      <c r="MM336" s="32"/>
      <c r="MN336" s="32"/>
      <c r="MO336" s="32"/>
      <c r="MP336" s="32"/>
      <c r="MQ336" s="32"/>
      <c r="MR336" s="32"/>
      <c r="MS336" s="32"/>
      <c r="MT336" s="32"/>
      <c r="MU336" s="32"/>
      <c r="MV336" s="32"/>
      <c r="MW336" s="32"/>
      <c r="MX336" s="32"/>
      <c r="MY336" s="32"/>
      <c r="MZ336" s="32"/>
      <c r="NA336" s="32"/>
      <c r="NB336" s="32"/>
      <c r="NC336" s="32"/>
      <c r="ND336" s="32"/>
      <c r="NE336" s="32"/>
      <c r="NF336" s="32"/>
      <c r="NG336" s="32"/>
      <c r="NH336" s="32"/>
      <c r="NI336" s="32"/>
      <c r="NJ336" s="32"/>
      <c r="NK336" s="32"/>
      <c r="NL336" s="32"/>
      <c r="NM336" s="32"/>
      <c r="NN336" s="32"/>
      <c r="NO336" s="32"/>
      <c r="NP336" s="32"/>
      <c r="NQ336" s="32"/>
      <c r="NR336" s="32"/>
      <c r="NS336" s="32"/>
      <c r="NT336" s="32"/>
      <c r="NU336" s="32"/>
      <c r="NV336" s="32"/>
      <c r="NW336" s="32"/>
      <c r="NX336" s="32"/>
      <c r="NY336" s="32"/>
      <c r="NZ336" s="32"/>
      <c r="OA336" s="32"/>
      <c r="OB336" s="32"/>
      <c r="OC336" s="32"/>
      <c r="OD336" s="32"/>
      <c r="OE336" s="32"/>
      <c r="OF336" s="32"/>
      <c r="OG336" s="32"/>
      <c r="OH336" s="32"/>
      <c r="OI336" s="32"/>
      <c r="OJ336" s="32"/>
      <c r="OK336" s="32"/>
      <c r="OL336" s="32"/>
      <c r="OM336" s="32"/>
      <c r="ON336" s="32"/>
      <c r="OO336" s="32"/>
      <c r="OP336" s="32"/>
      <c r="OQ336" s="32"/>
      <c r="OR336" s="32"/>
      <c r="OS336" s="32"/>
      <c r="OT336" s="32"/>
      <c r="OU336" s="32"/>
      <c r="OV336" s="32"/>
      <c r="OW336" s="32"/>
      <c r="OX336" s="32"/>
      <c r="OY336" s="32"/>
      <c r="OZ336" s="32"/>
      <c r="PA336" s="32"/>
      <c r="PB336" s="32"/>
      <c r="PC336" s="32"/>
      <c r="PD336" s="32"/>
      <c r="PE336" s="32"/>
      <c r="PF336" s="32"/>
      <c r="PG336" s="32"/>
      <c r="PH336" s="32"/>
      <c r="PI336" s="32"/>
      <c r="PJ336" s="32"/>
      <c r="PK336" s="32"/>
      <c r="PL336" s="32"/>
      <c r="PM336" s="32"/>
      <c r="PN336" s="32"/>
      <c r="PO336" s="32"/>
      <c r="PP336" s="32"/>
      <c r="PQ336" s="32"/>
      <c r="PR336" s="32"/>
      <c r="PS336" s="32"/>
      <c r="PT336" s="32"/>
      <c r="PU336" s="32"/>
      <c r="PV336" s="32"/>
      <c r="PW336" s="32"/>
      <c r="PX336" s="32"/>
      <c r="PY336" s="32"/>
      <c r="PZ336" s="32"/>
      <c r="QA336" s="32"/>
      <c r="QB336" s="32"/>
      <c r="QC336" s="32"/>
      <c r="QD336" s="32"/>
      <c r="QE336" s="32"/>
      <c r="QF336" s="32"/>
      <c r="QG336" s="32"/>
      <c r="QH336" s="32"/>
      <c r="QI336" s="32"/>
      <c r="QJ336" s="32"/>
      <c r="QK336" s="32"/>
      <c r="QL336" s="32"/>
      <c r="QM336" s="32"/>
      <c r="QN336" s="32"/>
      <c r="QO336" s="32"/>
      <c r="QP336" s="32"/>
      <c r="QQ336" s="32"/>
      <c r="QR336" s="32"/>
      <c r="QS336" s="32"/>
      <c r="QT336" s="32"/>
      <c r="QU336" s="32"/>
      <c r="QV336" s="32"/>
      <c r="QW336" s="32"/>
      <c r="QX336" s="32"/>
      <c r="QY336" s="32"/>
      <c r="QZ336" s="32"/>
      <c r="RA336" s="32"/>
      <c r="RB336" s="32"/>
      <c r="RC336" s="32"/>
      <c r="RD336" s="32"/>
      <c r="RE336" s="32"/>
      <c r="RF336" s="32"/>
      <c r="RG336" s="32"/>
      <c r="RH336" s="32"/>
      <c r="RI336" s="32"/>
      <c r="RJ336" s="32"/>
      <c r="RK336" s="32"/>
      <c r="RL336" s="32"/>
      <c r="RM336" s="32"/>
      <c r="RN336" s="32"/>
      <c r="RO336" s="32"/>
      <c r="RP336" s="32"/>
      <c r="RQ336" s="32"/>
      <c r="RR336" s="32"/>
      <c r="RS336" s="32"/>
      <c r="RT336" s="32"/>
      <c r="RU336" s="32"/>
      <c r="RV336" s="32"/>
      <c r="RW336" s="32"/>
      <c r="RX336" s="32"/>
      <c r="RY336" s="32"/>
      <c r="RZ336" s="32"/>
      <c r="SA336" s="32"/>
      <c r="SB336" s="32"/>
      <c r="SC336" s="32"/>
      <c r="SD336" s="32"/>
      <c r="SE336" s="32"/>
      <c r="SF336" s="32"/>
      <c r="SG336" s="32"/>
      <c r="SH336" s="32"/>
      <c r="SI336" s="32"/>
      <c r="SJ336" s="32"/>
      <c r="SK336" s="32"/>
      <c r="SL336" s="32"/>
      <c r="SM336" s="32"/>
      <c r="SN336" s="32"/>
      <c r="SO336" s="32"/>
      <c r="SP336" s="32"/>
      <c r="SQ336" s="32"/>
      <c r="SR336" s="32"/>
      <c r="SS336" s="32"/>
      <c r="ST336" s="32"/>
      <c r="SU336" s="32"/>
      <c r="SV336" s="32"/>
      <c r="SW336" s="32"/>
      <c r="SX336" s="32"/>
      <c r="SY336" s="32"/>
      <c r="SZ336" s="32"/>
      <c r="TA336" s="32"/>
      <c r="TB336" s="32"/>
      <c r="TC336" s="32"/>
      <c r="TD336" s="32"/>
      <c r="TE336" s="32"/>
    </row>
    <row r="337" spans="1:525" s="27" customFormat="1" ht="32.25" hidden="1" customHeight="1" x14ac:dyDescent="0.25">
      <c r="A337" s="61"/>
      <c r="B337" s="62"/>
      <c r="C337" s="63"/>
      <c r="D337" s="64"/>
      <c r="E337" s="150">
        <f>E335-'дод 5'!D262</f>
        <v>0</v>
      </c>
      <c r="F337" s="150">
        <f>F335-'дод 5'!E262</f>
        <v>0</v>
      </c>
      <c r="G337" s="150">
        <f>G335-'дод 5'!F262</f>
        <v>0</v>
      </c>
      <c r="H337" s="150">
        <f>H335-'дод 5'!G262</f>
        <v>0</v>
      </c>
      <c r="I337" s="150">
        <f>I335-'дод 5'!H262</f>
        <v>0</v>
      </c>
      <c r="J337" s="150">
        <f>J335-'дод 5'!I262</f>
        <v>0</v>
      </c>
      <c r="K337" s="150">
        <f>K335-'дод 5'!J262</f>
        <v>0</v>
      </c>
      <c r="L337" s="150">
        <f>L335-'дод 5'!K262</f>
        <v>0</v>
      </c>
      <c r="M337" s="150">
        <f>M335-'дод 5'!L262</f>
        <v>0</v>
      </c>
      <c r="N337" s="150">
        <f>N335-'дод 5'!M262</f>
        <v>0</v>
      </c>
      <c r="O337" s="150">
        <f>O335-'дод 5'!N262</f>
        <v>0</v>
      </c>
      <c r="P337" s="150">
        <f>P335-'дод 5'!O262</f>
        <v>0</v>
      </c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  <c r="SQ337" s="32"/>
      <c r="SR337" s="32"/>
      <c r="SS337" s="32"/>
      <c r="ST337" s="32"/>
      <c r="SU337" s="32"/>
      <c r="SV337" s="32"/>
      <c r="SW337" s="32"/>
      <c r="SX337" s="32"/>
      <c r="SY337" s="32"/>
      <c r="SZ337" s="32"/>
      <c r="TA337" s="32"/>
      <c r="TB337" s="32"/>
      <c r="TC337" s="32"/>
      <c r="TD337" s="32"/>
      <c r="TE337" s="32"/>
    </row>
    <row r="338" spans="1:525" s="27" customFormat="1" ht="30" hidden="1" customHeight="1" x14ac:dyDescent="0.25">
      <c r="A338" s="61"/>
      <c r="B338" s="62"/>
      <c r="C338" s="63"/>
      <c r="D338" s="64"/>
      <c r="E338" s="150"/>
      <c r="F338" s="151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</row>
    <row r="339" spans="1:525" s="27" customFormat="1" ht="27" customHeight="1" x14ac:dyDescent="0.25">
      <c r="A339" s="61"/>
      <c r="B339" s="62"/>
      <c r="C339" s="63"/>
      <c r="D339" s="64"/>
      <c r="E339" s="150"/>
      <c r="F339" s="151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  <c r="SQ339" s="32"/>
      <c r="SR339" s="32"/>
      <c r="SS339" s="32"/>
      <c r="ST339" s="32"/>
      <c r="SU339" s="32"/>
      <c r="SV339" s="32"/>
      <c r="SW339" s="32"/>
      <c r="SX339" s="32"/>
      <c r="SY339" s="32"/>
      <c r="SZ339" s="32"/>
      <c r="TA339" s="32"/>
      <c r="TB339" s="32"/>
      <c r="TC339" s="32"/>
      <c r="TD339" s="32"/>
      <c r="TE339" s="32"/>
    </row>
    <row r="340" spans="1:525" s="27" customFormat="1" ht="24.75" customHeight="1" x14ac:dyDescent="0.25">
      <c r="A340" s="61"/>
      <c r="B340" s="62"/>
      <c r="C340" s="63"/>
      <c r="D340" s="64"/>
      <c r="E340" s="150"/>
      <c r="F340" s="151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  <c r="SQ340" s="32"/>
      <c r="SR340" s="32"/>
      <c r="SS340" s="32"/>
      <c r="ST340" s="32"/>
      <c r="SU340" s="32"/>
      <c r="SV340" s="32"/>
      <c r="SW340" s="32"/>
      <c r="SX340" s="32"/>
      <c r="SY340" s="32"/>
      <c r="SZ340" s="32"/>
      <c r="TA340" s="32"/>
      <c r="TB340" s="32"/>
      <c r="TC340" s="32"/>
      <c r="TD340" s="32"/>
      <c r="TE340" s="32"/>
    </row>
    <row r="341" spans="1:525" s="121" customFormat="1" ht="45" customHeight="1" x14ac:dyDescent="0.55000000000000004">
      <c r="A341" s="118" t="s">
        <v>569</v>
      </c>
      <c r="B341" s="119"/>
      <c r="C341" s="120"/>
      <c r="D341" s="114"/>
      <c r="E341" s="150"/>
      <c r="F341" s="151"/>
      <c r="G341" s="114"/>
      <c r="H341" s="114"/>
      <c r="I341" s="114"/>
      <c r="J341" s="114"/>
      <c r="K341" s="152"/>
      <c r="L341" s="152"/>
      <c r="M341" s="114"/>
      <c r="N341" s="114" t="s">
        <v>571</v>
      </c>
      <c r="O341" s="153"/>
      <c r="P341" s="153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122"/>
      <c r="AS341" s="122"/>
      <c r="AT341" s="122"/>
      <c r="AU341" s="122"/>
      <c r="AV341" s="122"/>
      <c r="AW341" s="122"/>
      <c r="AX341" s="122"/>
      <c r="AY341" s="122"/>
      <c r="AZ341" s="122"/>
      <c r="BA341" s="122"/>
      <c r="BB341" s="122"/>
      <c r="BC341" s="122"/>
      <c r="BD341" s="122"/>
      <c r="BE341" s="122"/>
      <c r="BF341" s="122"/>
      <c r="BG341" s="122"/>
      <c r="BH341" s="122"/>
      <c r="BI341" s="122"/>
      <c r="BJ341" s="122"/>
      <c r="BK341" s="122"/>
      <c r="BL341" s="122"/>
      <c r="BM341" s="122"/>
      <c r="BN341" s="122"/>
      <c r="BO341" s="122"/>
      <c r="BP341" s="122"/>
      <c r="BQ341" s="122"/>
      <c r="BR341" s="122"/>
      <c r="BS341" s="122"/>
      <c r="BT341" s="122"/>
      <c r="BU341" s="122"/>
      <c r="BV341" s="122"/>
      <c r="BW341" s="122"/>
      <c r="BX341" s="122"/>
      <c r="BY341" s="122"/>
      <c r="BZ341" s="122"/>
      <c r="CA341" s="122"/>
      <c r="CB341" s="122"/>
      <c r="CC341" s="122"/>
      <c r="CD341" s="122"/>
      <c r="CE341" s="122"/>
      <c r="CF341" s="122"/>
      <c r="CG341" s="122"/>
      <c r="CH341" s="122"/>
      <c r="CI341" s="122"/>
      <c r="CJ341" s="122"/>
      <c r="CK341" s="122"/>
      <c r="CL341" s="122"/>
      <c r="CM341" s="122"/>
      <c r="CN341" s="122"/>
      <c r="CO341" s="122"/>
      <c r="CP341" s="122"/>
      <c r="CQ341" s="122"/>
      <c r="CR341" s="122"/>
      <c r="CS341" s="122"/>
      <c r="CT341" s="122"/>
      <c r="CU341" s="122"/>
      <c r="CV341" s="122"/>
      <c r="CW341" s="122"/>
      <c r="CX341" s="122"/>
      <c r="CY341" s="122"/>
      <c r="CZ341" s="122"/>
      <c r="DA341" s="122"/>
      <c r="DB341" s="122"/>
      <c r="DC341" s="122"/>
      <c r="DD341" s="122"/>
      <c r="DE341" s="122"/>
      <c r="DF341" s="122"/>
      <c r="DG341" s="122"/>
      <c r="DH341" s="122"/>
      <c r="DI341" s="122"/>
      <c r="DJ341" s="122"/>
      <c r="DK341" s="122"/>
      <c r="DL341" s="122"/>
      <c r="DM341" s="122"/>
      <c r="DN341" s="122"/>
      <c r="DO341" s="122"/>
      <c r="DP341" s="122"/>
      <c r="DQ341" s="122"/>
      <c r="DR341" s="122"/>
      <c r="DS341" s="122"/>
      <c r="DT341" s="122"/>
      <c r="DU341" s="122"/>
      <c r="DV341" s="122"/>
      <c r="DW341" s="122"/>
      <c r="DX341" s="122"/>
      <c r="DY341" s="122"/>
      <c r="DZ341" s="122"/>
      <c r="EA341" s="122"/>
      <c r="EB341" s="122"/>
      <c r="EC341" s="122"/>
      <c r="ED341" s="122"/>
      <c r="EE341" s="122"/>
      <c r="EF341" s="122"/>
      <c r="EG341" s="122"/>
      <c r="EH341" s="122"/>
      <c r="EI341" s="122"/>
      <c r="EJ341" s="122"/>
      <c r="EK341" s="122"/>
      <c r="EL341" s="122"/>
      <c r="EM341" s="122"/>
      <c r="EN341" s="122"/>
      <c r="EO341" s="122"/>
      <c r="EP341" s="122"/>
      <c r="EQ341" s="122"/>
      <c r="ER341" s="122"/>
      <c r="ES341" s="122"/>
      <c r="ET341" s="122"/>
      <c r="EU341" s="122"/>
      <c r="EV341" s="122"/>
      <c r="EW341" s="122"/>
      <c r="EX341" s="122"/>
      <c r="EY341" s="122"/>
      <c r="EZ341" s="122"/>
      <c r="FA341" s="122"/>
      <c r="FB341" s="122"/>
      <c r="FC341" s="122"/>
      <c r="FD341" s="122"/>
      <c r="FE341" s="122"/>
      <c r="FF341" s="122"/>
      <c r="FG341" s="122"/>
      <c r="FH341" s="122"/>
      <c r="FI341" s="122"/>
      <c r="FJ341" s="122"/>
      <c r="FK341" s="122"/>
      <c r="FL341" s="122"/>
      <c r="FM341" s="122"/>
      <c r="FN341" s="122"/>
      <c r="FO341" s="122"/>
      <c r="FP341" s="122"/>
      <c r="FQ341" s="122"/>
      <c r="FR341" s="122"/>
      <c r="FS341" s="122"/>
      <c r="FT341" s="122"/>
      <c r="FU341" s="122"/>
      <c r="FV341" s="122"/>
      <c r="FW341" s="122"/>
      <c r="FX341" s="122"/>
      <c r="FY341" s="122"/>
      <c r="FZ341" s="122"/>
      <c r="GA341" s="122"/>
      <c r="GB341" s="122"/>
      <c r="GC341" s="122"/>
      <c r="GD341" s="122"/>
      <c r="GE341" s="122"/>
      <c r="GF341" s="122"/>
      <c r="GG341" s="122"/>
      <c r="GH341" s="122"/>
      <c r="GI341" s="122"/>
      <c r="GJ341" s="122"/>
      <c r="GK341" s="122"/>
      <c r="GL341" s="122"/>
      <c r="GM341" s="122"/>
      <c r="GN341" s="122"/>
      <c r="GO341" s="122"/>
      <c r="GP341" s="122"/>
      <c r="GQ341" s="122"/>
      <c r="GR341" s="122"/>
      <c r="GS341" s="122"/>
      <c r="GT341" s="122"/>
      <c r="GU341" s="122"/>
      <c r="GV341" s="122"/>
      <c r="GW341" s="122"/>
      <c r="GX341" s="122"/>
      <c r="GY341" s="122"/>
      <c r="GZ341" s="122"/>
      <c r="HA341" s="122"/>
      <c r="HB341" s="122"/>
      <c r="HC341" s="122"/>
      <c r="HD341" s="122"/>
      <c r="HE341" s="122"/>
      <c r="HF341" s="122"/>
      <c r="HG341" s="122"/>
      <c r="HH341" s="122"/>
      <c r="HI341" s="122"/>
      <c r="HJ341" s="122"/>
      <c r="HK341" s="122"/>
      <c r="HL341" s="122"/>
      <c r="HM341" s="122"/>
      <c r="HN341" s="122"/>
      <c r="HO341" s="122"/>
      <c r="HP341" s="122"/>
      <c r="HQ341" s="122"/>
      <c r="HR341" s="122"/>
      <c r="HS341" s="122"/>
      <c r="HT341" s="122"/>
      <c r="HU341" s="122"/>
      <c r="HV341" s="122"/>
      <c r="HW341" s="122"/>
      <c r="HX341" s="122"/>
      <c r="HY341" s="122"/>
      <c r="HZ341" s="122"/>
      <c r="IA341" s="122"/>
      <c r="IB341" s="122"/>
      <c r="IC341" s="122"/>
      <c r="ID341" s="122"/>
      <c r="IE341" s="122"/>
      <c r="IF341" s="122"/>
      <c r="IG341" s="122"/>
      <c r="IH341" s="122"/>
      <c r="II341" s="122"/>
      <c r="IJ341" s="122"/>
      <c r="IK341" s="122"/>
      <c r="IL341" s="122"/>
      <c r="IM341" s="122"/>
      <c r="IN341" s="122"/>
      <c r="IO341" s="122"/>
      <c r="IP341" s="122"/>
      <c r="IQ341" s="122"/>
      <c r="IR341" s="122"/>
      <c r="IS341" s="122"/>
      <c r="IT341" s="122"/>
      <c r="IU341" s="122"/>
      <c r="IV341" s="122"/>
      <c r="IW341" s="122"/>
      <c r="IX341" s="122"/>
      <c r="IY341" s="122"/>
      <c r="IZ341" s="122"/>
      <c r="JA341" s="122"/>
      <c r="JB341" s="122"/>
      <c r="JC341" s="122"/>
      <c r="JD341" s="122"/>
      <c r="JE341" s="122"/>
      <c r="JF341" s="122"/>
      <c r="JG341" s="122"/>
      <c r="JH341" s="122"/>
      <c r="JI341" s="122"/>
      <c r="JJ341" s="122"/>
      <c r="JK341" s="122"/>
      <c r="JL341" s="122"/>
      <c r="JM341" s="122"/>
      <c r="JN341" s="122"/>
      <c r="JO341" s="122"/>
      <c r="JP341" s="122"/>
      <c r="JQ341" s="122"/>
      <c r="JR341" s="122"/>
      <c r="JS341" s="122"/>
      <c r="JT341" s="122"/>
      <c r="JU341" s="122"/>
      <c r="JV341" s="122"/>
      <c r="JW341" s="122"/>
      <c r="JX341" s="122"/>
      <c r="JY341" s="122"/>
      <c r="JZ341" s="122"/>
      <c r="KA341" s="122"/>
      <c r="KB341" s="122"/>
      <c r="KC341" s="122"/>
      <c r="KD341" s="122"/>
      <c r="KE341" s="122"/>
      <c r="KF341" s="122"/>
      <c r="KG341" s="122"/>
      <c r="KH341" s="122"/>
      <c r="KI341" s="122"/>
      <c r="KJ341" s="122"/>
      <c r="KK341" s="122"/>
      <c r="KL341" s="122"/>
      <c r="KM341" s="122"/>
      <c r="KN341" s="122"/>
      <c r="KO341" s="122"/>
      <c r="KP341" s="122"/>
      <c r="KQ341" s="122"/>
      <c r="KR341" s="122"/>
      <c r="KS341" s="122"/>
      <c r="KT341" s="122"/>
      <c r="KU341" s="122"/>
      <c r="KV341" s="122"/>
      <c r="KW341" s="122"/>
      <c r="KX341" s="122"/>
      <c r="KY341" s="122"/>
      <c r="KZ341" s="122"/>
      <c r="LA341" s="122"/>
      <c r="LB341" s="122"/>
      <c r="LC341" s="122"/>
      <c r="LD341" s="122"/>
      <c r="LE341" s="122"/>
      <c r="LF341" s="122"/>
      <c r="LG341" s="122"/>
      <c r="LH341" s="122"/>
      <c r="LI341" s="122"/>
      <c r="LJ341" s="122"/>
      <c r="LK341" s="122"/>
      <c r="LL341" s="122"/>
      <c r="LM341" s="122"/>
      <c r="LN341" s="122"/>
      <c r="LO341" s="122"/>
      <c r="LP341" s="122"/>
      <c r="LQ341" s="122"/>
      <c r="LR341" s="122"/>
      <c r="LS341" s="122"/>
      <c r="LT341" s="122"/>
      <c r="LU341" s="122"/>
      <c r="LV341" s="122"/>
      <c r="LW341" s="122"/>
      <c r="LX341" s="122"/>
      <c r="LY341" s="122"/>
      <c r="LZ341" s="122"/>
      <c r="MA341" s="122"/>
      <c r="MB341" s="122"/>
      <c r="MC341" s="122"/>
      <c r="MD341" s="122"/>
      <c r="ME341" s="122"/>
      <c r="MF341" s="122"/>
      <c r="MG341" s="122"/>
      <c r="MH341" s="122"/>
      <c r="MI341" s="122"/>
      <c r="MJ341" s="122"/>
      <c r="MK341" s="122"/>
      <c r="ML341" s="122"/>
      <c r="MM341" s="122"/>
      <c r="MN341" s="122"/>
      <c r="MO341" s="122"/>
      <c r="MP341" s="122"/>
      <c r="MQ341" s="122"/>
      <c r="MR341" s="122"/>
      <c r="MS341" s="122"/>
      <c r="MT341" s="122"/>
      <c r="MU341" s="122"/>
      <c r="MV341" s="122"/>
      <c r="MW341" s="122"/>
      <c r="MX341" s="122"/>
      <c r="MY341" s="122"/>
      <c r="MZ341" s="122"/>
      <c r="NA341" s="122"/>
      <c r="NB341" s="122"/>
      <c r="NC341" s="122"/>
      <c r="ND341" s="122"/>
      <c r="NE341" s="122"/>
      <c r="NF341" s="122"/>
      <c r="NG341" s="122"/>
      <c r="NH341" s="122"/>
      <c r="NI341" s="122"/>
      <c r="NJ341" s="122"/>
      <c r="NK341" s="122"/>
      <c r="NL341" s="122"/>
      <c r="NM341" s="122"/>
      <c r="NN341" s="122"/>
      <c r="NO341" s="122"/>
      <c r="NP341" s="122"/>
      <c r="NQ341" s="122"/>
      <c r="NR341" s="122"/>
      <c r="NS341" s="122"/>
      <c r="NT341" s="122"/>
      <c r="NU341" s="122"/>
      <c r="NV341" s="122"/>
      <c r="NW341" s="122"/>
      <c r="NX341" s="122"/>
      <c r="NY341" s="122"/>
      <c r="NZ341" s="122"/>
      <c r="OA341" s="122"/>
      <c r="OB341" s="122"/>
      <c r="OC341" s="122"/>
      <c r="OD341" s="122"/>
      <c r="OE341" s="122"/>
      <c r="OF341" s="122"/>
      <c r="OG341" s="122"/>
      <c r="OH341" s="122"/>
      <c r="OI341" s="122"/>
      <c r="OJ341" s="122"/>
      <c r="OK341" s="122"/>
      <c r="OL341" s="122"/>
      <c r="OM341" s="122"/>
      <c r="ON341" s="122"/>
      <c r="OO341" s="122"/>
      <c r="OP341" s="122"/>
      <c r="OQ341" s="122"/>
      <c r="OR341" s="122"/>
      <c r="OS341" s="122"/>
      <c r="OT341" s="122"/>
      <c r="OU341" s="122"/>
      <c r="OV341" s="122"/>
      <c r="OW341" s="122"/>
      <c r="OX341" s="122"/>
      <c r="OY341" s="122"/>
      <c r="OZ341" s="122"/>
      <c r="PA341" s="122"/>
      <c r="PB341" s="122"/>
      <c r="PC341" s="122"/>
      <c r="PD341" s="122"/>
      <c r="PE341" s="122"/>
      <c r="PF341" s="122"/>
      <c r="PG341" s="122"/>
      <c r="PH341" s="122"/>
      <c r="PI341" s="122"/>
      <c r="PJ341" s="122"/>
      <c r="PK341" s="122"/>
      <c r="PL341" s="122"/>
      <c r="PM341" s="122"/>
      <c r="PN341" s="122"/>
      <c r="PO341" s="122"/>
      <c r="PP341" s="122"/>
      <c r="PQ341" s="122"/>
      <c r="PR341" s="122"/>
      <c r="PS341" s="122"/>
      <c r="PT341" s="122"/>
      <c r="PU341" s="122"/>
      <c r="PV341" s="122"/>
      <c r="PW341" s="122"/>
      <c r="PX341" s="122"/>
      <c r="PY341" s="122"/>
      <c r="PZ341" s="122"/>
      <c r="QA341" s="122"/>
      <c r="QB341" s="122"/>
      <c r="QC341" s="122"/>
      <c r="QD341" s="122"/>
      <c r="QE341" s="122"/>
      <c r="QF341" s="122"/>
      <c r="QG341" s="122"/>
      <c r="QH341" s="122"/>
      <c r="QI341" s="122"/>
      <c r="QJ341" s="122"/>
      <c r="QK341" s="122"/>
      <c r="QL341" s="122"/>
      <c r="QM341" s="122"/>
      <c r="QN341" s="122"/>
      <c r="QO341" s="122"/>
      <c r="QP341" s="122"/>
      <c r="QQ341" s="122"/>
      <c r="QR341" s="122"/>
      <c r="QS341" s="122"/>
      <c r="QT341" s="122"/>
      <c r="QU341" s="122"/>
      <c r="QV341" s="122"/>
      <c r="QW341" s="122"/>
      <c r="QX341" s="122"/>
      <c r="QY341" s="122"/>
      <c r="QZ341" s="122"/>
      <c r="RA341" s="122"/>
      <c r="RB341" s="122"/>
      <c r="RC341" s="122"/>
      <c r="RD341" s="122"/>
      <c r="RE341" s="122"/>
      <c r="RF341" s="122"/>
      <c r="RG341" s="122"/>
      <c r="RH341" s="122"/>
      <c r="RI341" s="122"/>
      <c r="RJ341" s="122"/>
      <c r="RK341" s="122"/>
      <c r="RL341" s="122"/>
      <c r="RM341" s="122"/>
      <c r="RN341" s="122"/>
      <c r="RO341" s="122"/>
      <c r="RP341" s="122"/>
      <c r="RQ341" s="122"/>
      <c r="RR341" s="122"/>
      <c r="RS341" s="122"/>
      <c r="RT341" s="122"/>
      <c r="RU341" s="122"/>
      <c r="RV341" s="122"/>
      <c r="RW341" s="122"/>
      <c r="RX341" s="122"/>
      <c r="RY341" s="122"/>
      <c r="RZ341" s="122"/>
      <c r="SA341" s="122"/>
      <c r="SB341" s="122"/>
      <c r="SC341" s="122"/>
      <c r="SD341" s="122"/>
      <c r="SE341" s="122"/>
      <c r="SF341" s="122"/>
      <c r="SG341" s="122"/>
      <c r="SH341" s="122"/>
      <c r="SI341" s="122"/>
      <c r="SJ341" s="122"/>
      <c r="SK341" s="122"/>
      <c r="SL341" s="122"/>
      <c r="SM341" s="122"/>
      <c r="SN341" s="122"/>
      <c r="SO341" s="122"/>
      <c r="SP341" s="122"/>
      <c r="SQ341" s="122"/>
      <c r="SR341" s="122"/>
      <c r="SS341" s="122"/>
      <c r="ST341" s="122"/>
      <c r="SU341" s="122"/>
      <c r="SV341" s="122"/>
      <c r="SW341" s="122"/>
      <c r="SX341" s="122"/>
      <c r="SY341" s="122"/>
      <c r="SZ341" s="122"/>
      <c r="TA341" s="122"/>
      <c r="TB341" s="122"/>
      <c r="TC341" s="122"/>
      <c r="TD341" s="122"/>
      <c r="TE341" s="122"/>
    </row>
    <row r="342" spans="1:525" s="28" customFormat="1" ht="18.75" customHeight="1" x14ac:dyDescent="0.25">
      <c r="A342" s="53"/>
      <c r="B342" s="58"/>
      <c r="C342" s="58"/>
      <c r="D342" s="35"/>
      <c r="E342" s="150"/>
      <c r="F342" s="151"/>
      <c r="G342" s="132"/>
      <c r="H342" s="132"/>
      <c r="I342" s="132"/>
      <c r="J342" s="132"/>
      <c r="K342" s="132"/>
      <c r="L342" s="132"/>
      <c r="M342" s="132"/>
      <c r="N342" s="132"/>
      <c r="O342" s="132"/>
      <c r="P342" s="154"/>
    </row>
    <row r="343" spans="1:525" s="116" customFormat="1" ht="41.25" customHeight="1" x14ac:dyDescent="0.45">
      <c r="A343" s="115" t="s">
        <v>620</v>
      </c>
      <c r="B343" s="115"/>
      <c r="C343" s="115"/>
      <c r="D343" s="115"/>
      <c r="E343" s="150"/>
      <c r="F343" s="151"/>
      <c r="G343" s="155"/>
      <c r="H343" s="155"/>
      <c r="I343" s="155"/>
      <c r="J343" s="155"/>
      <c r="K343" s="150"/>
      <c r="L343" s="155"/>
      <c r="M343" s="155"/>
      <c r="N343" s="155"/>
      <c r="O343" s="155"/>
      <c r="P343" s="155"/>
    </row>
    <row r="344" spans="1:525" s="107" customFormat="1" ht="26.25" x14ac:dyDescent="0.4">
      <c r="A344" s="175" t="s">
        <v>612</v>
      </c>
      <c r="B344" s="175"/>
      <c r="C344" s="175"/>
      <c r="D344" s="175"/>
      <c r="E344" s="156"/>
      <c r="F344" s="156"/>
      <c r="G344" s="156"/>
      <c r="H344" s="156"/>
      <c r="I344" s="156"/>
      <c r="J344" s="170"/>
      <c r="K344" s="170"/>
      <c r="L344" s="156"/>
      <c r="M344" s="156"/>
      <c r="N344" s="156"/>
      <c r="O344" s="156"/>
      <c r="P344" s="156"/>
    </row>
    <row r="345" spans="1:525" s="128" customFormat="1" ht="18.75" x14ac:dyDescent="0.3">
      <c r="A345" s="126"/>
      <c r="B345" s="126"/>
      <c r="C345" s="126"/>
      <c r="D345" s="127"/>
      <c r="E345" s="157">
        <f>E332-'дод 5'!D259</f>
        <v>0</v>
      </c>
      <c r="F345" s="157">
        <f>F332-'дод 5'!E259</f>
        <v>0</v>
      </c>
      <c r="G345" s="157">
        <f>G332-'дод 5'!F259</f>
        <v>0</v>
      </c>
      <c r="H345" s="157">
        <f>H332-'дод 5'!G259</f>
        <v>0</v>
      </c>
      <c r="I345" s="157">
        <f>I332-'дод 5'!H259</f>
        <v>0</v>
      </c>
      <c r="J345" s="157">
        <f>J332-'дод 5'!I259</f>
        <v>0</v>
      </c>
      <c r="K345" s="157">
        <f>K332-'дод 5'!J259</f>
        <v>0</v>
      </c>
      <c r="L345" s="157">
        <f>L332-'дод 5'!K259</f>
        <v>0</v>
      </c>
      <c r="M345" s="157">
        <f>M332-'дод 5'!L259</f>
        <v>0</v>
      </c>
      <c r="N345" s="157">
        <f>N332-'дод 5'!M259</f>
        <v>0</v>
      </c>
      <c r="O345" s="157">
        <f>O332-'дод 5'!N259</f>
        <v>0</v>
      </c>
      <c r="P345" s="157">
        <f>P332-'дод 5'!O259</f>
        <v>0</v>
      </c>
    </row>
    <row r="346" spans="1:525" s="128" customFormat="1" ht="18.75" x14ac:dyDescent="0.3">
      <c r="A346" s="126"/>
      <c r="B346" s="126"/>
      <c r="C346" s="126"/>
      <c r="D346" s="127"/>
      <c r="E346" s="157">
        <f>E333-'дод 5'!D260</f>
        <v>0</v>
      </c>
      <c r="F346" s="157">
        <f>F333-'дод 5'!E260</f>
        <v>0</v>
      </c>
      <c r="G346" s="157">
        <f>G333-'дод 5'!F260</f>
        <v>0</v>
      </c>
      <c r="H346" s="157">
        <f>H333-'дод 5'!G260</f>
        <v>0</v>
      </c>
      <c r="I346" s="157">
        <f>I333-'дод 5'!H260</f>
        <v>0</v>
      </c>
      <c r="J346" s="157">
        <f>J333-'дод 5'!I260</f>
        <v>0</v>
      </c>
      <c r="K346" s="157">
        <f>K333-'дод 5'!J260</f>
        <v>0</v>
      </c>
      <c r="L346" s="157">
        <f>L333-'дод 5'!K260</f>
        <v>0</v>
      </c>
      <c r="M346" s="157">
        <f>M333-'дод 5'!L260</f>
        <v>0</v>
      </c>
      <c r="N346" s="157">
        <f>N333-'дод 5'!M260</f>
        <v>0</v>
      </c>
      <c r="O346" s="157">
        <f>O333-'дод 5'!N260</f>
        <v>0</v>
      </c>
      <c r="P346" s="157">
        <f>P333-'дод 5'!O260</f>
        <v>0</v>
      </c>
    </row>
    <row r="347" spans="1:525" s="128" customFormat="1" ht="18.75" x14ac:dyDescent="0.3">
      <c r="A347" s="126"/>
      <c r="B347" s="126"/>
      <c r="C347" s="126"/>
      <c r="D347" s="127"/>
      <c r="E347" s="157">
        <f>E334-'дод 5'!D261</f>
        <v>0</v>
      </c>
      <c r="F347" s="157">
        <f>F334-'дод 5'!E261</f>
        <v>0</v>
      </c>
      <c r="G347" s="157">
        <f>G334-'дод 5'!F261</f>
        <v>0</v>
      </c>
      <c r="H347" s="157">
        <f>H334-'дод 5'!G261</f>
        <v>0</v>
      </c>
      <c r="I347" s="157">
        <f>I334-'дод 5'!H261</f>
        <v>0</v>
      </c>
      <c r="J347" s="157">
        <f>J334-'дод 5'!I261</f>
        <v>0</v>
      </c>
      <c r="K347" s="157">
        <f>K334-'дод 5'!J261</f>
        <v>0</v>
      </c>
      <c r="L347" s="157">
        <f>L334-'дод 5'!K261</f>
        <v>0</v>
      </c>
      <c r="M347" s="157">
        <f>M334-'дод 5'!L261</f>
        <v>0</v>
      </c>
      <c r="N347" s="157">
        <f>N334-'дод 5'!M261</f>
        <v>0</v>
      </c>
      <c r="O347" s="157">
        <f>O334-'дод 5'!N261</f>
        <v>0</v>
      </c>
      <c r="P347" s="157">
        <f>P334-'дод 5'!O261</f>
        <v>0</v>
      </c>
    </row>
    <row r="348" spans="1:525" s="128" customFormat="1" ht="18.75" x14ac:dyDescent="0.3">
      <c r="A348" s="126"/>
      <c r="B348" s="126"/>
      <c r="C348" s="126"/>
      <c r="D348" s="127"/>
      <c r="E348" s="157">
        <f>E335-'дод 5'!D262</f>
        <v>0</v>
      </c>
      <c r="F348" s="157">
        <f>F335-'дод 5'!E262</f>
        <v>0</v>
      </c>
      <c r="G348" s="157">
        <f>G335-'дод 5'!F262</f>
        <v>0</v>
      </c>
      <c r="H348" s="157">
        <f>H335-'дод 5'!G262</f>
        <v>0</v>
      </c>
      <c r="I348" s="157">
        <f>I335-'дод 5'!H262</f>
        <v>0</v>
      </c>
      <c r="J348" s="157">
        <f>J335-'дод 5'!I262</f>
        <v>0</v>
      </c>
      <c r="K348" s="157">
        <f>K335-'дод 5'!J262</f>
        <v>0</v>
      </c>
      <c r="L348" s="157">
        <f>L335-'дод 5'!K262</f>
        <v>0</v>
      </c>
      <c r="M348" s="157">
        <f>M335-'дод 5'!L262</f>
        <v>0</v>
      </c>
      <c r="N348" s="157">
        <f>N335-'дод 5'!M262</f>
        <v>0</v>
      </c>
      <c r="O348" s="157">
        <f>O335-'дод 5'!N262</f>
        <v>0</v>
      </c>
      <c r="P348" s="157">
        <f>P335-'дод 5'!O262</f>
        <v>0</v>
      </c>
    </row>
    <row r="349" spans="1:525" s="131" customFormat="1" x14ac:dyDescent="0.25">
      <c r="A349" s="129"/>
      <c r="B349" s="129"/>
      <c r="C349" s="129"/>
      <c r="D349" s="130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54"/>
    </row>
    <row r="350" spans="1:525" s="28" customFormat="1" x14ac:dyDescent="0.25">
      <c r="A350" s="53"/>
      <c r="B350" s="58"/>
      <c r="C350" s="58"/>
      <c r="D350" s="35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54"/>
    </row>
    <row r="351" spans="1:525" s="28" customFormat="1" x14ac:dyDescent="0.25">
      <c r="A351" s="53"/>
      <c r="B351" s="58"/>
      <c r="C351" s="58"/>
      <c r="D351" s="35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54"/>
    </row>
    <row r="352" spans="1:525" s="28" customFormat="1" x14ac:dyDescent="0.25">
      <c r="A352" s="53"/>
      <c r="B352" s="58"/>
      <c r="C352" s="58"/>
      <c r="D352" s="35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54"/>
    </row>
    <row r="353" spans="1:16" s="28" customFormat="1" x14ac:dyDescent="0.25">
      <c r="A353" s="53"/>
      <c r="B353" s="58"/>
      <c r="C353" s="58"/>
      <c r="D353" s="35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54"/>
    </row>
    <row r="354" spans="1:16" s="28" customFormat="1" x14ac:dyDescent="0.25">
      <c r="A354" s="53"/>
      <c r="B354" s="58"/>
      <c r="C354" s="58"/>
      <c r="D354" s="35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54"/>
    </row>
    <row r="355" spans="1:16" s="28" customFormat="1" x14ac:dyDescent="0.25">
      <c r="A355" s="53"/>
      <c r="B355" s="58"/>
      <c r="C355" s="58"/>
      <c r="D355" s="35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54"/>
    </row>
    <row r="356" spans="1:16" s="28" customFormat="1" x14ac:dyDescent="0.25">
      <c r="A356" s="53"/>
      <c r="B356" s="58"/>
      <c r="C356" s="58"/>
      <c r="D356" s="35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54"/>
    </row>
    <row r="357" spans="1:16" s="28" customFormat="1" x14ac:dyDescent="0.25">
      <c r="A357" s="53"/>
      <c r="B357" s="58"/>
      <c r="C357" s="58"/>
      <c r="D357" s="35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54"/>
    </row>
    <row r="358" spans="1:16" s="28" customFormat="1" x14ac:dyDescent="0.25">
      <c r="A358" s="53"/>
      <c r="B358" s="58"/>
      <c r="C358" s="58"/>
      <c r="D358" s="35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54"/>
    </row>
    <row r="359" spans="1:16" s="28" customFormat="1" x14ac:dyDescent="0.25">
      <c r="A359" s="53"/>
      <c r="B359" s="58"/>
      <c r="C359" s="58"/>
      <c r="D359" s="35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54"/>
    </row>
    <row r="360" spans="1:16" s="28" customFormat="1" x14ac:dyDescent="0.25">
      <c r="A360" s="53"/>
      <c r="B360" s="58"/>
      <c r="C360" s="58"/>
      <c r="D360" s="35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54"/>
    </row>
    <row r="361" spans="1:16" s="28" customFormat="1" x14ac:dyDescent="0.25">
      <c r="A361" s="53"/>
      <c r="B361" s="58"/>
      <c r="C361" s="58"/>
      <c r="D361" s="35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54"/>
    </row>
    <row r="362" spans="1:16" s="28" customFormat="1" x14ac:dyDescent="0.25">
      <c r="A362" s="53"/>
      <c r="B362" s="58"/>
      <c r="C362" s="58"/>
      <c r="D362" s="35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54"/>
    </row>
    <row r="363" spans="1:16" s="28" customFormat="1" x14ac:dyDescent="0.25">
      <c r="A363" s="53"/>
      <c r="B363" s="58"/>
      <c r="C363" s="58"/>
      <c r="D363" s="35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54"/>
    </row>
    <row r="364" spans="1:16" s="28" customFormat="1" x14ac:dyDescent="0.25">
      <c r="A364" s="53"/>
      <c r="B364" s="58"/>
      <c r="C364" s="58"/>
      <c r="D364" s="35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54"/>
    </row>
    <row r="365" spans="1:16" s="28" customFormat="1" x14ac:dyDescent="0.25">
      <c r="A365" s="53"/>
      <c r="B365" s="58"/>
      <c r="C365" s="58"/>
      <c r="D365" s="35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54"/>
    </row>
    <row r="366" spans="1:16" s="28" customFormat="1" x14ac:dyDescent="0.25">
      <c r="A366" s="53"/>
      <c r="B366" s="58"/>
      <c r="C366" s="58"/>
      <c r="D366" s="35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54"/>
    </row>
    <row r="367" spans="1:16" s="28" customFormat="1" x14ac:dyDescent="0.25">
      <c r="A367" s="53"/>
      <c r="B367" s="58"/>
      <c r="C367" s="58"/>
      <c r="D367" s="35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54"/>
    </row>
    <row r="368" spans="1:16" s="28" customFormat="1" x14ac:dyDescent="0.25">
      <c r="A368" s="53"/>
      <c r="B368" s="58"/>
      <c r="C368" s="58"/>
      <c r="D368" s="35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54"/>
    </row>
    <row r="369" spans="1:16" s="28" customFormat="1" x14ac:dyDescent="0.25">
      <c r="A369" s="53"/>
      <c r="B369" s="58"/>
      <c r="C369" s="58"/>
      <c r="D369" s="35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54"/>
    </row>
    <row r="370" spans="1:16" s="28" customFormat="1" x14ac:dyDescent="0.25">
      <c r="A370" s="53"/>
      <c r="B370" s="58"/>
      <c r="C370" s="58"/>
      <c r="D370" s="35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54"/>
    </row>
    <row r="371" spans="1:16" s="28" customFormat="1" x14ac:dyDescent="0.25">
      <c r="A371" s="53"/>
      <c r="B371" s="58"/>
      <c r="C371" s="58"/>
      <c r="D371" s="35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54"/>
    </row>
    <row r="372" spans="1:16" s="28" customFormat="1" x14ac:dyDescent="0.25">
      <c r="A372" s="53"/>
      <c r="B372" s="58"/>
      <c r="C372" s="58"/>
      <c r="D372" s="35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54"/>
    </row>
    <row r="373" spans="1:16" s="28" customFormat="1" x14ac:dyDescent="0.25">
      <c r="A373" s="53"/>
      <c r="B373" s="58"/>
      <c r="C373" s="58"/>
      <c r="D373" s="35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54"/>
    </row>
    <row r="374" spans="1:16" s="28" customFormat="1" x14ac:dyDescent="0.25">
      <c r="A374" s="53"/>
      <c r="B374" s="58"/>
      <c r="C374" s="58"/>
      <c r="D374" s="35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54"/>
    </row>
    <row r="375" spans="1:16" s="28" customFormat="1" x14ac:dyDescent="0.25">
      <c r="A375" s="53"/>
      <c r="B375" s="58"/>
      <c r="C375" s="58"/>
      <c r="D375" s="35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54"/>
    </row>
    <row r="376" spans="1:16" s="28" customFormat="1" x14ac:dyDescent="0.25">
      <c r="A376" s="53"/>
      <c r="B376" s="58"/>
      <c r="C376" s="58"/>
      <c r="D376" s="35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54"/>
    </row>
    <row r="377" spans="1:16" s="28" customFormat="1" x14ac:dyDescent="0.25">
      <c r="A377" s="53"/>
      <c r="B377" s="58"/>
      <c r="C377" s="58"/>
      <c r="D377" s="35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54"/>
    </row>
    <row r="378" spans="1:16" s="28" customFormat="1" x14ac:dyDescent="0.25">
      <c r="A378" s="53"/>
      <c r="B378" s="58"/>
      <c r="C378" s="58"/>
      <c r="D378" s="35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54"/>
    </row>
    <row r="379" spans="1:16" s="28" customFormat="1" x14ac:dyDescent="0.25">
      <c r="A379" s="53"/>
      <c r="B379" s="58"/>
      <c r="C379" s="58"/>
      <c r="D379" s="35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54"/>
    </row>
    <row r="380" spans="1:16" s="28" customFormat="1" x14ac:dyDescent="0.25">
      <c r="A380" s="53"/>
      <c r="B380" s="58"/>
      <c r="C380" s="58"/>
      <c r="D380" s="35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54"/>
    </row>
    <row r="381" spans="1:16" s="28" customFormat="1" x14ac:dyDescent="0.25">
      <c r="A381" s="53"/>
      <c r="B381" s="58"/>
      <c r="C381" s="58"/>
      <c r="D381" s="35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54"/>
    </row>
    <row r="382" spans="1:16" s="28" customFormat="1" x14ac:dyDescent="0.25">
      <c r="A382" s="53"/>
      <c r="B382" s="58"/>
      <c r="C382" s="58"/>
      <c r="D382" s="35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54"/>
    </row>
    <row r="383" spans="1:16" s="28" customFormat="1" x14ac:dyDescent="0.25">
      <c r="A383" s="53"/>
      <c r="B383" s="58"/>
      <c r="C383" s="58"/>
      <c r="D383" s="35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54"/>
    </row>
    <row r="384" spans="1:16" s="28" customFormat="1" x14ac:dyDescent="0.25">
      <c r="A384" s="53"/>
      <c r="B384" s="58"/>
      <c r="C384" s="58"/>
      <c r="D384" s="35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54"/>
    </row>
    <row r="385" spans="1:16" s="28" customFormat="1" x14ac:dyDescent="0.25">
      <c r="A385" s="53"/>
      <c r="B385" s="58"/>
      <c r="C385" s="58"/>
      <c r="D385" s="35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54"/>
    </row>
    <row r="386" spans="1:16" s="28" customFormat="1" x14ac:dyDescent="0.25">
      <c r="A386" s="53"/>
      <c r="B386" s="58"/>
      <c r="C386" s="58"/>
      <c r="D386" s="35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54"/>
    </row>
    <row r="387" spans="1:16" s="28" customFormat="1" x14ac:dyDescent="0.25">
      <c r="A387" s="53"/>
      <c r="B387" s="58"/>
      <c r="C387" s="58"/>
      <c r="D387" s="35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54"/>
    </row>
    <row r="388" spans="1:16" s="28" customFormat="1" x14ac:dyDescent="0.25">
      <c r="A388" s="53"/>
      <c r="B388" s="58"/>
      <c r="C388" s="58"/>
      <c r="D388" s="35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54"/>
    </row>
    <row r="389" spans="1:16" s="28" customFormat="1" x14ac:dyDescent="0.25">
      <c r="A389" s="53"/>
      <c r="B389" s="58"/>
      <c r="C389" s="58"/>
      <c r="D389" s="35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54"/>
    </row>
    <row r="390" spans="1:16" s="28" customFormat="1" x14ac:dyDescent="0.25">
      <c r="A390" s="53"/>
      <c r="B390" s="58"/>
      <c r="C390" s="58"/>
      <c r="D390" s="35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54"/>
    </row>
    <row r="391" spans="1:16" s="28" customFormat="1" x14ac:dyDescent="0.25">
      <c r="A391" s="53"/>
      <c r="B391" s="58"/>
      <c r="C391" s="58"/>
      <c r="D391" s="35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54"/>
    </row>
    <row r="392" spans="1:16" s="28" customFormat="1" x14ac:dyDescent="0.25">
      <c r="A392" s="53"/>
      <c r="B392" s="58"/>
      <c r="C392" s="58"/>
      <c r="D392" s="35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54"/>
    </row>
    <row r="393" spans="1:16" s="28" customFormat="1" x14ac:dyDescent="0.25">
      <c r="A393" s="53"/>
      <c r="B393" s="58"/>
      <c r="C393" s="58"/>
      <c r="D393" s="35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54"/>
    </row>
    <row r="394" spans="1:16" s="28" customFormat="1" x14ac:dyDescent="0.25">
      <c r="A394" s="53"/>
      <c r="B394" s="58"/>
      <c r="C394" s="58"/>
      <c r="D394" s="35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54"/>
    </row>
    <row r="395" spans="1:16" s="28" customFormat="1" x14ac:dyDescent="0.25">
      <c r="A395" s="53"/>
      <c r="B395" s="58"/>
      <c r="C395" s="58"/>
      <c r="D395" s="35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54"/>
    </row>
    <row r="396" spans="1:16" s="28" customFormat="1" x14ac:dyDescent="0.25">
      <c r="A396" s="53"/>
      <c r="B396" s="58"/>
      <c r="C396" s="58"/>
      <c r="D396" s="35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54"/>
    </row>
    <row r="397" spans="1:16" s="28" customFormat="1" x14ac:dyDescent="0.25">
      <c r="A397" s="53"/>
      <c r="B397" s="58"/>
      <c r="C397" s="58"/>
      <c r="D397" s="35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54"/>
    </row>
    <row r="398" spans="1:16" s="28" customFormat="1" x14ac:dyDescent="0.25">
      <c r="A398" s="53"/>
      <c r="B398" s="58"/>
      <c r="C398" s="58"/>
      <c r="D398" s="35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54"/>
    </row>
    <row r="399" spans="1:16" s="28" customFormat="1" x14ac:dyDescent="0.25">
      <c r="A399" s="53"/>
      <c r="B399" s="58"/>
      <c r="C399" s="58"/>
      <c r="D399" s="35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54"/>
    </row>
    <row r="400" spans="1:16" s="28" customFormat="1" x14ac:dyDescent="0.25">
      <c r="A400" s="53"/>
      <c r="B400" s="58"/>
      <c r="C400" s="58"/>
      <c r="D400" s="35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54"/>
    </row>
    <row r="401" spans="1:16" s="28" customFormat="1" x14ac:dyDescent="0.25">
      <c r="A401" s="53"/>
      <c r="B401" s="58"/>
      <c r="C401" s="58"/>
      <c r="D401" s="35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54"/>
    </row>
    <row r="402" spans="1:16" s="28" customFormat="1" x14ac:dyDescent="0.25">
      <c r="A402" s="53"/>
      <c r="B402" s="58"/>
      <c r="C402" s="58"/>
      <c r="D402" s="35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54"/>
    </row>
    <row r="403" spans="1:16" s="28" customFormat="1" x14ac:dyDescent="0.25">
      <c r="A403" s="53"/>
      <c r="B403" s="58"/>
      <c r="C403" s="58"/>
      <c r="D403" s="35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54"/>
    </row>
    <row r="404" spans="1:16" s="28" customFormat="1" x14ac:dyDescent="0.25">
      <c r="A404" s="53"/>
      <c r="B404" s="58"/>
      <c r="C404" s="58"/>
      <c r="D404" s="35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54"/>
    </row>
    <row r="405" spans="1:16" s="28" customFormat="1" x14ac:dyDescent="0.25">
      <c r="A405" s="53"/>
      <c r="B405" s="58"/>
      <c r="C405" s="58"/>
      <c r="D405" s="35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54"/>
    </row>
    <row r="406" spans="1:16" s="28" customFormat="1" x14ac:dyDescent="0.25">
      <c r="A406" s="53"/>
      <c r="B406" s="58"/>
      <c r="C406" s="58"/>
      <c r="D406" s="35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54"/>
    </row>
    <row r="407" spans="1:16" s="28" customFormat="1" x14ac:dyDescent="0.25">
      <c r="A407" s="53"/>
      <c r="B407" s="58"/>
      <c r="C407" s="58"/>
      <c r="D407" s="35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54"/>
    </row>
    <row r="408" spans="1:16" s="28" customFormat="1" x14ac:dyDescent="0.25">
      <c r="A408" s="53"/>
      <c r="B408" s="58"/>
      <c r="C408" s="58"/>
      <c r="D408" s="35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54"/>
    </row>
    <row r="409" spans="1:16" s="28" customFormat="1" x14ac:dyDescent="0.25">
      <c r="A409" s="53"/>
      <c r="B409" s="58"/>
      <c r="C409" s="58"/>
      <c r="D409" s="35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54"/>
    </row>
    <row r="410" spans="1:16" s="28" customFormat="1" x14ac:dyDescent="0.25">
      <c r="A410" s="53"/>
      <c r="B410" s="58"/>
      <c r="C410" s="58"/>
      <c r="D410" s="35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54"/>
    </row>
    <row r="411" spans="1:16" s="28" customFormat="1" x14ac:dyDescent="0.25">
      <c r="A411" s="53"/>
      <c r="B411" s="58"/>
      <c r="C411" s="58"/>
      <c r="D411" s="35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54"/>
    </row>
    <row r="412" spans="1:16" s="28" customFormat="1" x14ac:dyDescent="0.25">
      <c r="A412" s="53"/>
      <c r="B412" s="58"/>
      <c r="C412" s="58"/>
      <c r="D412" s="35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54"/>
    </row>
    <row r="413" spans="1:16" s="28" customFormat="1" x14ac:dyDescent="0.25">
      <c r="A413" s="53"/>
      <c r="B413" s="58"/>
      <c r="C413" s="58"/>
      <c r="D413" s="35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54"/>
    </row>
    <row r="414" spans="1:16" s="28" customFormat="1" x14ac:dyDescent="0.25">
      <c r="A414" s="53"/>
      <c r="B414" s="58"/>
      <c r="C414" s="58"/>
      <c r="D414" s="35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54"/>
    </row>
    <row r="415" spans="1:16" s="28" customFormat="1" x14ac:dyDescent="0.25">
      <c r="A415" s="53"/>
      <c r="B415" s="58"/>
      <c r="C415" s="58"/>
      <c r="D415" s="35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54"/>
    </row>
    <row r="416" spans="1:16" s="28" customFormat="1" x14ac:dyDescent="0.25">
      <c r="A416" s="53"/>
      <c r="B416" s="58"/>
      <c r="C416" s="58"/>
      <c r="D416" s="35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54"/>
    </row>
    <row r="417" spans="1:16" s="28" customFormat="1" x14ac:dyDescent="0.25">
      <c r="A417" s="53"/>
      <c r="B417" s="58"/>
      <c r="C417" s="58"/>
      <c r="D417" s="35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54"/>
    </row>
    <row r="418" spans="1:16" s="28" customFormat="1" x14ac:dyDescent="0.25">
      <c r="A418" s="53"/>
      <c r="B418" s="58"/>
      <c r="C418" s="58"/>
      <c r="D418" s="35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54"/>
    </row>
    <row r="419" spans="1:16" s="28" customFormat="1" x14ac:dyDescent="0.25">
      <c r="A419" s="53"/>
      <c r="B419" s="58"/>
      <c r="C419" s="58"/>
      <c r="D419" s="35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54"/>
    </row>
    <row r="420" spans="1:16" s="28" customFormat="1" x14ac:dyDescent="0.25">
      <c r="A420" s="53"/>
      <c r="B420" s="58"/>
      <c r="C420" s="58"/>
      <c r="D420" s="35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54"/>
    </row>
    <row r="421" spans="1:16" s="28" customFormat="1" x14ac:dyDescent="0.25">
      <c r="A421" s="53"/>
      <c r="B421" s="58"/>
      <c r="C421" s="58"/>
      <c r="D421" s="35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54"/>
    </row>
    <row r="422" spans="1:16" s="28" customFormat="1" x14ac:dyDescent="0.25">
      <c r="A422" s="53"/>
      <c r="B422" s="58"/>
      <c r="C422" s="58"/>
      <c r="D422" s="35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54"/>
    </row>
    <row r="423" spans="1:16" s="28" customFormat="1" x14ac:dyDescent="0.25">
      <c r="A423" s="53"/>
      <c r="B423" s="58"/>
      <c r="C423" s="58"/>
      <c r="D423" s="35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54"/>
    </row>
    <row r="424" spans="1:16" s="28" customFormat="1" x14ac:dyDescent="0.25">
      <c r="A424" s="53"/>
      <c r="B424" s="58"/>
      <c r="C424" s="58"/>
      <c r="D424" s="35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54"/>
    </row>
    <row r="425" spans="1:16" s="28" customFormat="1" x14ac:dyDescent="0.25">
      <c r="A425" s="53"/>
      <c r="B425" s="58"/>
      <c r="C425" s="58"/>
      <c r="D425" s="35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54"/>
    </row>
    <row r="426" spans="1:16" s="28" customFormat="1" x14ac:dyDescent="0.25">
      <c r="A426" s="53"/>
      <c r="B426" s="58"/>
      <c r="C426" s="58"/>
      <c r="D426" s="35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54"/>
    </row>
    <row r="427" spans="1:16" s="28" customFormat="1" x14ac:dyDescent="0.25">
      <c r="A427" s="53"/>
      <c r="B427" s="58"/>
      <c r="C427" s="58"/>
      <c r="D427" s="35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54"/>
    </row>
    <row r="428" spans="1:16" s="28" customFormat="1" x14ac:dyDescent="0.25">
      <c r="A428" s="53"/>
      <c r="B428" s="58"/>
      <c r="C428" s="58"/>
      <c r="D428" s="35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54"/>
    </row>
    <row r="429" spans="1:16" s="28" customFormat="1" x14ac:dyDescent="0.25">
      <c r="A429" s="53"/>
      <c r="B429" s="58"/>
      <c r="C429" s="58"/>
      <c r="D429" s="35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54"/>
    </row>
    <row r="430" spans="1:16" s="28" customFormat="1" x14ac:dyDescent="0.25">
      <c r="A430" s="53"/>
      <c r="B430" s="58"/>
      <c r="C430" s="58"/>
      <c r="D430" s="35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54"/>
    </row>
    <row r="431" spans="1:16" s="28" customFormat="1" x14ac:dyDescent="0.25">
      <c r="A431" s="53"/>
      <c r="B431" s="58"/>
      <c r="C431" s="58"/>
      <c r="D431" s="35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54"/>
    </row>
    <row r="432" spans="1:16" s="28" customFormat="1" x14ac:dyDescent="0.25">
      <c r="A432" s="53"/>
      <c r="B432" s="58"/>
      <c r="C432" s="58"/>
      <c r="D432" s="35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54"/>
    </row>
    <row r="433" spans="1:16" s="28" customFormat="1" x14ac:dyDescent="0.25">
      <c r="A433" s="53"/>
      <c r="B433" s="58"/>
      <c r="C433" s="58"/>
      <c r="D433" s="35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54"/>
    </row>
    <row r="434" spans="1:16" s="28" customFormat="1" x14ac:dyDescent="0.25">
      <c r="A434" s="53"/>
      <c r="B434" s="58"/>
      <c r="C434" s="58"/>
      <c r="D434" s="35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54"/>
    </row>
    <row r="435" spans="1:16" s="28" customFormat="1" x14ac:dyDescent="0.25">
      <c r="A435" s="53"/>
      <c r="B435" s="58"/>
      <c r="C435" s="58"/>
      <c r="D435" s="35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54"/>
    </row>
    <row r="436" spans="1:16" s="28" customFormat="1" x14ac:dyDescent="0.25">
      <c r="A436" s="53"/>
      <c r="B436" s="58"/>
      <c r="C436" s="58"/>
      <c r="D436" s="35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54"/>
    </row>
    <row r="437" spans="1:16" s="28" customFormat="1" x14ac:dyDescent="0.25">
      <c r="A437" s="53"/>
      <c r="B437" s="58"/>
      <c r="C437" s="58"/>
      <c r="D437" s="35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54"/>
    </row>
    <row r="438" spans="1:16" s="28" customFormat="1" x14ac:dyDescent="0.25">
      <c r="A438" s="53"/>
      <c r="B438" s="58"/>
      <c r="C438" s="58"/>
      <c r="D438" s="35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54"/>
    </row>
    <row r="439" spans="1:16" s="28" customFormat="1" x14ac:dyDescent="0.25">
      <c r="A439" s="53"/>
      <c r="B439" s="58"/>
      <c r="C439" s="58"/>
      <c r="D439" s="35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54"/>
    </row>
    <row r="440" spans="1:16" s="28" customFormat="1" x14ac:dyDescent="0.25">
      <c r="A440" s="53"/>
      <c r="B440" s="58"/>
      <c r="C440" s="58"/>
      <c r="D440" s="35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54"/>
    </row>
    <row r="441" spans="1:16" s="28" customFormat="1" x14ac:dyDescent="0.25">
      <c r="A441" s="53"/>
      <c r="B441" s="58"/>
      <c r="C441" s="58"/>
      <c r="D441" s="35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54"/>
    </row>
    <row r="442" spans="1:16" s="28" customFormat="1" x14ac:dyDescent="0.25">
      <c r="A442" s="53"/>
      <c r="B442" s="58"/>
      <c r="C442" s="58"/>
      <c r="D442" s="35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54"/>
    </row>
    <row r="443" spans="1:16" s="28" customFormat="1" x14ac:dyDescent="0.25">
      <c r="A443" s="53"/>
      <c r="B443" s="58"/>
      <c r="C443" s="58"/>
      <c r="D443" s="35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54"/>
    </row>
    <row r="444" spans="1:16" s="28" customFormat="1" x14ac:dyDescent="0.25">
      <c r="A444" s="53"/>
      <c r="B444" s="58"/>
      <c r="C444" s="58"/>
      <c r="D444" s="35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54"/>
    </row>
    <row r="445" spans="1:16" s="28" customFormat="1" x14ac:dyDescent="0.25">
      <c r="A445" s="53"/>
      <c r="B445" s="58"/>
      <c r="C445" s="58"/>
      <c r="D445" s="35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54"/>
    </row>
    <row r="446" spans="1:16" s="28" customFormat="1" x14ac:dyDescent="0.25">
      <c r="A446" s="53"/>
      <c r="B446" s="58"/>
      <c r="C446" s="58"/>
      <c r="D446" s="35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54"/>
    </row>
    <row r="447" spans="1:16" s="28" customFormat="1" x14ac:dyDescent="0.25">
      <c r="A447" s="53"/>
      <c r="B447" s="58"/>
      <c r="C447" s="58"/>
      <c r="D447" s="35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54"/>
    </row>
    <row r="448" spans="1:16" s="28" customFormat="1" x14ac:dyDescent="0.25">
      <c r="A448" s="53"/>
      <c r="B448" s="58"/>
      <c r="C448" s="58"/>
      <c r="D448" s="35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54"/>
    </row>
    <row r="449" spans="1:16" s="28" customFormat="1" x14ac:dyDescent="0.25">
      <c r="A449" s="53"/>
      <c r="B449" s="58"/>
      <c r="C449" s="58"/>
      <c r="D449" s="35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54"/>
    </row>
    <row r="450" spans="1:16" s="28" customFormat="1" x14ac:dyDescent="0.25">
      <c r="A450" s="53"/>
      <c r="B450" s="58"/>
      <c r="C450" s="58"/>
      <c r="D450" s="35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54"/>
    </row>
    <row r="451" spans="1:16" s="28" customFormat="1" x14ac:dyDescent="0.25">
      <c r="A451" s="53"/>
      <c r="B451" s="58"/>
      <c r="C451" s="58"/>
      <c r="D451" s="35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54"/>
    </row>
    <row r="452" spans="1:16" s="28" customFormat="1" x14ac:dyDescent="0.25">
      <c r="A452" s="53"/>
      <c r="B452" s="58"/>
      <c r="C452" s="58"/>
      <c r="D452" s="35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54"/>
    </row>
    <row r="453" spans="1:16" s="28" customFormat="1" x14ac:dyDescent="0.25">
      <c r="A453" s="53"/>
      <c r="B453" s="58"/>
      <c r="C453" s="58"/>
      <c r="D453" s="35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54"/>
    </row>
    <row r="454" spans="1:16" s="28" customFormat="1" x14ac:dyDescent="0.25">
      <c r="A454" s="53"/>
      <c r="B454" s="58"/>
      <c r="C454" s="58"/>
      <c r="D454" s="35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54"/>
    </row>
    <row r="455" spans="1:16" s="28" customFormat="1" x14ac:dyDescent="0.25">
      <c r="A455" s="53"/>
      <c r="B455" s="58"/>
      <c r="C455" s="58"/>
      <c r="D455" s="35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54"/>
    </row>
    <row r="456" spans="1:16" s="28" customFormat="1" x14ac:dyDescent="0.25">
      <c r="A456" s="53"/>
      <c r="B456" s="58"/>
      <c r="C456" s="58"/>
      <c r="D456" s="35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54"/>
    </row>
    <row r="457" spans="1:16" s="28" customFormat="1" x14ac:dyDescent="0.25">
      <c r="A457" s="53"/>
      <c r="B457" s="58"/>
      <c r="C457" s="58"/>
      <c r="D457" s="35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54"/>
    </row>
    <row r="458" spans="1:16" s="28" customFormat="1" x14ac:dyDescent="0.25">
      <c r="A458" s="53"/>
      <c r="B458" s="58"/>
      <c r="C458" s="58"/>
      <c r="D458" s="35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54"/>
    </row>
    <row r="459" spans="1:16" s="28" customFormat="1" x14ac:dyDescent="0.25">
      <c r="A459" s="53"/>
      <c r="B459" s="58"/>
      <c r="C459" s="58"/>
      <c r="D459" s="35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54"/>
    </row>
    <row r="460" spans="1:16" s="28" customFormat="1" x14ac:dyDescent="0.25">
      <c r="A460" s="53"/>
      <c r="B460" s="58"/>
      <c r="C460" s="58"/>
      <c r="D460" s="35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54"/>
    </row>
    <row r="461" spans="1:16" s="28" customFormat="1" x14ac:dyDescent="0.25">
      <c r="A461" s="53"/>
      <c r="B461" s="58"/>
      <c r="C461" s="58"/>
      <c r="D461" s="35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54"/>
    </row>
    <row r="462" spans="1:16" s="28" customFormat="1" x14ac:dyDescent="0.25">
      <c r="A462" s="53"/>
      <c r="B462" s="58"/>
      <c r="C462" s="58"/>
      <c r="D462" s="35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54"/>
    </row>
    <row r="463" spans="1:16" s="28" customFormat="1" x14ac:dyDescent="0.25">
      <c r="A463" s="53"/>
      <c r="B463" s="58"/>
      <c r="C463" s="58"/>
      <c r="D463" s="35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54"/>
    </row>
    <row r="464" spans="1:16" s="28" customFormat="1" x14ac:dyDescent="0.25">
      <c r="A464" s="53"/>
      <c r="B464" s="58"/>
      <c r="C464" s="58"/>
      <c r="D464" s="35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54"/>
    </row>
    <row r="465" spans="1:16" s="28" customFormat="1" x14ac:dyDescent="0.25">
      <c r="A465" s="53"/>
      <c r="B465" s="58"/>
      <c r="C465" s="58"/>
      <c r="D465" s="35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54"/>
    </row>
    <row r="466" spans="1:16" s="28" customFormat="1" x14ac:dyDescent="0.25">
      <c r="A466" s="53"/>
      <c r="B466" s="58"/>
      <c r="C466" s="58"/>
      <c r="D466" s="35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54"/>
    </row>
    <row r="467" spans="1:16" s="28" customFormat="1" x14ac:dyDescent="0.25">
      <c r="A467" s="53"/>
      <c r="B467" s="58"/>
      <c r="C467" s="58"/>
      <c r="D467" s="35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54"/>
    </row>
    <row r="468" spans="1:16" s="28" customFormat="1" x14ac:dyDescent="0.25">
      <c r="A468" s="53"/>
      <c r="B468" s="58"/>
      <c r="C468" s="58"/>
      <c r="D468" s="35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54"/>
    </row>
    <row r="469" spans="1:16" s="28" customFormat="1" x14ac:dyDescent="0.25">
      <c r="A469" s="53"/>
      <c r="B469" s="58"/>
      <c r="C469" s="58"/>
      <c r="D469" s="35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54"/>
    </row>
    <row r="470" spans="1:16" s="28" customFormat="1" x14ac:dyDescent="0.25">
      <c r="A470" s="53"/>
      <c r="B470" s="58"/>
      <c r="C470" s="58"/>
      <c r="D470" s="35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54"/>
    </row>
    <row r="471" spans="1:16" s="28" customFormat="1" x14ac:dyDescent="0.25">
      <c r="A471" s="53"/>
      <c r="B471" s="58"/>
      <c r="C471" s="58"/>
      <c r="D471" s="35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54"/>
    </row>
    <row r="472" spans="1:16" s="28" customFormat="1" x14ac:dyDescent="0.25">
      <c r="A472" s="53"/>
      <c r="B472" s="58"/>
      <c r="C472" s="58"/>
      <c r="D472" s="35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54"/>
    </row>
    <row r="473" spans="1:16" s="28" customFormat="1" x14ac:dyDescent="0.25">
      <c r="A473" s="53"/>
      <c r="B473" s="58"/>
      <c r="C473" s="58"/>
      <c r="D473" s="35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54"/>
    </row>
    <row r="474" spans="1:16" s="28" customFormat="1" x14ac:dyDescent="0.25">
      <c r="A474" s="53"/>
      <c r="B474" s="58"/>
      <c r="C474" s="58"/>
      <c r="D474" s="35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54"/>
    </row>
    <row r="475" spans="1:16" s="28" customFormat="1" x14ac:dyDescent="0.25">
      <c r="A475" s="53"/>
      <c r="B475" s="58"/>
      <c r="C475" s="58"/>
      <c r="D475" s="35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54"/>
    </row>
    <row r="476" spans="1:16" s="28" customFormat="1" x14ac:dyDescent="0.25">
      <c r="A476" s="53"/>
      <c r="B476" s="58"/>
      <c r="C476" s="58"/>
      <c r="D476" s="35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54"/>
    </row>
    <row r="477" spans="1:16" s="28" customFormat="1" x14ac:dyDescent="0.25">
      <c r="A477" s="53"/>
      <c r="B477" s="58"/>
      <c r="C477" s="58"/>
      <c r="D477" s="35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54"/>
    </row>
    <row r="478" spans="1:16" s="28" customFormat="1" x14ac:dyDescent="0.25">
      <c r="A478" s="53"/>
      <c r="B478" s="58"/>
      <c r="C478" s="58"/>
      <c r="D478" s="35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54"/>
    </row>
    <row r="479" spans="1:16" s="28" customFormat="1" x14ac:dyDescent="0.25">
      <c r="A479" s="53"/>
      <c r="B479" s="58"/>
      <c r="C479" s="58"/>
      <c r="D479" s="35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54"/>
    </row>
    <row r="480" spans="1:16" s="28" customFormat="1" x14ac:dyDescent="0.25">
      <c r="A480" s="53"/>
      <c r="B480" s="58"/>
      <c r="C480" s="58"/>
      <c r="D480" s="35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54"/>
    </row>
    <row r="481" spans="1:16" s="28" customFormat="1" x14ac:dyDescent="0.25">
      <c r="A481" s="53"/>
      <c r="B481" s="58"/>
      <c r="C481" s="58"/>
      <c r="D481" s="35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54"/>
    </row>
    <row r="482" spans="1:16" s="28" customFormat="1" x14ac:dyDescent="0.25">
      <c r="A482" s="53"/>
      <c r="B482" s="58"/>
      <c r="C482" s="58"/>
      <c r="D482" s="35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54"/>
    </row>
    <row r="483" spans="1:16" s="28" customFormat="1" x14ac:dyDescent="0.25">
      <c r="A483" s="53"/>
      <c r="B483" s="58"/>
      <c r="C483" s="58"/>
      <c r="D483" s="35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54"/>
    </row>
    <row r="484" spans="1:16" s="28" customFormat="1" x14ac:dyDescent="0.25">
      <c r="A484" s="53"/>
      <c r="B484" s="58"/>
      <c r="C484" s="58"/>
      <c r="D484" s="35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54"/>
    </row>
    <row r="485" spans="1:16" s="28" customFormat="1" x14ac:dyDescent="0.25">
      <c r="A485" s="53"/>
      <c r="B485" s="58"/>
      <c r="C485" s="58"/>
      <c r="D485" s="35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54"/>
    </row>
    <row r="486" spans="1:16" s="28" customFormat="1" x14ac:dyDescent="0.25">
      <c r="A486" s="53"/>
      <c r="B486" s="58"/>
      <c r="C486" s="58"/>
      <c r="D486" s="35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54"/>
    </row>
    <row r="487" spans="1:16" s="28" customFormat="1" x14ac:dyDescent="0.25">
      <c r="A487" s="53"/>
      <c r="B487" s="58"/>
      <c r="C487" s="58"/>
      <c r="D487" s="35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54"/>
    </row>
    <row r="488" spans="1:16" s="28" customFormat="1" x14ac:dyDescent="0.25">
      <c r="A488" s="53"/>
      <c r="B488" s="58"/>
      <c r="C488" s="58"/>
      <c r="D488" s="35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54"/>
    </row>
    <row r="489" spans="1:16" s="28" customFormat="1" x14ac:dyDescent="0.25">
      <c r="A489" s="53"/>
      <c r="B489" s="58"/>
      <c r="C489" s="58"/>
      <c r="D489" s="35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54"/>
    </row>
    <row r="490" spans="1:16" s="28" customFormat="1" x14ac:dyDescent="0.25">
      <c r="A490" s="53"/>
      <c r="B490" s="58"/>
      <c r="C490" s="58"/>
      <c r="D490" s="35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54"/>
    </row>
    <row r="491" spans="1:16" s="28" customFormat="1" x14ac:dyDescent="0.25">
      <c r="A491" s="53"/>
      <c r="B491" s="58"/>
      <c r="C491" s="58"/>
      <c r="D491" s="35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54"/>
    </row>
    <row r="492" spans="1:16" s="28" customFormat="1" x14ac:dyDescent="0.25">
      <c r="A492" s="53"/>
      <c r="B492" s="58"/>
      <c r="C492" s="58"/>
      <c r="D492" s="35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54"/>
    </row>
    <row r="493" spans="1:16" s="28" customFormat="1" x14ac:dyDescent="0.25">
      <c r="A493" s="53"/>
      <c r="B493" s="58"/>
      <c r="C493" s="58"/>
      <c r="D493" s="35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54"/>
    </row>
    <row r="494" spans="1:16" s="28" customFormat="1" x14ac:dyDescent="0.25">
      <c r="A494" s="53"/>
      <c r="B494" s="58"/>
      <c r="C494" s="58"/>
      <c r="D494" s="35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54"/>
    </row>
    <row r="495" spans="1:16" s="28" customFormat="1" x14ac:dyDescent="0.25">
      <c r="A495" s="53"/>
      <c r="B495" s="58"/>
      <c r="C495" s="58"/>
      <c r="D495" s="35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54"/>
    </row>
    <row r="496" spans="1:16" s="28" customFormat="1" x14ac:dyDescent="0.25">
      <c r="A496" s="53"/>
      <c r="B496" s="58"/>
      <c r="C496" s="58"/>
      <c r="D496" s="35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54"/>
    </row>
    <row r="497" spans="1:16" s="28" customFormat="1" x14ac:dyDescent="0.25">
      <c r="A497" s="53"/>
      <c r="B497" s="58"/>
      <c r="C497" s="58"/>
      <c r="D497" s="35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54"/>
    </row>
    <row r="498" spans="1:16" s="28" customFormat="1" x14ac:dyDescent="0.25">
      <c r="A498" s="53"/>
      <c r="B498" s="58"/>
      <c r="C498" s="58"/>
      <c r="D498" s="35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54"/>
    </row>
    <row r="499" spans="1:16" s="28" customFormat="1" x14ac:dyDescent="0.25">
      <c r="A499" s="53"/>
      <c r="B499" s="58"/>
      <c r="C499" s="58"/>
      <c r="D499" s="35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54"/>
    </row>
    <row r="500" spans="1:16" s="28" customFormat="1" x14ac:dyDescent="0.25">
      <c r="A500" s="53"/>
      <c r="B500" s="58"/>
      <c r="C500" s="58"/>
      <c r="D500" s="35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54"/>
    </row>
    <row r="501" spans="1:16" s="28" customFormat="1" x14ac:dyDescent="0.25">
      <c r="A501" s="53"/>
      <c r="B501" s="58"/>
      <c r="C501" s="58"/>
      <c r="D501" s="35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54"/>
    </row>
    <row r="502" spans="1:16" s="28" customFormat="1" x14ac:dyDescent="0.25">
      <c r="A502" s="53"/>
      <c r="B502" s="58"/>
      <c r="C502" s="58"/>
      <c r="D502" s="35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54"/>
    </row>
    <row r="503" spans="1:16" s="28" customFormat="1" x14ac:dyDescent="0.25">
      <c r="A503" s="53"/>
      <c r="B503" s="58"/>
      <c r="C503" s="58"/>
      <c r="D503" s="35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54"/>
    </row>
    <row r="504" spans="1:16" s="28" customFormat="1" x14ac:dyDescent="0.25">
      <c r="A504" s="53"/>
      <c r="B504" s="58"/>
      <c r="C504" s="58"/>
      <c r="D504" s="35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54"/>
    </row>
    <row r="505" spans="1:16" s="28" customFormat="1" x14ac:dyDescent="0.25">
      <c r="A505" s="53"/>
      <c r="B505" s="58"/>
      <c r="C505" s="58"/>
      <c r="D505" s="35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54"/>
    </row>
    <row r="506" spans="1:16" s="28" customFormat="1" x14ac:dyDescent="0.25">
      <c r="A506" s="53"/>
      <c r="B506" s="58"/>
      <c r="C506" s="58"/>
      <c r="D506" s="35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54"/>
    </row>
    <row r="507" spans="1:16" s="28" customFormat="1" x14ac:dyDescent="0.25">
      <c r="A507" s="53"/>
      <c r="B507" s="58"/>
      <c r="C507" s="58"/>
      <c r="D507" s="35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54"/>
    </row>
    <row r="508" spans="1:16" s="28" customFormat="1" x14ac:dyDescent="0.25">
      <c r="A508" s="53"/>
      <c r="B508" s="58"/>
      <c r="C508" s="58"/>
      <c r="D508" s="35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54"/>
    </row>
    <row r="509" spans="1:16" s="28" customFormat="1" x14ac:dyDescent="0.25">
      <c r="A509" s="53"/>
      <c r="B509" s="58"/>
      <c r="C509" s="58"/>
      <c r="D509" s="35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54"/>
    </row>
    <row r="510" spans="1:16" s="28" customFormat="1" x14ac:dyDescent="0.25">
      <c r="A510" s="53"/>
      <c r="B510" s="58"/>
      <c r="C510" s="58"/>
      <c r="D510" s="35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54"/>
    </row>
    <row r="511" spans="1:16" s="28" customFormat="1" x14ac:dyDescent="0.25">
      <c r="A511" s="53"/>
      <c r="B511" s="58"/>
      <c r="C511" s="58"/>
      <c r="D511" s="35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54"/>
    </row>
    <row r="512" spans="1:16" s="28" customFormat="1" x14ac:dyDescent="0.25">
      <c r="A512" s="53"/>
      <c r="B512" s="58"/>
      <c r="C512" s="58"/>
      <c r="D512" s="35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54"/>
    </row>
    <row r="513" spans="1:16" s="28" customFormat="1" x14ac:dyDescent="0.25">
      <c r="A513" s="53"/>
      <c r="B513" s="58"/>
      <c r="C513" s="58"/>
      <c r="D513" s="35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54"/>
    </row>
    <row r="514" spans="1:16" s="28" customFormat="1" x14ac:dyDescent="0.25">
      <c r="A514" s="53"/>
      <c r="B514" s="58"/>
      <c r="C514" s="58"/>
      <c r="D514" s="35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54"/>
    </row>
    <row r="515" spans="1:16" s="28" customFormat="1" x14ac:dyDescent="0.25">
      <c r="A515" s="53"/>
      <c r="B515" s="58"/>
      <c r="C515" s="58"/>
      <c r="D515" s="35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54"/>
    </row>
    <row r="516" spans="1:16" s="28" customFormat="1" x14ac:dyDescent="0.25">
      <c r="A516" s="53"/>
      <c r="B516" s="58"/>
      <c r="C516" s="58"/>
      <c r="D516" s="35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54"/>
    </row>
    <row r="517" spans="1:16" s="28" customFormat="1" x14ac:dyDescent="0.25">
      <c r="A517" s="53"/>
      <c r="B517" s="58"/>
      <c r="C517" s="58"/>
      <c r="D517" s="35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54"/>
    </row>
    <row r="518" spans="1:16" s="28" customFormat="1" x14ac:dyDescent="0.25">
      <c r="A518" s="53"/>
      <c r="B518" s="58"/>
      <c r="C518" s="58"/>
      <c r="D518" s="35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54"/>
    </row>
    <row r="519" spans="1:16" s="28" customFormat="1" x14ac:dyDescent="0.25">
      <c r="A519" s="53"/>
      <c r="B519" s="58"/>
      <c r="C519" s="58"/>
      <c r="D519" s="35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54"/>
    </row>
    <row r="520" spans="1:16" s="28" customFormat="1" x14ac:dyDescent="0.25">
      <c r="A520" s="53"/>
      <c r="B520" s="58"/>
      <c r="C520" s="58"/>
      <c r="D520" s="35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54"/>
    </row>
    <row r="521" spans="1:16" s="28" customFormat="1" x14ac:dyDescent="0.25">
      <c r="A521" s="53"/>
      <c r="B521" s="58"/>
      <c r="C521" s="58"/>
      <c r="D521" s="35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54"/>
    </row>
    <row r="522" spans="1:16" s="28" customFormat="1" x14ac:dyDescent="0.25">
      <c r="A522" s="53"/>
      <c r="B522" s="58"/>
      <c r="C522" s="58"/>
      <c r="D522" s="35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54"/>
    </row>
    <row r="523" spans="1:16" s="28" customFormat="1" x14ac:dyDescent="0.25">
      <c r="A523" s="53"/>
      <c r="B523" s="58"/>
      <c r="C523" s="58"/>
      <c r="D523" s="35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54"/>
    </row>
    <row r="524" spans="1:16" s="28" customFormat="1" x14ac:dyDescent="0.25">
      <c r="A524" s="53"/>
      <c r="B524" s="58"/>
      <c r="C524" s="58"/>
      <c r="D524" s="35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54"/>
    </row>
    <row r="525" spans="1:16" s="28" customFormat="1" x14ac:dyDescent="0.25">
      <c r="A525" s="53"/>
      <c r="B525" s="58"/>
      <c r="C525" s="58"/>
      <c r="D525" s="35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54"/>
    </row>
    <row r="526" spans="1:16" s="28" customFormat="1" x14ac:dyDescent="0.25">
      <c r="A526" s="53"/>
      <c r="B526" s="58"/>
      <c r="C526" s="58"/>
      <c r="D526" s="35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54"/>
    </row>
    <row r="527" spans="1:16" s="28" customFormat="1" x14ac:dyDescent="0.25">
      <c r="A527" s="53"/>
      <c r="B527" s="58"/>
      <c r="C527" s="58"/>
      <c r="D527" s="35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54"/>
    </row>
    <row r="528" spans="1:16" s="28" customFormat="1" x14ac:dyDescent="0.25">
      <c r="A528" s="53"/>
      <c r="B528" s="58"/>
      <c r="C528" s="58"/>
      <c r="D528" s="35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54"/>
    </row>
    <row r="529" spans="1:16" s="28" customFormat="1" x14ac:dyDescent="0.25">
      <c r="A529" s="53"/>
      <c r="B529" s="58"/>
      <c r="C529" s="58"/>
      <c r="D529" s="35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54"/>
    </row>
    <row r="530" spans="1:16" s="28" customFormat="1" x14ac:dyDescent="0.25">
      <c r="A530" s="53"/>
      <c r="B530" s="58"/>
      <c r="C530" s="58"/>
      <c r="D530" s="35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54"/>
    </row>
    <row r="531" spans="1:16" s="28" customFormat="1" x14ac:dyDescent="0.25">
      <c r="A531" s="53"/>
      <c r="B531" s="58"/>
      <c r="C531" s="58"/>
      <c r="D531" s="35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54"/>
    </row>
    <row r="532" spans="1:16" s="28" customFormat="1" x14ac:dyDescent="0.25">
      <c r="A532" s="53"/>
      <c r="B532" s="58"/>
      <c r="C532" s="58"/>
      <c r="D532" s="35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54"/>
    </row>
    <row r="533" spans="1:16" s="28" customFormat="1" x14ac:dyDescent="0.25">
      <c r="A533" s="53"/>
      <c r="B533" s="58"/>
      <c r="C533" s="58"/>
      <c r="D533" s="35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54"/>
    </row>
    <row r="534" spans="1:16" s="28" customFormat="1" x14ac:dyDescent="0.25">
      <c r="A534" s="53"/>
      <c r="B534" s="58"/>
      <c r="C534" s="58"/>
      <c r="D534" s="35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54"/>
    </row>
    <row r="535" spans="1:16" s="28" customFormat="1" x14ac:dyDescent="0.25">
      <c r="A535" s="53"/>
      <c r="B535" s="58"/>
      <c r="C535" s="58"/>
      <c r="D535" s="35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54"/>
    </row>
    <row r="536" spans="1:16" s="28" customFormat="1" x14ac:dyDescent="0.25">
      <c r="A536" s="53"/>
      <c r="B536" s="58"/>
      <c r="C536" s="58"/>
      <c r="D536" s="35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54"/>
    </row>
    <row r="537" spans="1:16" s="28" customFormat="1" x14ac:dyDescent="0.25">
      <c r="A537" s="53"/>
      <c r="B537" s="58"/>
      <c r="C537" s="58"/>
      <c r="D537" s="35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54"/>
    </row>
    <row r="538" spans="1:16" s="28" customFormat="1" x14ac:dyDescent="0.25">
      <c r="A538" s="53"/>
      <c r="B538" s="58"/>
      <c r="C538" s="58"/>
      <c r="D538" s="35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54"/>
    </row>
    <row r="539" spans="1:16" s="28" customFormat="1" x14ac:dyDescent="0.25">
      <c r="A539" s="53"/>
      <c r="B539" s="58"/>
      <c r="C539" s="58"/>
      <c r="D539" s="35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54"/>
    </row>
    <row r="540" spans="1:16" s="28" customFormat="1" x14ac:dyDescent="0.25">
      <c r="A540" s="53"/>
      <c r="B540" s="58"/>
      <c r="C540" s="58"/>
      <c r="D540" s="35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54"/>
    </row>
    <row r="541" spans="1:16" s="28" customFormat="1" x14ac:dyDescent="0.25">
      <c r="A541" s="53"/>
      <c r="B541" s="58"/>
      <c r="C541" s="58"/>
      <c r="D541" s="35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54"/>
    </row>
    <row r="542" spans="1:16" s="28" customFormat="1" x14ac:dyDescent="0.25">
      <c r="A542" s="53"/>
      <c r="B542" s="58"/>
      <c r="C542" s="58"/>
      <c r="D542" s="35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54"/>
    </row>
    <row r="543" spans="1:16" s="28" customFormat="1" x14ac:dyDescent="0.25">
      <c r="A543" s="53"/>
      <c r="B543" s="58"/>
      <c r="C543" s="58"/>
      <c r="D543" s="35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54"/>
    </row>
    <row r="544" spans="1:16" s="28" customFormat="1" x14ac:dyDescent="0.25">
      <c r="A544" s="53"/>
      <c r="B544" s="58"/>
      <c r="C544" s="58"/>
      <c r="D544" s="35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54"/>
    </row>
    <row r="545" spans="1:16" s="28" customFormat="1" x14ac:dyDescent="0.25">
      <c r="A545" s="53"/>
      <c r="B545" s="58"/>
      <c r="C545" s="58"/>
      <c r="D545" s="35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54"/>
    </row>
    <row r="546" spans="1:16" s="28" customFormat="1" x14ac:dyDescent="0.25">
      <c r="A546" s="53"/>
      <c r="B546" s="58"/>
      <c r="C546" s="58"/>
      <c r="D546" s="35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54"/>
    </row>
    <row r="547" spans="1:16" s="28" customFormat="1" x14ac:dyDescent="0.25">
      <c r="A547" s="53"/>
      <c r="B547" s="58"/>
      <c r="C547" s="58"/>
      <c r="D547" s="35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54"/>
    </row>
    <row r="548" spans="1:16" s="28" customFormat="1" x14ac:dyDescent="0.25">
      <c r="A548" s="53"/>
      <c r="B548" s="58"/>
      <c r="C548" s="58"/>
      <c r="D548" s="35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54"/>
    </row>
    <row r="549" spans="1:16" s="28" customFormat="1" x14ac:dyDescent="0.25">
      <c r="A549" s="53"/>
      <c r="B549" s="58"/>
      <c r="C549" s="58"/>
      <c r="D549" s="35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54"/>
    </row>
    <row r="550" spans="1:16" s="28" customFormat="1" x14ac:dyDescent="0.25">
      <c r="A550" s="53"/>
      <c r="B550" s="58"/>
      <c r="C550" s="58"/>
      <c r="D550" s="35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54"/>
    </row>
    <row r="551" spans="1:16" s="28" customFormat="1" x14ac:dyDescent="0.25">
      <c r="A551" s="53"/>
      <c r="B551" s="58"/>
      <c r="C551" s="58"/>
      <c r="D551" s="35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54"/>
    </row>
    <row r="552" spans="1:16" s="28" customFormat="1" x14ac:dyDescent="0.25">
      <c r="A552" s="53"/>
      <c r="B552" s="58"/>
      <c r="C552" s="58"/>
      <c r="D552" s="35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54"/>
    </row>
    <row r="553" spans="1:16" s="28" customFormat="1" x14ac:dyDescent="0.25">
      <c r="A553" s="53"/>
      <c r="B553" s="58"/>
      <c r="C553" s="58"/>
      <c r="D553" s="35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54"/>
    </row>
    <row r="554" spans="1:16" s="28" customFormat="1" x14ac:dyDescent="0.25">
      <c r="A554" s="53"/>
      <c r="B554" s="58"/>
      <c r="C554" s="58"/>
      <c r="D554" s="35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54"/>
    </row>
    <row r="555" spans="1:16" s="28" customFormat="1" x14ac:dyDescent="0.25">
      <c r="A555" s="53"/>
      <c r="B555" s="58"/>
      <c r="C555" s="58"/>
      <c r="D555" s="35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54"/>
    </row>
    <row r="556" spans="1:16" s="28" customFormat="1" x14ac:dyDescent="0.25">
      <c r="A556" s="53"/>
      <c r="B556" s="58"/>
      <c r="C556" s="58"/>
      <c r="D556" s="35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54"/>
    </row>
    <row r="557" spans="1:16" s="28" customFormat="1" x14ac:dyDescent="0.25">
      <c r="A557" s="53"/>
      <c r="B557" s="58"/>
      <c r="C557" s="58"/>
      <c r="D557" s="35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54"/>
    </row>
    <row r="558" spans="1:16" s="28" customFormat="1" x14ac:dyDescent="0.25">
      <c r="A558" s="53"/>
      <c r="B558" s="58"/>
      <c r="C558" s="58"/>
      <c r="D558" s="35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54"/>
    </row>
    <row r="559" spans="1:16" s="28" customFormat="1" x14ac:dyDescent="0.25">
      <c r="A559" s="53"/>
      <c r="B559" s="58"/>
      <c r="C559" s="58"/>
      <c r="D559" s="35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54"/>
    </row>
    <row r="560" spans="1:16" s="28" customFormat="1" x14ac:dyDescent="0.25">
      <c r="A560" s="53"/>
      <c r="B560" s="58"/>
      <c r="C560" s="58"/>
      <c r="D560" s="35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54"/>
    </row>
    <row r="561" spans="1:16" s="28" customFormat="1" x14ac:dyDescent="0.25">
      <c r="A561" s="53"/>
      <c r="B561" s="58"/>
      <c r="C561" s="58"/>
      <c r="D561" s="35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54"/>
    </row>
    <row r="562" spans="1:16" s="28" customFormat="1" x14ac:dyDescent="0.25">
      <c r="A562" s="53"/>
      <c r="B562" s="58"/>
      <c r="C562" s="58"/>
      <c r="D562" s="35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54"/>
    </row>
    <row r="563" spans="1:16" s="28" customFormat="1" x14ac:dyDescent="0.25">
      <c r="A563" s="53"/>
      <c r="B563" s="58"/>
      <c r="C563" s="58"/>
      <c r="D563" s="35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54"/>
    </row>
    <row r="564" spans="1:16" s="28" customFormat="1" x14ac:dyDescent="0.25">
      <c r="A564" s="53"/>
      <c r="B564" s="58"/>
      <c r="C564" s="58"/>
      <c r="D564" s="35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54"/>
    </row>
    <row r="565" spans="1:16" s="28" customFormat="1" x14ac:dyDescent="0.25">
      <c r="A565" s="53"/>
      <c r="B565" s="58"/>
      <c r="C565" s="58"/>
      <c r="D565" s="35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54"/>
    </row>
    <row r="566" spans="1:16" s="28" customFormat="1" x14ac:dyDescent="0.25">
      <c r="A566" s="53"/>
      <c r="B566" s="58"/>
      <c r="C566" s="58"/>
      <c r="D566" s="35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54"/>
    </row>
    <row r="567" spans="1:16" s="28" customFormat="1" x14ac:dyDescent="0.25">
      <c r="A567" s="53"/>
      <c r="B567" s="58"/>
      <c r="C567" s="58"/>
      <c r="D567" s="35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54"/>
    </row>
    <row r="568" spans="1:16" s="28" customFormat="1" x14ac:dyDescent="0.25">
      <c r="A568" s="53"/>
      <c r="B568" s="58"/>
      <c r="C568" s="58"/>
      <c r="D568" s="35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54"/>
    </row>
    <row r="569" spans="1:16" s="28" customFormat="1" x14ac:dyDescent="0.25">
      <c r="A569" s="53"/>
      <c r="B569" s="58"/>
      <c r="C569" s="58"/>
      <c r="D569" s="35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54"/>
    </row>
    <row r="570" spans="1:16" s="28" customFormat="1" x14ac:dyDescent="0.25">
      <c r="A570" s="53"/>
      <c r="B570" s="58"/>
      <c r="C570" s="58"/>
      <c r="D570" s="35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54"/>
    </row>
    <row r="571" spans="1:16" s="28" customFormat="1" x14ac:dyDescent="0.25">
      <c r="A571" s="53"/>
      <c r="B571" s="58"/>
      <c r="C571" s="58"/>
      <c r="D571" s="35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54"/>
    </row>
    <row r="572" spans="1:16" s="28" customFormat="1" x14ac:dyDescent="0.25">
      <c r="A572" s="53"/>
      <c r="B572" s="58"/>
      <c r="C572" s="58"/>
      <c r="D572" s="35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54"/>
    </row>
    <row r="573" spans="1:16" s="28" customFormat="1" x14ac:dyDescent="0.25">
      <c r="A573" s="53"/>
      <c r="B573" s="58"/>
      <c r="C573" s="58"/>
      <c r="D573" s="35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54"/>
    </row>
    <row r="574" spans="1:16" s="28" customFormat="1" x14ac:dyDescent="0.25">
      <c r="A574" s="53"/>
      <c r="B574" s="58"/>
      <c r="C574" s="58"/>
      <c r="D574" s="35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54"/>
    </row>
    <row r="575" spans="1:16" s="28" customFormat="1" x14ac:dyDescent="0.25">
      <c r="A575" s="53"/>
      <c r="B575" s="58"/>
      <c r="C575" s="58"/>
      <c r="D575" s="35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54"/>
    </row>
    <row r="576" spans="1:16" s="28" customFormat="1" x14ac:dyDescent="0.25">
      <c r="A576" s="53"/>
      <c r="B576" s="58"/>
      <c r="C576" s="58"/>
      <c r="D576" s="35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54"/>
    </row>
    <row r="577" spans="1:16" s="28" customFormat="1" x14ac:dyDescent="0.25">
      <c r="A577" s="53"/>
      <c r="B577" s="58"/>
      <c r="C577" s="58"/>
      <c r="D577" s="35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54"/>
    </row>
    <row r="578" spans="1:16" s="28" customFormat="1" x14ac:dyDescent="0.25">
      <c r="A578" s="53"/>
      <c r="B578" s="58"/>
      <c r="C578" s="58"/>
      <c r="D578" s="35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54"/>
    </row>
    <row r="579" spans="1:16" s="28" customFormat="1" x14ac:dyDescent="0.25">
      <c r="A579" s="53"/>
      <c r="B579" s="58"/>
      <c r="C579" s="58"/>
      <c r="D579" s="35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54"/>
    </row>
    <row r="580" spans="1:16" s="28" customFormat="1" x14ac:dyDescent="0.25">
      <c r="A580" s="53"/>
      <c r="B580" s="58"/>
      <c r="C580" s="58"/>
      <c r="D580" s="35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54"/>
    </row>
    <row r="581" spans="1:16" s="28" customFormat="1" x14ac:dyDescent="0.25">
      <c r="A581" s="53"/>
      <c r="B581" s="58"/>
      <c r="C581" s="58"/>
      <c r="D581" s="35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54"/>
    </row>
    <row r="582" spans="1:16" s="28" customFormat="1" x14ac:dyDescent="0.25">
      <c r="A582" s="53"/>
      <c r="B582" s="58"/>
      <c r="C582" s="58"/>
      <c r="D582" s="35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54"/>
    </row>
    <row r="583" spans="1:16" s="28" customFormat="1" x14ac:dyDescent="0.25">
      <c r="A583" s="53"/>
      <c r="B583" s="58"/>
      <c r="C583" s="58"/>
      <c r="D583" s="35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54"/>
    </row>
    <row r="584" spans="1:16" s="28" customFormat="1" x14ac:dyDescent="0.25">
      <c r="A584" s="53"/>
      <c r="B584" s="58"/>
      <c r="C584" s="58"/>
      <c r="D584" s="35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54"/>
    </row>
    <row r="585" spans="1:16" s="28" customFormat="1" x14ac:dyDescent="0.25">
      <c r="A585" s="53"/>
      <c r="B585" s="58"/>
      <c r="C585" s="58"/>
      <c r="D585" s="35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54"/>
    </row>
    <row r="586" spans="1:16" s="28" customFormat="1" x14ac:dyDescent="0.25">
      <c r="A586" s="53"/>
      <c r="B586" s="58"/>
      <c r="C586" s="58"/>
      <c r="D586" s="35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54"/>
    </row>
    <row r="587" spans="1:16" s="28" customFormat="1" x14ac:dyDescent="0.25">
      <c r="A587" s="53"/>
      <c r="B587" s="58"/>
      <c r="C587" s="58"/>
      <c r="D587" s="35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54"/>
    </row>
    <row r="588" spans="1:16" s="28" customFormat="1" x14ac:dyDescent="0.25">
      <c r="A588" s="53"/>
      <c r="B588" s="58"/>
      <c r="C588" s="58"/>
      <c r="D588" s="35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54"/>
    </row>
    <row r="589" spans="1:16" s="28" customFormat="1" x14ac:dyDescent="0.25">
      <c r="A589" s="53"/>
      <c r="B589" s="58"/>
      <c r="C589" s="58"/>
      <c r="D589" s="35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54"/>
    </row>
    <row r="590" spans="1:16" s="28" customFormat="1" x14ac:dyDescent="0.25">
      <c r="A590" s="53"/>
      <c r="B590" s="58"/>
      <c r="C590" s="58"/>
      <c r="D590" s="35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54"/>
    </row>
    <row r="591" spans="1:16" s="28" customFormat="1" x14ac:dyDescent="0.25">
      <c r="A591" s="53"/>
      <c r="B591" s="58"/>
      <c r="C591" s="58"/>
      <c r="D591" s="35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54"/>
    </row>
    <row r="592" spans="1:16" s="28" customFormat="1" x14ac:dyDescent="0.25">
      <c r="A592" s="53"/>
      <c r="B592" s="58"/>
      <c r="C592" s="58"/>
      <c r="D592" s="35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54"/>
    </row>
    <row r="593" spans="1:16" s="28" customFormat="1" x14ac:dyDescent="0.25">
      <c r="A593" s="53"/>
      <c r="B593" s="58"/>
      <c r="C593" s="58"/>
      <c r="D593" s="35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54"/>
    </row>
    <row r="594" spans="1:16" s="28" customFormat="1" x14ac:dyDescent="0.25">
      <c r="A594" s="53"/>
      <c r="B594" s="58"/>
      <c r="C594" s="58"/>
      <c r="D594" s="35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54"/>
    </row>
    <row r="595" spans="1:16" s="28" customFormat="1" x14ac:dyDescent="0.25">
      <c r="A595" s="53"/>
      <c r="B595" s="58"/>
      <c r="C595" s="58"/>
      <c r="D595" s="35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54"/>
    </row>
    <row r="596" spans="1:16" s="28" customFormat="1" x14ac:dyDescent="0.25">
      <c r="A596" s="53"/>
      <c r="B596" s="58"/>
      <c r="C596" s="58"/>
      <c r="D596" s="35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54"/>
    </row>
    <row r="597" spans="1:16" s="28" customFormat="1" x14ac:dyDescent="0.25">
      <c r="A597" s="53"/>
      <c r="B597" s="58"/>
      <c r="C597" s="58"/>
      <c r="D597" s="35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54"/>
    </row>
    <row r="598" spans="1:16" s="28" customFormat="1" x14ac:dyDescent="0.25">
      <c r="A598" s="53"/>
      <c r="B598" s="58"/>
      <c r="C598" s="58"/>
      <c r="D598" s="35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54"/>
    </row>
    <row r="599" spans="1:16" s="28" customFormat="1" x14ac:dyDescent="0.25">
      <c r="A599" s="53"/>
      <c r="B599" s="58"/>
      <c r="C599" s="58"/>
      <c r="D599" s="35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54"/>
    </row>
    <row r="600" spans="1:16" s="28" customFormat="1" x14ac:dyDescent="0.25">
      <c r="A600" s="53"/>
      <c r="B600" s="58"/>
      <c r="C600" s="58"/>
      <c r="D600" s="35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54"/>
    </row>
    <row r="601" spans="1:16" s="28" customFormat="1" x14ac:dyDescent="0.25">
      <c r="A601" s="53"/>
      <c r="B601" s="58"/>
      <c r="C601" s="58"/>
      <c r="D601" s="35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54"/>
    </row>
    <row r="602" spans="1:16" s="28" customFormat="1" x14ac:dyDescent="0.25">
      <c r="A602" s="53"/>
      <c r="B602" s="58"/>
      <c r="C602" s="58"/>
      <c r="D602" s="35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54"/>
    </row>
    <row r="603" spans="1:16" s="28" customFormat="1" x14ac:dyDescent="0.25">
      <c r="A603" s="53"/>
      <c r="B603" s="58"/>
      <c r="C603" s="58"/>
      <c r="D603" s="35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54"/>
    </row>
    <row r="604" spans="1:16" s="28" customFormat="1" x14ac:dyDescent="0.25">
      <c r="A604" s="53"/>
      <c r="B604" s="58"/>
      <c r="C604" s="58"/>
      <c r="D604" s="35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54"/>
    </row>
    <row r="605" spans="1:16" s="28" customFormat="1" x14ac:dyDescent="0.25">
      <c r="A605" s="53"/>
      <c r="B605" s="58"/>
      <c r="C605" s="58"/>
      <c r="D605" s="35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54"/>
    </row>
    <row r="606" spans="1:16" s="28" customFormat="1" x14ac:dyDescent="0.25">
      <c r="A606" s="53"/>
      <c r="B606" s="58"/>
      <c r="C606" s="58"/>
      <c r="D606" s="35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54"/>
    </row>
    <row r="607" spans="1:16" s="28" customFormat="1" x14ac:dyDescent="0.25">
      <c r="A607" s="53"/>
      <c r="B607" s="58"/>
      <c r="C607" s="58"/>
      <c r="D607" s="35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54"/>
    </row>
    <row r="608" spans="1:16" s="28" customFormat="1" x14ac:dyDescent="0.25">
      <c r="A608" s="53"/>
      <c r="B608" s="58"/>
      <c r="C608" s="58"/>
      <c r="D608" s="35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54"/>
    </row>
    <row r="609" spans="1:16" s="28" customFormat="1" x14ac:dyDescent="0.25">
      <c r="A609" s="53"/>
      <c r="B609" s="58"/>
      <c r="C609" s="58"/>
      <c r="D609" s="35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54"/>
    </row>
    <row r="610" spans="1:16" s="28" customFormat="1" x14ac:dyDescent="0.25">
      <c r="A610" s="53"/>
      <c r="B610" s="58"/>
      <c r="C610" s="58"/>
      <c r="D610" s="35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54"/>
    </row>
    <row r="611" spans="1:16" s="28" customFormat="1" x14ac:dyDescent="0.25">
      <c r="A611" s="53"/>
      <c r="B611" s="58"/>
      <c r="C611" s="58"/>
      <c r="D611" s="35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54"/>
    </row>
    <row r="612" spans="1:16" s="28" customFormat="1" x14ac:dyDescent="0.25">
      <c r="A612" s="53"/>
      <c r="B612" s="58"/>
      <c r="C612" s="58"/>
      <c r="D612" s="35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54"/>
    </row>
    <row r="613" spans="1:16" s="28" customFormat="1" x14ac:dyDescent="0.25">
      <c r="A613" s="53"/>
      <c r="B613" s="58"/>
      <c r="C613" s="58"/>
      <c r="D613" s="35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54"/>
    </row>
    <row r="614" spans="1:16" s="28" customFormat="1" x14ac:dyDescent="0.25">
      <c r="A614" s="53"/>
      <c r="B614" s="58"/>
      <c r="C614" s="58"/>
      <c r="D614" s="35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54"/>
    </row>
    <row r="615" spans="1:16" s="28" customFormat="1" x14ac:dyDescent="0.25">
      <c r="A615" s="53"/>
      <c r="B615" s="58"/>
      <c r="C615" s="58"/>
      <c r="D615" s="35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54"/>
    </row>
    <row r="616" spans="1:16" s="28" customFormat="1" x14ac:dyDescent="0.25">
      <c r="A616" s="53"/>
      <c r="B616" s="58"/>
      <c r="C616" s="58"/>
      <c r="D616" s="35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54"/>
    </row>
    <row r="617" spans="1:16" s="28" customFormat="1" x14ac:dyDescent="0.25">
      <c r="A617" s="53"/>
      <c r="B617" s="58"/>
      <c r="C617" s="58"/>
      <c r="D617" s="35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54"/>
    </row>
    <row r="618" spans="1:16" s="28" customFormat="1" x14ac:dyDescent="0.25">
      <c r="A618" s="53"/>
      <c r="B618" s="58"/>
      <c r="C618" s="58"/>
      <c r="D618" s="35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54"/>
    </row>
    <row r="619" spans="1:16" s="28" customFormat="1" x14ac:dyDescent="0.25">
      <c r="A619" s="53"/>
      <c r="B619" s="58"/>
      <c r="C619" s="58"/>
      <c r="D619" s="35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54"/>
    </row>
    <row r="620" spans="1:16" s="28" customFormat="1" x14ac:dyDescent="0.25">
      <c r="A620" s="53"/>
      <c r="B620" s="58"/>
      <c r="C620" s="58"/>
      <c r="D620" s="35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54"/>
    </row>
    <row r="621" spans="1:16" s="28" customFormat="1" x14ac:dyDescent="0.25">
      <c r="A621" s="53"/>
      <c r="B621" s="58"/>
      <c r="C621" s="58"/>
      <c r="D621" s="35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54"/>
    </row>
    <row r="622" spans="1:16" s="28" customFormat="1" x14ac:dyDescent="0.25">
      <c r="A622" s="53"/>
      <c r="B622" s="58"/>
      <c r="C622" s="58"/>
      <c r="D622" s="35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54"/>
    </row>
    <row r="623" spans="1:16" s="28" customFormat="1" x14ac:dyDescent="0.25">
      <c r="A623" s="53"/>
      <c r="B623" s="58"/>
      <c r="C623" s="58"/>
      <c r="D623" s="35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54"/>
    </row>
    <row r="624" spans="1:16" s="28" customFormat="1" x14ac:dyDescent="0.25">
      <c r="A624" s="53"/>
      <c r="B624" s="58"/>
      <c r="C624" s="58"/>
      <c r="D624" s="35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54"/>
    </row>
    <row r="625" spans="1:16" s="28" customFormat="1" x14ac:dyDescent="0.25">
      <c r="A625" s="53"/>
      <c r="B625" s="58"/>
      <c r="C625" s="58"/>
      <c r="D625" s="35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54"/>
    </row>
    <row r="626" spans="1:16" s="28" customFormat="1" x14ac:dyDescent="0.25">
      <c r="A626" s="53"/>
      <c r="B626" s="58"/>
      <c r="C626" s="58"/>
      <c r="D626" s="35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54"/>
    </row>
    <row r="627" spans="1:16" s="28" customFormat="1" x14ac:dyDescent="0.25">
      <c r="A627" s="53"/>
      <c r="B627" s="58"/>
      <c r="C627" s="58"/>
      <c r="D627" s="35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54"/>
    </row>
    <row r="628" spans="1:16" s="28" customFormat="1" x14ac:dyDescent="0.25">
      <c r="A628" s="53"/>
      <c r="B628" s="58"/>
      <c r="C628" s="58"/>
      <c r="D628" s="35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54"/>
    </row>
    <row r="629" spans="1:16" s="28" customFormat="1" x14ac:dyDescent="0.25">
      <c r="A629" s="53"/>
      <c r="B629" s="58"/>
      <c r="C629" s="58"/>
      <c r="D629" s="35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54"/>
    </row>
    <row r="630" spans="1:16" s="28" customFormat="1" x14ac:dyDescent="0.25">
      <c r="A630" s="53"/>
      <c r="B630" s="58"/>
      <c r="C630" s="58"/>
      <c r="D630" s="35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54"/>
    </row>
    <row r="631" spans="1:16" s="28" customFormat="1" x14ac:dyDescent="0.25">
      <c r="A631" s="53"/>
      <c r="B631" s="58"/>
      <c r="C631" s="58"/>
      <c r="D631" s="35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54"/>
    </row>
    <row r="632" spans="1:16" s="28" customFormat="1" x14ac:dyDescent="0.25">
      <c r="A632" s="53"/>
      <c r="B632" s="58"/>
      <c r="C632" s="58"/>
      <c r="D632" s="35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54"/>
    </row>
    <row r="633" spans="1:16" s="28" customFormat="1" x14ac:dyDescent="0.25">
      <c r="A633" s="53"/>
      <c r="B633" s="58"/>
      <c r="C633" s="58"/>
      <c r="D633" s="35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54"/>
    </row>
    <row r="634" spans="1:16" s="28" customFormat="1" x14ac:dyDescent="0.25">
      <c r="A634" s="53"/>
      <c r="B634" s="58"/>
      <c r="C634" s="58"/>
      <c r="D634" s="35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54"/>
    </row>
    <row r="635" spans="1:16" s="28" customFormat="1" x14ac:dyDescent="0.25">
      <c r="A635" s="53"/>
      <c r="B635" s="58"/>
      <c r="C635" s="58"/>
      <c r="D635" s="35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54"/>
    </row>
    <row r="636" spans="1:16" s="28" customFormat="1" x14ac:dyDescent="0.25">
      <c r="A636" s="53"/>
      <c r="B636" s="58"/>
      <c r="C636" s="58"/>
      <c r="D636" s="35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54"/>
    </row>
    <row r="637" spans="1:16" s="28" customFormat="1" x14ac:dyDescent="0.25">
      <c r="A637" s="53"/>
      <c r="B637" s="58"/>
      <c r="C637" s="58"/>
      <c r="D637" s="35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54"/>
    </row>
    <row r="638" spans="1:16" s="28" customFormat="1" x14ac:dyDescent="0.25">
      <c r="A638" s="53"/>
      <c r="B638" s="58"/>
      <c r="C638" s="58"/>
      <c r="D638" s="35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54"/>
    </row>
    <row r="639" spans="1:16" s="28" customFormat="1" x14ac:dyDescent="0.25">
      <c r="A639" s="53"/>
      <c r="B639" s="58"/>
      <c r="C639" s="58"/>
      <c r="D639" s="35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54"/>
    </row>
    <row r="640" spans="1:16" s="28" customFormat="1" x14ac:dyDescent="0.25">
      <c r="A640" s="53"/>
      <c r="B640" s="58"/>
      <c r="C640" s="58"/>
      <c r="D640" s="35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54"/>
    </row>
    <row r="641" spans="1:16" s="28" customFormat="1" x14ac:dyDescent="0.25">
      <c r="A641" s="53"/>
      <c r="B641" s="58"/>
      <c r="C641" s="58"/>
      <c r="D641" s="35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54"/>
    </row>
    <row r="642" spans="1:16" s="28" customFormat="1" x14ac:dyDescent="0.25">
      <c r="A642" s="53"/>
      <c r="B642" s="58"/>
      <c r="C642" s="58"/>
      <c r="D642" s="35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54"/>
    </row>
    <row r="643" spans="1:16" s="28" customFormat="1" x14ac:dyDescent="0.25">
      <c r="A643" s="53"/>
      <c r="B643" s="58"/>
      <c r="C643" s="58"/>
      <c r="D643" s="35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54"/>
    </row>
    <row r="644" spans="1:16" s="28" customFormat="1" x14ac:dyDescent="0.25">
      <c r="A644" s="53"/>
      <c r="B644" s="58"/>
      <c r="C644" s="58"/>
      <c r="D644" s="35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54"/>
    </row>
    <row r="645" spans="1:16" s="28" customFormat="1" x14ac:dyDescent="0.25">
      <c r="A645" s="53"/>
      <c r="B645" s="58"/>
      <c r="C645" s="58"/>
      <c r="D645" s="35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54"/>
    </row>
    <row r="646" spans="1:16" s="28" customFormat="1" x14ac:dyDescent="0.25">
      <c r="A646" s="53"/>
      <c r="B646" s="58"/>
      <c r="C646" s="58"/>
      <c r="D646" s="35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54"/>
    </row>
    <row r="647" spans="1:16" s="28" customFormat="1" x14ac:dyDescent="0.25">
      <c r="A647" s="53"/>
      <c r="B647" s="58"/>
      <c r="C647" s="58"/>
      <c r="D647" s="35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54"/>
    </row>
    <row r="648" spans="1:16" s="28" customFormat="1" x14ac:dyDescent="0.25">
      <c r="A648" s="53"/>
      <c r="B648" s="58"/>
      <c r="C648" s="58"/>
      <c r="D648" s="35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54"/>
    </row>
    <row r="649" spans="1:16" s="28" customFormat="1" x14ac:dyDescent="0.25">
      <c r="A649" s="53"/>
      <c r="B649" s="58"/>
      <c r="C649" s="58"/>
      <c r="D649" s="35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54"/>
    </row>
    <row r="650" spans="1:16" s="28" customFormat="1" x14ac:dyDescent="0.25">
      <c r="A650" s="53"/>
      <c r="B650" s="58"/>
      <c r="C650" s="58"/>
      <c r="D650" s="35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54"/>
    </row>
    <row r="651" spans="1:16" s="28" customFormat="1" x14ac:dyDescent="0.25">
      <c r="A651" s="53"/>
      <c r="B651" s="58"/>
      <c r="C651" s="58"/>
      <c r="D651" s="35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54"/>
    </row>
    <row r="652" spans="1:16" s="28" customFormat="1" x14ac:dyDescent="0.25">
      <c r="A652" s="53"/>
      <c r="B652" s="58"/>
      <c r="C652" s="58"/>
      <c r="D652" s="35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54"/>
    </row>
    <row r="653" spans="1:16" s="28" customFormat="1" x14ac:dyDescent="0.25">
      <c r="A653" s="53"/>
      <c r="B653" s="58"/>
      <c r="C653" s="58"/>
      <c r="D653" s="35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54"/>
    </row>
    <row r="654" spans="1:16" s="28" customFormat="1" x14ac:dyDescent="0.25">
      <c r="A654" s="53"/>
      <c r="B654" s="58"/>
      <c r="C654" s="58"/>
      <c r="D654" s="35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54"/>
    </row>
    <row r="655" spans="1:16" s="28" customFormat="1" x14ac:dyDescent="0.25">
      <c r="A655" s="53"/>
      <c r="B655" s="58"/>
      <c r="C655" s="58"/>
      <c r="D655" s="35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54"/>
    </row>
    <row r="656" spans="1:16" s="28" customFormat="1" x14ac:dyDescent="0.25">
      <c r="A656" s="53"/>
      <c r="B656" s="58"/>
      <c r="C656" s="58"/>
      <c r="D656" s="35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54"/>
    </row>
    <row r="657" spans="1:16" s="28" customFormat="1" x14ac:dyDescent="0.25">
      <c r="A657" s="53"/>
      <c r="B657" s="58"/>
      <c r="C657" s="58"/>
      <c r="D657" s="35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54"/>
    </row>
    <row r="658" spans="1:16" s="28" customFormat="1" x14ac:dyDescent="0.25">
      <c r="A658" s="53"/>
      <c r="B658" s="58"/>
      <c r="C658" s="58"/>
      <c r="D658" s="35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54"/>
    </row>
    <row r="659" spans="1:16" s="28" customFormat="1" x14ac:dyDescent="0.25">
      <c r="A659" s="53"/>
      <c r="B659" s="58"/>
      <c r="C659" s="58"/>
      <c r="D659" s="35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54"/>
    </row>
    <row r="660" spans="1:16" s="28" customFormat="1" x14ac:dyDescent="0.25">
      <c r="A660" s="53"/>
      <c r="B660" s="58"/>
      <c r="C660" s="58"/>
      <c r="D660" s="35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54"/>
    </row>
    <row r="661" spans="1:16" s="28" customFormat="1" x14ac:dyDescent="0.25">
      <c r="A661" s="53"/>
      <c r="B661" s="58"/>
      <c r="C661" s="58"/>
      <c r="D661" s="35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54"/>
    </row>
    <row r="662" spans="1:16" s="28" customFormat="1" x14ac:dyDescent="0.25">
      <c r="A662" s="53"/>
      <c r="B662" s="58"/>
      <c r="C662" s="58"/>
      <c r="D662" s="35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54"/>
    </row>
    <row r="663" spans="1:16" s="28" customFormat="1" x14ac:dyDescent="0.25">
      <c r="A663" s="53"/>
      <c r="B663" s="58"/>
      <c r="C663" s="58"/>
      <c r="D663" s="35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54"/>
    </row>
    <row r="664" spans="1:16" s="28" customFormat="1" x14ac:dyDescent="0.25">
      <c r="A664" s="53"/>
      <c r="B664" s="58"/>
      <c r="C664" s="58"/>
      <c r="D664" s="35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54"/>
    </row>
    <row r="665" spans="1:16" s="28" customFormat="1" x14ac:dyDescent="0.25">
      <c r="A665" s="53"/>
      <c r="B665" s="58"/>
      <c r="C665" s="58"/>
      <c r="D665" s="35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54"/>
    </row>
    <row r="666" spans="1:16" s="28" customFormat="1" x14ac:dyDescent="0.25">
      <c r="A666" s="53"/>
      <c r="B666" s="58"/>
      <c r="C666" s="58"/>
      <c r="D666" s="35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54"/>
    </row>
    <row r="667" spans="1:16" s="28" customFormat="1" x14ac:dyDescent="0.25">
      <c r="A667" s="53"/>
      <c r="B667" s="58"/>
      <c r="C667" s="58"/>
      <c r="D667" s="35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54"/>
    </row>
    <row r="668" spans="1:16" s="28" customFormat="1" x14ac:dyDescent="0.25">
      <c r="A668" s="53"/>
      <c r="B668" s="58"/>
      <c r="C668" s="58"/>
      <c r="D668" s="35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54"/>
    </row>
    <row r="669" spans="1:16" s="28" customFormat="1" x14ac:dyDescent="0.25">
      <c r="A669" s="53"/>
      <c r="B669" s="58"/>
      <c r="C669" s="58"/>
      <c r="D669" s="35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54"/>
    </row>
    <row r="670" spans="1:16" s="28" customFormat="1" x14ac:dyDescent="0.25">
      <c r="A670" s="53"/>
      <c r="B670" s="58"/>
      <c r="C670" s="58"/>
      <c r="D670" s="35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54"/>
    </row>
    <row r="671" spans="1:16" s="28" customFormat="1" x14ac:dyDescent="0.25">
      <c r="A671" s="53"/>
      <c r="B671" s="58"/>
      <c r="C671" s="58"/>
      <c r="D671" s="35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54"/>
    </row>
    <row r="672" spans="1:16" s="28" customFormat="1" x14ac:dyDescent="0.25">
      <c r="A672" s="53"/>
      <c r="B672" s="58"/>
      <c r="C672" s="58"/>
      <c r="D672" s="35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54"/>
    </row>
    <row r="673" spans="1:16" s="28" customFormat="1" x14ac:dyDescent="0.25">
      <c r="A673" s="53"/>
      <c r="B673" s="58"/>
      <c r="C673" s="58"/>
      <c r="D673" s="35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54"/>
    </row>
    <row r="674" spans="1:16" s="28" customFormat="1" x14ac:dyDescent="0.25">
      <c r="A674" s="53"/>
      <c r="B674" s="58"/>
      <c r="C674" s="58"/>
      <c r="D674" s="35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54"/>
    </row>
    <row r="675" spans="1:16" s="28" customFormat="1" x14ac:dyDescent="0.25">
      <c r="A675" s="53"/>
      <c r="B675" s="58"/>
      <c r="C675" s="58"/>
      <c r="D675" s="35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54"/>
    </row>
    <row r="676" spans="1:16" s="28" customFormat="1" x14ac:dyDescent="0.25">
      <c r="A676" s="53"/>
      <c r="B676" s="58"/>
      <c r="C676" s="58"/>
      <c r="D676" s="35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54"/>
    </row>
    <row r="677" spans="1:16" s="28" customFormat="1" x14ac:dyDescent="0.25">
      <c r="A677" s="53"/>
      <c r="B677" s="58"/>
      <c r="C677" s="58"/>
      <c r="D677" s="35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54"/>
    </row>
    <row r="678" spans="1:16" s="28" customFormat="1" x14ac:dyDescent="0.25">
      <c r="A678" s="53"/>
      <c r="B678" s="58"/>
      <c r="C678" s="58"/>
      <c r="D678" s="35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54"/>
    </row>
    <row r="679" spans="1:16" s="28" customFormat="1" x14ac:dyDescent="0.25">
      <c r="A679" s="53"/>
      <c r="B679" s="58"/>
      <c r="C679" s="58"/>
      <c r="D679" s="35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54"/>
    </row>
    <row r="680" spans="1:16" s="28" customFormat="1" x14ac:dyDescent="0.25">
      <c r="A680" s="53"/>
      <c r="B680" s="58"/>
      <c r="C680" s="58"/>
      <c r="D680" s="35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54"/>
    </row>
    <row r="681" spans="1:16" s="28" customFormat="1" x14ac:dyDescent="0.25">
      <c r="A681" s="53"/>
      <c r="B681" s="58"/>
      <c r="C681" s="58"/>
      <c r="D681" s="35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54"/>
    </row>
    <row r="682" spans="1:16" s="28" customFormat="1" x14ac:dyDescent="0.25">
      <c r="A682" s="53"/>
      <c r="B682" s="58"/>
      <c r="C682" s="58"/>
      <c r="D682" s="35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54"/>
    </row>
    <row r="683" spans="1:16" s="28" customFormat="1" x14ac:dyDescent="0.25">
      <c r="A683" s="53"/>
      <c r="B683" s="58"/>
      <c r="C683" s="58"/>
      <c r="D683" s="35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54"/>
    </row>
    <row r="684" spans="1:16" s="28" customFormat="1" x14ac:dyDescent="0.25">
      <c r="A684" s="53"/>
      <c r="B684" s="58"/>
      <c r="C684" s="58"/>
      <c r="D684" s="35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54"/>
    </row>
    <row r="685" spans="1:16" s="28" customFormat="1" x14ac:dyDescent="0.25">
      <c r="A685" s="53"/>
      <c r="B685" s="58"/>
      <c r="C685" s="58"/>
      <c r="D685" s="35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54"/>
    </row>
    <row r="686" spans="1:16" s="28" customFormat="1" x14ac:dyDescent="0.25">
      <c r="A686" s="53"/>
      <c r="B686" s="58"/>
      <c r="C686" s="58"/>
      <c r="D686" s="35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54"/>
    </row>
    <row r="687" spans="1:16" s="28" customFormat="1" x14ac:dyDescent="0.25">
      <c r="A687" s="53"/>
      <c r="B687" s="58"/>
      <c r="C687" s="58"/>
      <c r="D687" s="35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54"/>
    </row>
    <row r="688" spans="1:16" s="28" customFormat="1" x14ac:dyDescent="0.25">
      <c r="A688" s="53"/>
      <c r="B688" s="58"/>
      <c r="C688" s="58"/>
      <c r="D688" s="35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54"/>
    </row>
    <row r="689" spans="1:16" s="28" customFormat="1" x14ac:dyDescent="0.25">
      <c r="A689" s="53"/>
      <c r="B689" s="58"/>
      <c r="C689" s="58"/>
      <c r="D689" s="35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54"/>
    </row>
    <row r="690" spans="1:16" s="28" customFormat="1" x14ac:dyDescent="0.25">
      <c r="A690" s="53"/>
      <c r="B690" s="58"/>
      <c r="C690" s="58"/>
      <c r="D690" s="35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54"/>
    </row>
    <row r="691" spans="1:16" s="28" customFormat="1" x14ac:dyDescent="0.25">
      <c r="A691" s="53"/>
      <c r="B691" s="58"/>
      <c r="C691" s="58"/>
      <c r="D691" s="35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54"/>
    </row>
    <row r="692" spans="1:16" s="28" customFormat="1" x14ac:dyDescent="0.25">
      <c r="A692" s="53"/>
      <c r="B692" s="58"/>
      <c r="C692" s="58"/>
      <c r="D692" s="35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54"/>
    </row>
    <row r="693" spans="1:16" s="28" customFormat="1" x14ac:dyDescent="0.25">
      <c r="A693" s="53"/>
      <c r="B693" s="58"/>
      <c r="C693" s="58"/>
      <c r="D693" s="35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54"/>
    </row>
    <row r="694" spans="1:16" s="28" customFormat="1" x14ac:dyDescent="0.25">
      <c r="A694" s="53"/>
      <c r="B694" s="58"/>
      <c r="C694" s="58"/>
      <c r="D694" s="35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54"/>
    </row>
    <row r="695" spans="1:16" s="28" customFormat="1" x14ac:dyDescent="0.25">
      <c r="A695" s="53"/>
      <c r="B695" s="58"/>
      <c r="C695" s="58"/>
      <c r="D695" s="35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54"/>
    </row>
    <row r="696" spans="1:16" s="28" customFormat="1" x14ac:dyDescent="0.25">
      <c r="A696" s="53"/>
      <c r="B696" s="58"/>
      <c r="C696" s="58"/>
      <c r="D696" s="35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54"/>
    </row>
    <row r="697" spans="1:16" s="28" customFormat="1" x14ac:dyDescent="0.25">
      <c r="A697" s="53"/>
      <c r="B697" s="58"/>
      <c r="C697" s="58"/>
      <c r="D697" s="35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54"/>
    </row>
    <row r="698" spans="1:16" s="28" customFormat="1" x14ac:dyDescent="0.25">
      <c r="A698" s="53"/>
      <c r="B698" s="58"/>
      <c r="C698" s="58"/>
      <c r="D698" s="35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54"/>
    </row>
    <row r="699" spans="1:16" s="28" customFormat="1" x14ac:dyDescent="0.25">
      <c r="A699" s="53"/>
      <c r="B699" s="58"/>
      <c r="C699" s="58"/>
      <c r="D699" s="35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54"/>
    </row>
    <row r="700" spans="1:16" s="28" customFormat="1" x14ac:dyDescent="0.25">
      <c r="A700" s="53"/>
      <c r="B700" s="58"/>
      <c r="C700" s="58"/>
      <c r="D700" s="35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54"/>
    </row>
    <row r="701" spans="1:16" s="28" customFormat="1" x14ac:dyDescent="0.25">
      <c r="A701" s="53"/>
      <c r="B701" s="58"/>
      <c r="C701" s="58"/>
      <c r="D701" s="35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54"/>
    </row>
    <row r="702" spans="1:16" s="28" customFormat="1" x14ac:dyDescent="0.25">
      <c r="A702" s="53"/>
      <c r="B702" s="58"/>
      <c r="C702" s="58"/>
      <c r="D702" s="35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54"/>
    </row>
    <row r="703" spans="1:16" s="28" customFormat="1" x14ac:dyDescent="0.25">
      <c r="A703" s="53"/>
      <c r="B703" s="58"/>
      <c r="C703" s="58"/>
      <c r="D703" s="35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54"/>
    </row>
    <row r="704" spans="1:16" s="28" customFormat="1" x14ac:dyDescent="0.25">
      <c r="A704" s="53"/>
      <c r="B704" s="58"/>
      <c r="C704" s="58"/>
      <c r="D704" s="35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54"/>
    </row>
    <row r="705" spans="1:16" s="28" customFormat="1" x14ac:dyDescent="0.25">
      <c r="A705" s="53"/>
      <c r="B705" s="58"/>
      <c r="C705" s="58"/>
      <c r="D705" s="35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54"/>
    </row>
    <row r="706" spans="1:16" s="28" customFormat="1" x14ac:dyDescent="0.25">
      <c r="A706" s="53"/>
      <c r="B706" s="58"/>
      <c r="C706" s="58"/>
      <c r="D706" s="35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54"/>
    </row>
    <row r="707" spans="1:16" s="28" customFormat="1" x14ac:dyDescent="0.25">
      <c r="A707" s="53"/>
      <c r="B707" s="58"/>
      <c r="C707" s="58"/>
      <c r="D707" s="35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54"/>
    </row>
    <row r="708" spans="1:16" s="28" customFormat="1" x14ac:dyDescent="0.25">
      <c r="A708" s="53"/>
      <c r="B708" s="58"/>
      <c r="C708" s="58"/>
      <c r="D708" s="35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54"/>
    </row>
    <row r="709" spans="1:16" s="28" customFormat="1" x14ac:dyDescent="0.25">
      <c r="A709" s="53"/>
      <c r="B709" s="58"/>
      <c r="C709" s="58"/>
      <c r="D709" s="35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54"/>
    </row>
    <row r="710" spans="1:16" s="28" customFormat="1" x14ac:dyDescent="0.25">
      <c r="A710" s="53"/>
      <c r="B710" s="58"/>
      <c r="C710" s="58"/>
      <c r="D710" s="35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54"/>
    </row>
    <row r="711" spans="1:16" s="28" customFormat="1" x14ac:dyDescent="0.25">
      <c r="A711" s="53"/>
      <c r="B711" s="58"/>
      <c r="C711" s="58"/>
      <c r="D711" s="35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54"/>
    </row>
    <row r="712" spans="1:16" s="28" customFormat="1" x14ac:dyDescent="0.25">
      <c r="A712" s="53"/>
      <c r="B712" s="58"/>
      <c r="C712" s="58"/>
      <c r="D712" s="35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54"/>
    </row>
    <row r="713" spans="1:16" s="28" customFormat="1" x14ac:dyDescent="0.25">
      <c r="A713" s="53"/>
      <c r="B713" s="58"/>
      <c r="C713" s="58"/>
      <c r="D713" s="35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54"/>
    </row>
    <row r="714" spans="1:16" s="28" customFormat="1" x14ac:dyDescent="0.25">
      <c r="A714" s="53"/>
      <c r="B714" s="58"/>
      <c r="C714" s="58"/>
      <c r="D714" s="35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54"/>
    </row>
    <row r="715" spans="1:16" s="28" customFormat="1" x14ac:dyDescent="0.25">
      <c r="A715" s="53"/>
      <c r="B715" s="58"/>
      <c r="C715" s="58"/>
      <c r="D715" s="35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54"/>
    </row>
    <row r="716" spans="1:16" s="28" customFormat="1" x14ac:dyDescent="0.25">
      <c r="A716" s="53"/>
      <c r="B716" s="58"/>
      <c r="C716" s="58"/>
      <c r="D716" s="35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54"/>
    </row>
    <row r="717" spans="1:16" s="28" customFormat="1" x14ac:dyDescent="0.25">
      <c r="A717" s="53"/>
      <c r="B717" s="58"/>
      <c r="C717" s="58"/>
      <c r="D717" s="35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54"/>
    </row>
    <row r="718" spans="1:16" s="28" customFormat="1" x14ac:dyDescent="0.25">
      <c r="A718" s="53"/>
      <c r="B718" s="58"/>
      <c r="C718" s="58"/>
      <c r="D718" s="35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54"/>
    </row>
    <row r="719" spans="1:16" s="28" customFormat="1" x14ac:dyDescent="0.25">
      <c r="A719" s="53"/>
      <c r="B719" s="58"/>
      <c r="C719" s="58"/>
      <c r="D719" s="35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54"/>
    </row>
    <row r="720" spans="1:16" s="28" customFormat="1" x14ac:dyDescent="0.25">
      <c r="A720" s="53"/>
      <c r="B720" s="58"/>
      <c r="C720" s="58"/>
      <c r="D720" s="35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54"/>
    </row>
    <row r="721" spans="1:16" s="28" customFormat="1" x14ac:dyDescent="0.25">
      <c r="A721" s="53"/>
      <c r="B721" s="58"/>
      <c r="C721" s="58"/>
      <c r="D721" s="35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54"/>
    </row>
    <row r="722" spans="1:16" s="28" customFormat="1" x14ac:dyDescent="0.25">
      <c r="A722" s="53"/>
      <c r="B722" s="58"/>
      <c r="C722" s="58"/>
      <c r="D722" s="35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54"/>
    </row>
    <row r="723" spans="1:16" s="28" customFormat="1" x14ac:dyDescent="0.25">
      <c r="A723" s="53"/>
      <c r="B723" s="58"/>
      <c r="C723" s="58"/>
      <c r="D723" s="35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54"/>
    </row>
    <row r="724" spans="1:16" s="28" customFormat="1" x14ac:dyDescent="0.25">
      <c r="A724" s="53"/>
      <c r="B724" s="58"/>
      <c r="C724" s="58"/>
      <c r="D724" s="35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54"/>
    </row>
    <row r="725" spans="1:16" s="28" customFormat="1" x14ac:dyDescent="0.25">
      <c r="A725" s="53"/>
      <c r="B725" s="58"/>
      <c r="C725" s="58"/>
      <c r="D725" s="35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54"/>
    </row>
    <row r="726" spans="1:16" s="28" customFormat="1" x14ac:dyDescent="0.25">
      <c r="A726" s="53"/>
      <c r="B726" s="58"/>
      <c r="C726" s="58"/>
      <c r="D726" s="35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54"/>
    </row>
    <row r="727" spans="1:16" s="28" customFormat="1" x14ac:dyDescent="0.25">
      <c r="A727" s="53"/>
      <c r="B727" s="58"/>
      <c r="C727" s="58"/>
      <c r="D727" s="35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54"/>
    </row>
    <row r="728" spans="1:16" s="28" customFormat="1" x14ac:dyDescent="0.25">
      <c r="A728" s="53"/>
      <c r="B728" s="58"/>
      <c r="C728" s="58"/>
      <c r="D728" s="35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54"/>
    </row>
    <row r="729" spans="1:16" s="28" customFormat="1" x14ac:dyDescent="0.25">
      <c r="A729" s="53"/>
      <c r="B729" s="58"/>
      <c r="C729" s="58"/>
      <c r="D729" s="35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54"/>
    </row>
    <row r="730" spans="1:16" s="28" customFormat="1" x14ac:dyDescent="0.25">
      <c r="A730" s="53"/>
      <c r="B730" s="58"/>
      <c r="C730" s="58"/>
      <c r="D730" s="35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54"/>
    </row>
    <row r="731" spans="1:16" s="28" customFormat="1" x14ac:dyDescent="0.25">
      <c r="A731" s="53"/>
      <c r="B731" s="58"/>
      <c r="C731" s="58"/>
      <c r="D731" s="35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54"/>
    </row>
    <row r="732" spans="1:16" s="28" customFormat="1" x14ac:dyDescent="0.25">
      <c r="A732" s="53"/>
      <c r="B732" s="58"/>
      <c r="C732" s="58"/>
      <c r="D732" s="35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54"/>
    </row>
    <row r="733" spans="1:16" s="28" customFormat="1" x14ac:dyDescent="0.25">
      <c r="A733" s="53"/>
      <c r="B733" s="58"/>
      <c r="C733" s="58"/>
      <c r="D733" s="35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54"/>
    </row>
    <row r="734" spans="1:16" s="28" customFormat="1" x14ac:dyDescent="0.25">
      <c r="A734" s="53"/>
      <c r="B734" s="58"/>
      <c r="C734" s="58"/>
      <c r="D734" s="35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54"/>
    </row>
    <row r="735" spans="1:16" s="28" customFormat="1" x14ac:dyDescent="0.25">
      <c r="A735" s="53"/>
      <c r="B735" s="58"/>
      <c r="C735" s="58"/>
      <c r="D735" s="35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54"/>
    </row>
    <row r="736" spans="1:16" s="28" customFormat="1" x14ac:dyDescent="0.25">
      <c r="A736" s="53"/>
      <c r="B736" s="58"/>
      <c r="C736" s="58"/>
      <c r="D736" s="35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54"/>
    </row>
    <row r="737" spans="1:16" s="28" customFormat="1" x14ac:dyDescent="0.25">
      <c r="A737" s="53"/>
      <c r="B737" s="58"/>
      <c r="C737" s="58"/>
      <c r="D737" s="35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54"/>
    </row>
    <row r="738" spans="1:16" s="28" customFormat="1" x14ac:dyDescent="0.25">
      <c r="A738" s="53"/>
      <c r="B738" s="58"/>
      <c r="C738" s="58"/>
      <c r="D738" s="35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54"/>
    </row>
    <row r="739" spans="1:16" s="28" customFormat="1" x14ac:dyDescent="0.25">
      <c r="A739" s="53"/>
      <c r="B739" s="58"/>
      <c r="C739" s="58"/>
      <c r="D739" s="35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54"/>
    </row>
    <row r="740" spans="1:16" s="28" customFormat="1" x14ac:dyDescent="0.25">
      <c r="A740" s="53"/>
      <c r="B740" s="58"/>
      <c r="C740" s="58"/>
      <c r="D740" s="35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54"/>
    </row>
    <row r="741" spans="1:16" s="28" customFormat="1" x14ac:dyDescent="0.25">
      <c r="A741" s="53"/>
      <c r="B741" s="58"/>
      <c r="C741" s="58"/>
      <c r="D741" s="35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54"/>
    </row>
    <row r="742" spans="1:16" s="28" customFormat="1" x14ac:dyDescent="0.25">
      <c r="A742" s="53"/>
      <c r="B742" s="58"/>
      <c r="C742" s="58"/>
      <c r="D742" s="35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54"/>
    </row>
    <row r="743" spans="1:16" s="28" customFormat="1" x14ac:dyDescent="0.25">
      <c r="A743" s="53"/>
      <c r="B743" s="58"/>
      <c r="C743" s="58"/>
      <c r="D743" s="35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54"/>
    </row>
    <row r="744" spans="1:16" s="28" customFormat="1" x14ac:dyDescent="0.25">
      <c r="A744" s="53"/>
      <c r="B744" s="58"/>
      <c r="C744" s="58"/>
      <c r="D744" s="35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54"/>
    </row>
    <row r="745" spans="1:16" s="28" customFormat="1" x14ac:dyDescent="0.25">
      <c r="A745" s="53"/>
      <c r="B745" s="58"/>
      <c r="C745" s="58"/>
      <c r="D745" s="35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54"/>
    </row>
    <row r="746" spans="1:16" s="28" customFormat="1" x14ac:dyDescent="0.25">
      <c r="A746" s="53"/>
      <c r="B746" s="58"/>
      <c r="C746" s="58"/>
      <c r="D746" s="35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54"/>
    </row>
    <row r="747" spans="1:16" s="28" customFormat="1" x14ac:dyDescent="0.25">
      <c r="A747" s="53"/>
      <c r="B747" s="58"/>
      <c r="C747" s="58"/>
      <c r="D747" s="35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54"/>
    </row>
    <row r="748" spans="1:16" s="28" customFormat="1" x14ac:dyDescent="0.25">
      <c r="A748" s="53"/>
      <c r="B748" s="58"/>
      <c r="C748" s="58"/>
      <c r="D748" s="35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54"/>
    </row>
    <row r="749" spans="1:16" s="28" customFormat="1" x14ac:dyDescent="0.25">
      <c r="A749" s="53"/>
      <c r="B749" s="58"/>
      <c r="C749" s="58"/>
      <c r="D749" s="35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54"/>
    </row>
    <row r="750" spans="1:16" s="28" customFormat="1" x14ac:dyDescent="0.25">
      <c r="A750" s="53"/>
      <c r="B750" s="58"/>
      <c r="C750" s="58"/>
      <c r="D750" s="35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54"/>
    </row>
    <row r="751" spans="1:16" s="28" customFormat="1" x14ac:dyDescent="0.25">
      <c r="A751" s="53"/>
      <c r="B751" s="58"/>
      <c r="C751" s="58"/>
      <c r="D751" s="35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54"/>
    </row>
    <row r="752" spans="1:16" s="28" customFormat="1" x14ac:dyDescent="0.25">
      <c r="A752" s="53"/>
      <c r="B752" s="58"/>
      <c r="C752" s="58"/>
      <c r="D752" s="35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54"/>
    </row>
    <row r="753" spans="1:16" s="28" customFormat="1" x14ac:dyDescent="0.25">
      <c r="A753" s="53"/>
      <c r="B753" s="58"/>
      <c r="C753" s="58"/>
      <c r="D753" s="35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54"/>
    </row>
    <row r="754" spans="1:16" s="28" customFormat="1" x14ac:dyDescent="0.25">
      <c r="A754" s="53"/>
      <c r="B754" s="58"/>
      <c r="C754" s="58"/>
      <c r="D754" s="35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54"/>
    </row>
    <row r="755" spans="1:16" s="28" customFormat="1" x14ac:dyDescent="0.25">
      <c r="A755" s="53"/>
      <c r="B755" s="58"/>
      <c r="C755" s="58"/>
      <c r="D755" s="35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54"/>
    </row>
    <row r="756" spans="1:16" s="28" customFormat="1" x14ac:dyDescent="0.25">
      <c r="A756" s="53"/>
      <c r="B756" s="58"/>
      <c r="C756" s="58"/>
      <c r="D756" s="35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54"/>
    </row>
    <row r="757" spans="1:16" s="28" customFormat="1" x14ac:dyDescent="0.25">
      <c r="A757" s="53"/>
      <c r="B757" s="58"/>
      <c r="C757" s="58"/>
      <c r="D757" s="35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54"/>
    </row>
    <row r="758" spans="1:16" s="28" customFormat="1" x14ac:dyDescent="0.25">
      <c r="A758" s="53"/>
      <c r="B758" s="58"/>
      <c r="C758" s="58"/>
      <c r="D758" s="35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54"/>
    </row>
    <row r="759" spans="1:16" s="28" customFormat="1" x14ac:dyDescent="0.25">
      <c r="A759" s="53"/>
      <c r="B759" s="58"/>
      <c r="C759" s="58"/>
      <c r="D759" s="35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54"/>
    </row>
    <row r="760" spans="1:16" s="28" customFormat="1" x14ac:dyDescent="0.25">
      <c r="A760" s="53"/>
      <c r="B760" s="58"/>
      <c r="C760" s="58"/>
      <c r="D760" s="35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54"/>
    </row>
    <row r="761" spans="1:16" s="28" customFormat="1" x14ac:dyDescent="0.25">
      <c r="A761" s="53"/>
      <c r="B761" s="58"/>
      <c r="C761" s="58"/>
      <c r="D761" s="35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54"/>
    </row>
    <row r="762" spans="1:16" s="28" customFormat="1" x14ac:dyDescent="0.25">
      <c r="A762" s="53"/>
      <c r="B762" s="58"/>
      <c r="C762" s="58"/>
      <c r="D762" s="35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54"/>
    </row>
    <row r="763" spans="1:16" s="28" customFormat="1" x14ac:dyDescent="0.25">
      <c r="A763" s="53"/>
      <c r="B763" s="58"/>
      <c r="C763" s="58"/>
      <c r="D763" s="35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54"/>
    </row>
    <row r="764" spans="1:16" s="28" customFormat="1" x14ac:dyDescent="0.25">
      <c r="A764" s="53"/>
      <c r="B764" s="58"/>
      <c r="C764" s="58"/>
      <c r="D764" s="35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54"/>
    </row>
    <row r="765" spans="1:16" s="28" customFormat="1" x14ac:dyDescent="0.25">
      <c r="A765" s="53"/>
      <c r="B765" s="58"/>
      <c r="C765" s="58"/>
      <c r="D765" s="35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54"/>
    </row>
    <row r="766" spans="1:16" s="28" customFormat="1" x14ac:dyDescent="0.25">
      <c r="A766" s="53"/>
      <c r="B766" s="58"/>
      <c r="C766" s="58"/>
      <c r="D766" s="35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54"/>
    </row>
    <row r="767" spans="1:16" s="28" customFormat="1" x14ac:dyDescent="0.25">
      <c r="A767" s="53"/>
      <c r="B767" s="58"/>
      <c r="C767" s="58"/>
      <c r="D767" s="35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54"/>
    </row>
    <row r="768" spans="1:16" s="28" customFormat="1" x14ac:dyDescent="0.25">
      <c r="A768" s="53"/>
      <c r="B768" s="58"/>
      <c r="C768" s="58"/>
      <c r="D768" s="35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54"/>
    </row>
    <row r="769" spans="1:16" s="28" customFormat="1" x14ac:dyDescent="0.25">
      <c r="A769" s="53"/>
      <c r="B769" s="58"/>
      <c r="C769" s="58"/>
      <c r="D769" s="35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54"/>
    </row>
    <row r="770" spans="1:16" s="28" customFormat="1" x14ac:dyDescent="0.25">
      <c r="A770" s="53"/>
      <c r="B770" s="58"/>
      <c r="C770" s="58"/>
      <c r="D770" s="35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54"/>
    </row>
    <row r="771" spans="1:16" s="28" customFormat="1" x14ac:dyDescent="0.25">
      <c r="A771" s="53"/>
      <c r="B771" s="58"/>
      <c r="C771" s="58"/>
      <c r="D771" s="35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54"/>
    </row>
    <row r="772" spans="1:16" s="28" customFormat="1" x14ac:dyDescent="0.25">
      <c r="A772" s="53"/>
      <c r="B772" s="58"/>
      <c r="C772" s="58"/>
      <c r="D772" s="35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54"/>
    </row>
    <row r="773" spans="1:16" s="28" customFormat="1" x14ac:dyDescent="0.25">
      <c r="A773" s="53"/>
      <c r="B773" s="58"/>
      <c r="C773" s="58"/>
      <c r="D773" s="35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54"/>
    </row>
    <row r="774" spans="1:16" s="28" customFormat="1" x14ac:dyDescent="0.25">
      <c r="A774" s="53"/>
      <c r="B774" s="58"/>
      <c r="C774" s="58"/>
      <c r="D774" s="35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54"/>
    </row>
    <row r="775" spans="1:16" s="28" customFormat="1" x14ac:dyDescent="0.25">
      <c r="A775" s="53"/>
      <c r="B775" s="58"/>
      <c r="C775" s="58"/>
      <c r="D775" s="35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54"/>
    </row>
    <row r="776" spans="1:16" s="28" customFormat="1" x14ac:dyDescent="0.25">
      <c r="A776" s="53"/>
      <c r="B776" s="58"/>
      <c r="C776" s="58"/>
      <c r="D776" s="35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54"/>
    </row>
    <row r="777" spans="1:16" s="28" customFormat="1" x14ac:dyDescent="0.25">
      <c r="A777" s="53"/>
      <c r="B777" s="58"/>
      <c r="C777" s="58"/>
      <c r="D777" s="35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54"/>
    </row>
    <row r="778" spans="1:16" s="28" customFormat="1" x14ac:dyDescent="0.25">
      <c r="A778" s="53"/>
      <c r="B778" s="58"/>
      <c r="C778" s="58"/>
      <c r="D778" s="35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54"/>
    </row>
    <row r="779" spans="1:16" s="28" customFormat="1" x14ac:dyDescent="0.25">
      <c r="A779" s="53"/>
      <c r="B779" s="58"/>
      <c r="C779" s="58"/>
      <c r="D779" s="35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54"/>
    </row>
    <row r="780" spans="1:16" s="28" customFormat="1" x14ac:dyDescent="0.25">
      <c r="A780" s="53"/>
      <c r="B780" s="58"/>
      <c r="C780" s="58"/>
      <c r="D780" s="35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54"/>
    </row>
    <row r="781" spans="1:16" s="28" customFormat="1" x14ac:dyDescent="0.25">
      <c r="A781" s="53"/>
      <c r="B781" s="58"/>
      <c r="C781" s="58"/>
      <c r="D781" s="35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54"/>
    </row>
    <row r="782" spans="1:16" s="28" customFormat="1" x14ac:dyDescent="0.25">
      <c r="A782" s="53"/>
      <c r="B782" s="58"/>
      <c r="C782" s="58"/>
      <c r="D782" s="35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54"/>
    </row>
    <row r="783" spans="1:16" s="28" customFormat="1" x14ac:dyDescent="0.25">
      <c r="A783" s="53"/>
      <c r="B783" s="58"/>
      <c r="C783" s="58"/>
      <c r="D783" s="35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54"/>
    </row>
    <row r="784" spans="1:16" s="28" customFormat="1" x14ac:dyDescent="0.25">
      <c r="A784" s="53"/>
      <c r="B784" s="58"/>
      <c r="C784" s="58"/>
      <c r="D784" s="35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54"/>
    </row>
    <row r="785" spans="1:16" s="28" customFormat="1" x14ac:dyDescent="0.25">
      <c r="A785" s="53"/>
      <c r="B785" s="58"/>
      <c r="C785" s="58"/>
      <c r="D785" s="35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54"/>
    </row>
    <row r="786" spans="1:16" s="28" customFormat="1" x14ac:dyDescent="0.25">
      <c r="A786" s="53"/>
      <c r="B786" s="58"/>
      <c r="C786" s="58"/>
      <c r="D786" s="35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54"/>
    </row>
    <row r="787" spans="1:16" s="28" customFormat="1" x14ac:dyDescent="0.25">
      <c r="A787" s="53"/>
      <c r="B787" s="58"/>
      <c r="C787" s="58"/>
      <c r="D787" s="35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54"/>
    </row>
    <row r="788" spans="1:16" s="28" customFormat="1" x14ac:dyDescent="0.25">
      <c r="A788" s="53"/>
      <c r="B788" s="58"/>
      <c r="C788" s="58"/>
      <c r="D788" s="35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54"/>
    </row>
    <row r="789" spans="1:16" s="28" customFormat="1" x14ac:dyDescent="0.25">
      <c r="A789" s="53"/>
      <c r="B789" s="58"/>
      <c r="C789" s="58"/>
      <c r="D789" s="35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54"/>
    </row>
    <row r="790" spans="1:16" s="28" customFormat="1" x14ac:dyDescent="0.25">
      <c r="A790" s="53"/>
      <c r="B790" s="58"/>
      <c r="C790" s="58"/>
      <c r="D790" s="35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54"/>
    </row>
    <row r="791" spans="1:16" s="28" customFormat="1" x14ac:dyDescent="0.25">
      <c r="A791" s="53"/>
      <c r="B791" s="58"/>
      <c r="C791" s="58"/>
      <c r="D791" s="35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54"/>
    </row>
    <row r="792" spans="1:16" s="28" customFormat="1" x14ac:dyDescent="0.25">
      <c r="A792" s="53"/>
      <c r="B792" s="58"/>
      <c r="C792" s="58"/>
      <c r="D792" s="35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54"/>
    </row>
    <row r="793" spans="1:16" s="28" customFormat="1" x14ac:dyDescent="0.25">
      <c r="A793" s="53"/>
      <c r="B793" s="58"/>
      <c r="C793" s="58"/>
      <c r="D793" s="35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54"/>
    </row>
    <row r="794" spans="1:16" s="28" customFormat="1" x14ac:dyDescent="0.25">
      <c r="A794" s="53"/>
      <c r="B794" s="58"/>
      <c r="C794" s="58"/>
      <c r="D794" s="35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54"/>
    </row>
    <row r="795" spans="1:16" s="28" customFormat="1" x14ac:dyDescent="0.25">
      <c r="A795" s="53"/>
      <c r="B795" s="58"/>
      <c r="C795" s="58"/>
      <c r="D795" s="35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54"/>
    </row>
    <row r="796" spans="1:16" s="28" customFormat="1" x14ac:dyDescent="0.25">
      <c r="A796" s="53"/>
      <c r="B796" s="58"/>
      <c r="C796" s="58"/>
      <c r="D796" s="35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54"/>
    </row>
    <row r="797" spans="1:16" s="28" customFormat="1" x14ac:dyDescent="0.25">
      <c r="A797" s="53"/>
      <c r="B797" s="58"/>
      <c r="C797" s="58"/>
      <c r="D797" s="35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54"/>
    </row>
    <row r="798" spans="1:16" s="28" customFormat="1" x14ac:dyDescent="0.25">
      <c r="A798" s="53"/>
      <c r="B798" s="58"/>
      <c r="C798" s="58"/>
      <c r="D798" s="35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54"/>
    </row>
    <row r="799" spans="1:16" s="28" customFormat="1" x14ac:dyDescent="0.25">
      <c r="A799" s="53"/>
      <c r="B799" s="58"/>
      <c r="C799" s="58"/>
      <c r="D799" s="35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54"/>
    </row>
    <row r="800" spans="1:16" s="28" customFormat="1" x14ac:dyDescent="0.25">
      <c r="A800" s="53"/>
      <c r="B800" s="58"/>
      <c r="C800" s="58"/>
      <c r="D800" s="35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54"/>
    </row>
    <row r="801" spans="1:16" s="28" customFormat="1" x14ac:dyDescent="0.25">
      <c r="A801" s="53"/>
      <c r="B801" s="58"/>
      <c r="C801" s="58"/>
      <c r="D801" s="35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54"/>
    </row>
    <row r="802" spans="1:16" s="28" customFormat="1" x14ac:dyDescent="0.25">
      <c r="A802" s="53"/>
      <c r="B802" s="58"/>
      <c r="C802" s="58"/>
      <c r="D802" s="35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54"/>
    </row>
    <row r="803" spans="1:16" s="28" customFormat="1" x14ac:dyDescent="0.25">
      <c r="A803" s="53"/>
      <c r="B803" s="58"/>
      <c r="C803" s="58"/>
      <c r="D803" s="35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54"/>
    </row>
    <row r="804" spans="1:16" s="28" customFormat="1" x14ac:dyDescent="0.25">
      <c r="A804" s="53"/>
      <c r="B804" s="58"/>
      <c r="C804" s="58"/>
      <c r="D804" s="35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54"/>
    </row>
    <row r="805" spans="1:16" s="28" customFormat="1" x14ac:dyDescent="0.25">
      <c r="A805" s="53"/>
      <c r="B805" s="58"/>
      <c r="C805" s="58"/>
      <c r="D805" s="35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54"/>
    </row>
    <row r="806" spans="1:16" s="28" customFormat="1" x14ac:dyDescent="0.25">
      <c r="A806" s="53"/>
      <c r="B806" s="58"/>
      <c r="C806" s="58"/>
      <c r="D806" s="35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54"/>
    </row>
    <row r="807" spans="1:16" s="28" customFormat="1" x14ac:dyDescent="0.25">
      <c r="A807" s="53"/>
      <c r="B807" s="58"/>
      <c r="C807" s="58"/>
      <c r="D807" s="35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54"/>
    </row>
    <row r="808" spans="1:16" s="28" customFormat="1" x14ac:dyDescent="0.25">
      <c r="A808" s="53"/>
      <c r="B808" s="58"/>
      <c r="C808" s="58"/>
      <c r="D808" s="35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54"/>
    </row>
    <row r="809" spans="1:16" s="28" customFormat="1" x14ac:dyDescent="0.25">
      <c r="A809" s="53"/>
      <c r="B809" s="58"/>
      <c r="C809" s="58"/>
      <c r="D809" s="35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54"/>
    </row>
    <row r="810" spans="1:16" s="28" customFormat="1" x14ac:dyDescent="0.25">
      <c r="A810" s="53"/>
      <c r="B810" s="58"/>
      <c r="C810" s="58"/>
      <c r="D810" s="35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54"/>
    </row>
    <row r="811" spans="1:16" s="28" customFormat="1" x14ac:dyDescent="0.25">
      <c r="A811" s="53"/>
      <c r="B811" s="58"/>
      <c r="C811" s="58"/>
      <c r="D811" s="35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54"/>
    </row>
    <row r="812" spans="1:16" s="28" customFormat="1" x14ac:dyDescent="0.25">
      <c r="A812" s="53"/>
      <c r="B812" s="58"/>
      <c r="C812" s="58"/>
      <c r="D812" s="35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54"/>
    </row>
    <row r="813" spans="1:16" s="28" customFormat="1" x14ac:dyDescent="0.25">
      <c r="A813" s="53"/>
      <c r="B813" s="58"/>
      <c r="C813" s="58"/>
      <c r="D813" s="35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54"/>
    </row>
    <row r="814" spans="1:16" s="28" customFormat="1" x14ac:dyDescent="0.25">
      <c r="A814" s="53"/>
      <c r="B814" s="58"/>
      <c r="C814" s="58"/>
      <c r="D814" s="35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54"/>
    </row>
    <row r="815" spans="1:16" s="28" customFormat="1" x14ac:dyDescent="0.25">
      <c r="A815" s="53"/>
      <c r="B815" s="58"/>
      <c r="C815" s="58"/>
      <c r="D815" s="35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54"/>
    </row>
    <row r="816" spans="1:16" s="28" customFormat="1" x14ac:dyDescent="0.25">
      <c r="A816" s="53"/>
      <c r="B816" s="58"/>
      <c r="C816" s="58"/>
      <c r="D816" s="35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54"/>
    </row>
    <row r="817" spans="1:16" s="28" customFormat="1" x14ac:dyDescent="0.25">
      <c r="A817" s="53"/>
      <c r="B817" s="58"/>
      <c r="C817" s="58"/>
      <c r="D817" s="35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54"/>
    </row>
    <row r="818" spans="1:16" s="28" customFormat="1" x14ac:dyDescent="0.25">
      <c r="A818" s="53"/>
      <c r="B818" s="58"/>
      <c r="C818" s="58"/>
      <c r="D818" s="35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54"/>
    </row>
    <row r="819" spans="1:16" s="28" customFormat="1" x14ac:dyDescent="0.25">
      <c r="A819" s="53"/>
      <c r="B819" s="58"/>
      <c r="C819" s="58"/>
      <c r="D819" s="35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54"/>
    </row>
    <row r="820" spans="1:16" s="28" customFormat="1" x14ac:dyDescent="0.25">
      <c r="A820" s="53"/>
      <c r="B820" s="58"/>
      <c r="C820" s="58"/>
      <c r="D820" s="35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54"/>
    </row>
    <row r="821" spans="1:16" s="28" customFormat="1" x14ac:dyDescent="0.25">
      <c r="A821" s="53"/>
      <c r="B821" s="58"/>
      <c r="C821" s="58"/>
      <c r="D821" s="35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54"/>
    </row>
    <row r="822" spans="1:16" s="28" customFormat="1" x14ac:dyDescent="0.25">
      <c r="A822" s="53"/>
      <c r="B822" s="58"/>
      <c r="C822" s="58"/>
      <c r="D822" s="35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54"/>
    </row>
    <row r="823" spans="1:16" s="28" customFormat="1" x14ac:dyDescent="0.25">
      <c r="A823" s="53"/>
      <c r="B823" s="58"/>
      <c r="C823" s="58"/>
      <c r="D823" s="35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54"/>
    </row>
    <row r="824" spans="1:16" s="28" customFormat="1" x14ac:dyDescent="0.25">
      <c r="A824" s="53"/>
      <c r="B824" s="58"/>
      <c r="C824" s="58"/>
      <c r="D824" s="35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54"/>
    </row>
    <row r="825" spans="1:16" s="28" customFormat="1" x14ac:dyDescent="0.25">
      <c r="A825" s="53"/>
      <c r="B825" s="58"/>
      <c r="C825" s="58"/>
      <c r="D825" s="35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54"/>
    </row>
    <row r="826" spans="1:16" s="28" customFormat="1" x14ac:dyDescent="0.25">
      <c r="A826" s="53"/>
      <c r="B826" s="58"/>
      <c r="C826" s="58"/>
      <c r="D826" s="35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54"/>
    </row>
    <row r="827" spans="1:16" s="28" customFormat="1" x14ac:dyDescent="0.25">
      <c r="A827" s="53"/>
      <c r="B827" s="58"/>
      <c r="C827" s="58"/>
      <c r="D827" s="35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54"/>
    </row>
    <row r="828" spans="1:16" s="28" customFormat="1" x14ac:dyDescent="0.25">
      <c r="A828" s="53"/>
      <c r="B828" s="58"/>
      <c r="C828" s="58"/>
      <c r="D828" s="35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54"/>
    </row>
    <row r="829" spans="1:16" s="28" customFormat="1" x14ac:dyDescent="0.25">
      <c r="A829" s="53"/>
      <c r="B829" s="58"/>
      <c r="C829" s="58"/>
      <c r="D829" s="35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54"/>
    </row>
    <row r="830" spans="1:16" s="28" customFormat="1" x14ac:dyDescent="0.25">
      <c r="A830" s="53"/>
      <c r="B830" s="58"/>
      <c r="C830" s="58"/>
      <c r="D830" s="35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54"/>
    </row>
    <row r="831" spans="1:16" s="28" customFormat="1" x14ac:dyDescent="0.25">
      <c r="A831" s="53"/>
      <c r="B831" s="58"/>
      <c r="C831" s="58"/>
      <c r="D831" s="35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54"/>
    </row>
    <row r="832" spans="1:16" s="28" customFormat="1" x14ac:dyDescent="0.25">
      <c r="A832" s="53"/>
      <c r="B832" s="58"/>
      <c r="C832" s="58"/>
      <c r="D832" s="35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54"/>
    </row>
    <row r="833" spans="1:16" s="28" customFormat="1" x14ac:dyDescent="0.25">
      <c r="A833" s="53"/>
      <c r="B833" s="58"/>
      <c r="C833" s="58"/>
      <c r="D833" s="35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54"/>
    </row>
    <row r="834" spans="1:16" s="28" customFormat="1" x14ac:dyDescent="0.25">
      <c r="A834" s="53"/>
      <c r="B834" s="58"/>
      <c r="C834" s="58"/>
      <c r="D834" s="35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54"/>
    </row>
    <row r="835" spans="1:16" s="28" customFormat="1" x14ac:dyDescent="0.25">
      <c r="A835" s="53"/>
      <c r="B835" s="58"/>
      <c r="C835" s="58"/>
      <c r="D835" s="35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54"/>
    </row>
    <row r="836" spans="1:16" s="28" customFormat="1" x14ac:dyDescent="0.25">
      <c r="A836" s="53"/>
      <c r="B836" s="58"/>
      <c r="C836" s="58"/>
      <c r="D836" s="35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54"/>
    </row>
    <row r="837" spans="1:16" s="28" customFormat="1" x14ac:dyDescent="0.25">
      <c r="A837" s="53"/>
      <c r="B837" s="58"/>
      <c r="C837" s="58"/>
      <c r="D837" s="35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54"/>
    </row>
    <row r="838" spans="1:16" s="28" customFormat="1" x14ac:dyDescent="0.25">
      <c r="A838" s="53"/>
      <c r="B838" s="58"/>
      <c r="C838" s="58"/>
      <c r="D838" s="35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54"/>
    </row>
    <row r="839" spans="1:16" s="28" customFormat="1" x14ac:dyDescent="0.25">
      <c r="A839" s="53"/>
      <c r="B839" s="58"/>
      <c r="C839" s="58"/>
      <c r="D839" s="35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54"/>
    </row>
    <row r="840" spans="1:16" s="28" customFormat="1" x14ac:dyDescent="0.25">
      <c r="A840" s="53"/>
      <c r="B840" s="58"/>
      <c r="C840" s="58"/>
      <c r="D840" s="35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54"/>
    </row>
    <row r="841" spans="1:16" s="28" customFormat="1" x14ac:dyDescent="0.25">
      <c r="A841" s="53"/>
      <c r="B841" s="58"/>
      <c r="C841" s="58"/>
      <c r="D841" s="35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54"/>
    </row>
    <row r="842" spans="1:16" s="28" customFormat="1" x14ac:dyDescent="0.25">
      <c r="A842" s="53"/>
      <c r="B842" s="58"/>
      <c r="C842" s="58"/>
      <c r="D842" s="35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54"/>
    </row>
    <row r="843" spans="1:16" s="28" customFormat="1" x14ac:dyDescent="0.25">
      <c r="A843" s="53"/>
      <c r="B843" s="58"/>
      <c r="C843" s="58"/>
      <c r="D843" s="35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54"/>
    </row>
    <row r="844" spans="1:16" s="28" customFormat="1" x14ac:dyDescent="0.25">
      <c r="A844" s="53"/>
      <c r="B844" s="58"/>
      <c r="C844" s="58"/>
      <c r="D844" s="35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54"/>
    </row>
    <row r="845" spans="1:16" s="28" customFormat="1" x14ac:dyDescent="0.25">
      <c r="A845" s="53"/>
      <c r="B845" s="58"/>
      <c r="C845" s="58"/>
      <c r="D845" s="35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54"/>
    </row>
    <row r="846" spans="1:16" s="28" customFormat="1" x14ac:dyDescent="0.25">
      <c r="A846" s="53"/>
      <c r="B846" s="58"/>
      <c r="C846" s="58"/>
      <c r="D846" s="35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54"/>
    </row>
    <row r="847" spans="1:16" s="28" customFormat="1" x14ac:dyDescent="0.25">
      <c r="A847" s="53"/>
      <c r="B847" s="58"/>
      <c r="C847" s="58"/>
      <c r="D847" s="35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54"/>
    </row>
    <row r="848" spans="1:16" s="28" customFormat="1" x14ac:dyDescent="0.25">
      <c r="A848" s="53"/>
      <c r="B848" s="58"/>
      <c r="C848" s="58"/>
      <c r="D848" s="35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54"/>
    </row>
    <row r="849" spans="1:16" s="28" customFormat="1" x14ac:dyDescent="0.25">
      <c r="A849" s="53"/>
      <c r="B849" s="58"/>
      <c r="C849" s="58"/>
      <c r="D849" s="35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54"/>
    </row>
    <row r="850" spans="1:16" s="28" customFormat="1" x14ac:dyDescent="0.25">
      <c r="A850" s="53"/>
      <c r="B850" s="58"/>
      <c r="C850" s="58"/>
      <c r="D850" s="35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54"/>
    </row>
    <row r="851" spans="1:16" s="28" customFormat="1" x14ac:dyDescent="0.25">
      <c r="A851" s="53"/>
      <c r="B851" s="58"/>
      <c r="C851" s="58"/>
      <c r="D851" s="35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54"/>
    </row>
    <row r="852" spans="1:16" s="28" customFormat="1" x14ac:dyDescent="0.25">
      <c r="A852" s="53"/>
      <c r="B852" s="58"/>
      <c r="C852" s="58"/>
      <c r="D852" s="35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54"/>
    </row>
    <row r="853" spans="1:16" s="28" customFormat="1" x14ac:dyDescent="0.25">
      <c r="A853" s="53"/>
      <c r="B853" s="58"/>
      <c r="C853" s="58"/>
      <c r="D853" s="35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54"/>
    </row>
    <row r="854" spans="1:16" s="28" customFormat="1" x14ac:dyDescent="0.25">
      <c r="A854" s="53"/>
      <c r="B854" s="58"/>
      <c r="C854" s="58"/>
      <c r="D854" s="35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54"/>
    </row>
    <row r="855" spans="1:16" s="28" customFormat="1" x14ac:dyDescent="0.25">
      <c r="A855" s="53"/>
      <c r="B855" s="58"/>
      <c r="C855" s="58"/>
      <c r="D855" s="35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54"/>
    </row>
    <row r="856" spans="1:16" s="28" customFormat="1" x14ac:dyDescent="0.25">
      <c r="A856" s="53"/>
      <c r="B856" s="58"/>
      <c r="C856" s="58"/>
      <c r="D856" s="35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54"/>
    </row>
    <row r="857" spans="1:16" s="28" customFormat="1" x14ac:dyDescent="0.25">
      <c r="A857" s="53"/>
      <c r="B857" s="58"/>
      <c r="C857" s="58"/>
      <c r="D857" s="35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54"/>
    </row>
    <row r="858" spans="1:16" s="28" customFormat="1" x14ac:dyDescent="0.25">
      <c r="A858" s="53"/>
      <c r="B858" s="58"/>
      <c r="C858" s="58"/>
      <c r="D858" s="35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54"/>
    </row>
    <row r="859" spans="1:16" s="28" customFormat="1" x14ac:dyDescent="0.25">
      <c r="A859" s="53"/>
      <c r="B859" s="58"/>
      <c r="C859" s="58"/>
      <c r="D859" s="35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54"/>
    </row>
    <row r="860" spans="1:16" s="28" customFormat="1" x14ac:dyDescent="0.25">
      <c r="A860" s="53"/>
      <c r="B860" s="58"/>
      <c r="C860" s="58"/>
      <c r="D860" s="35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54"/>
    </row>
    <row r="861" spans="1:16" s="28" customFormat="1" x14ac:dyDescent="0.25">
      <c r="A861" s="53"/>
      <c r="B861" s="58"/>
      <c r="C861" s="58"/>
      <c r="D861" s="35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54"/>
    </row>
    <row r="862" spans="1:16" s="28" customFormat="1" x14ac:dyDescent="0.25">
      <c r="A862" s="53"/>
      <c r="B862" s="58"/>
      <c r="C862" s="58"/>
      <c r="D862" s="35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54"/>
    </row>
    <row r="863" spans="1:16" s="28" customFormat="1" x14ac:dyDescent="0.25">
      <c r="A863" s="53"/>
      <c r="B863" s="58"/>
      <c r="C863" s="58"/>
      <c r="D863" s="35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54"/>
    </row>
    <row r="864" spans="1:16" s="28" customFormat="1" x14ac:dyDescent="0.25">
      <c r="A864" s="53"/>
      <c r="B864" s="58"/>
      <c r="C864" s="58"/>
      <c r="D864" s="35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54"/>
    </row>
    <row r="865" spans="1:16" s="28" customFormat="1" x14ac:dyDescent="0.25">
      <c r="A865" s="53"/>
      <c r="B865" s="58"/>
      <c r="C865" s="58"/>
      <c r="D865" s="35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54"/>
    </row>
    <row r="866" spans="1:16" s="28" customFormat="1" x14ac:dyDescent="0.25">
      <c r="A866" s="53"/>
      <c r="B866" s="58"/>
      <c r="C866" s="58"/>
      <c r="D866" s="35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54"/>
    </row>
    <row r="867" spans="1:16" s="28" customFormat="1" x14ac:dyDescent="0.25">
      <c r="A867" s="53"/>
      <c r="B867" s="58"/>
      <c r="C867" s="58"/>
      <c r="D867" s="35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54"/>
    </row>
    <row r="868" spans="1:16" s="28" customFormat="1" x14ac:dyDescent="0.25">
      <c r="A868" s="53"/>
      <c r="B868" s="58"/>
      <c r="C868" s="58"/>
      <c r="D868" s="35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54"/>
    </row>
    <row r="869" spans="1:16" s="28" customFormat="1" x14ac:dyDescent="0.25">
      <c r="A869" s="53"/>
      <c r="B869" s="58"/>
      <c r="C869" s="58"/>
      <c r="D869" s="35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54"/>
    </row>
    <row r="870" spans="1:16" s="28" customFormat="1" x14ac:dyDescent="0.25">
      <c r="A870" s="53"/>
      <c r="B870" s="58"/>
      <c r="C870" s="58"/>
      <c r="D870" s="35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54"/>
    </row>
    <row r="871" spans="1:16" s="28" customFormat="1" x14ac:dyDescent="0.25">
      <c r="A871" s="53"/>
      <c r="B871" s="58"/>
      <c r="C871" s="58"/>
      <c r="D871" s="35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54"/>
    </row>
    <row r="872" spans="1:16" s="28" customFormat="1" x14ac:dyDescent="0.25">
      <c r="A872" s="53"/>
      <c r="B872" s="58"/>
      <c r="C872" s="58"/>
      <c r="D872" s="35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54"/>
    </row>
    <row r="873" spans="1:16" s="28" customFormat="1" x14ac:dyDescent="0.25">
      <c r="A873" s="53"/>
      <c r="B873" s="58"/>
      <c r="C873" s="58"/>
      <c r="D873" s="35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54"/>
    </row>
    <row r="874" spans="1:16" s="28" customFormat="1" x14ac:dyDescent="0.25">
      <c r="A874" s="53"/>
      <c r="B874" s="58"/>
      <c r="C874" s="58"/>
      <c r="D874" s="35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54"/>
    </row>
    <row r="875" spans="1:16" s="28" customFormat="1" x14ac:dyDescent="0.25">
      <c r="A875" s="53"/>
      <c r="B875" s="58"/>
      <c r="C875" s="58"/>
      <c r="D875" s="35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54"/>
    </row>
    <row r="876" spans="1:16" s="28" customFormat="1" x14ac:dyDescent="0.25">
      <c r="A876" s="53"/>
      <c r="B876" s="58"/>
      <c r="C876" s="58"/>
      <c r="D876" s="35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54"/>
    </row>
    <row r="877" spans="1:16" s="28" customFormat="1" x14ac:dyDescent="0.25">
      <c r="A877" s="53"/>
      <c r="B877" s="58"/>
      <c r="C877" s="58"/>
      <c r="D877" s="35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54"/>
    </row>
    <row r="878" spans="1:16" s="28" customFormat="1" x14ac:dyDescent="0.25">
      <c r="A878" s="53"/>
      <c r="B878" s="58"/>
      <c r="C878" s="58"/>
      <c r="D878" s="35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54"/>
    </row>
    <row r="879" spans="1:16" s="28" customFormat="1" x14ac:dyDescent="0.25">
      <c r="A879" s="53"/>
      <c r="B879" s="58"/>
      <c r="C879" s="58"/>
      <c r="D879" s="35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54"/>
    </row>
    <row r="880" spans="1:16" s="28" customFormat="1" x14ac:dyDescent="0.25">
      <c r="A880" s="53"/>
      <c r="B880" s="58"/>
      <c r="C880" s="58"/>
      <c r="D880" s="35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54"/>
    </row>
    <row r="881" spans="1:16" s="28" customFormat="1" x14ac:dyDescent="0.25">
      <c r="A881" s="53"/>
      <c r="B881" s="58"/>
      <c r="C881" s="58"/>
      <c r="D881" s="35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54"/>
    </row>
    <row r="882" spans="1:16" s="28" customFormat="1" x14ac:dyDescent="0.25">
      <c r="A882" s="53"/>
      <c r="B882" s="58"/>
      <c r="C882" s="58"/>
      <c r="D882" s="35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54"/>
    </row>
    <row r="883" spans="1:16" s="28" customFormat="1" x14ac:dyDescent="0.25">
      <c r="A883" s="53"/>
      <c r="B883" s="58"/>
      <c r="C883" s="58"/>
      <c r="D883" s="35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54"/>
    </row>
    <row r="884" spans="1:16" s="28" customFormat="1" x14ac:dyDescent="0.25">
      <c r="A884" s="53"/>
      <c r="B884" s="58"/>
      <c r="C884" s="58"/>
      <c r="D884" s="35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54"/>
    </row>
    <row r="885" spans="1:16" s="28" customFormat="1" x14ac:dyDescent="0.25">
      <c r="A885" s="53"/>
      <c r="B885" s="58"/>
      <c r="C885" s="58"/>
      <c r="D885" s="35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54"/>
    </row>
    <row r="886" spans="1:16" s="28" customFormat="1" x14ac:dyDescent="0.25">
      <c r="A886" s="53"/>
      <c r="B886" s="58"/>
      <c r="C886" s="58"/>
      <c r="D886" s="35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54"/>
    </row>
    <row r="887" spans="1:16" s="28" customFormat="1" x14ac:dyDescent="0.25">
      <c r="A887" s="53"/>
      <c r="B887" s="58"/>
      <c r="C887" s="58"/>
      <c r="D887" s="35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54"/>
    </row>
    <row r="888" spans="1:16" s="28" customFormat="1" x14ac:dyDescent="0.25">
      <c r="A888" s="53"/>
      <c r="B888" s="58"/>
      <c r="C888" s="58"/>
      <c r="D888" s="35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54"/>
    </row>
    <row r="889" spans="1:16" s="28" customFormat="1" x14ac:dyDescent="0.25">
      <c r="A889" s="53"/>
      <c r="B889" s="58"/>
      <c r="C889" s="58"/>
      <c r="D889" s="35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54"/>
    </row>
    <row r="890" spans="1:16" s="28" customFormat="1" x14ac:dyDescent="0.25">
      <c r="A890" s="53"/>
      <c r="B890" s="58"/>
      <c r="C890" s="58"/>
      <c r="D890" s="35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54"/>
    </row>
    <row r="891" spans="1:16" s="28" customFormat="1" x14ac:dyDescent="0.25">
      <c r="A891" s="53"/>
      <c r="B891" s="58"/>
      <c r="C891" s="58"/>
      <c r="D891" s="35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54"/>
    </row>
    <row r="892" spans="1:16" s="28" customFormat="1" x14ac:dyDescent="0.25">
      <c r="A892" s="53"/>
      <c r="B892" s="58"/>
      <c r="C892" s="58"/>
      <c r="D892" s="35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54"/>
    </row>
    <row r="893" spans="1:16" s="28" customFormat="1" x14ac:dyDescent="0.25">
      <c r="A893" s="53"/>
      <c r="B893" s="58"/>
      <c r="C893" s="58"/>
      <c r="D893" s="35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54"/>
    </row>
    <row r="894" spans="1:16" s="28" customFormat="1" x14ac:dyDescent="0.25">
      <c r="A894" s="53"/>
      <c r="B894" s="58"/>
      <c r="C894" s="58"/>
      <c r="D894" s="35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54"/>
    </row>
    <row r="895" spans="1:16" s="28" customFormat="1" x14ac:dyDescent="0.25">
      <c r="A895" s="53"/>
      <c r="B895" s="58"/>
      <c r="C895" s="58"/>
      <c r="D895" s="35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54"/>
    </row>
    <row r="896" spans="1:16" s="28" customFormat="1" x14ac:dyDescent="0.25">
      <c r="A896" s="53"/>
      <c r="B896" s="58"/>
      <c r="C896" s="58"/>
      <c r="D896" s="35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54"/>
    </row>
    <row r="897" spans="1:16" s="28" customFormat="1" x14ac:dyDescent="0.25">
      <c r="A897" s="53"/>
      <c r="B897" s="58"/>
      <c r="C897" s="58"/>
      <c r="D897" s="35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54"/>
    </row>
    <row r="898" spans="1:16" s="28" customFormat="1" x14ac:dyDescent="0.25">
      <c r="A898" s="53"/>
      <c r="B898" s="58"/>
      <c r="C898" s="58"/>
      <c r="D898" s="35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54"/>
    </row>
    <row r="899" spans="1:16" s="28" customFormat="1" x14ac:dyDescent="0.25">
      <c r="A899" s="53"/>
      <c r="B899" s="58"/>
      <c r="C899" s="58"/>
      <c r="D899" s="35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54"/>
    </row>
    <row r="900" spans="1:16" s="28" customFormat="1" x14ac:dyDescent="0.25">
      <c r="A900" s="53"/>
      <c r="B900" s="58"/>
      <c r="C900" s="58"/>
      <c r="D900" s="35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54"/>
    </row>
    <row r="901" spans="1:16" s="28" customFormat="1" x14ac:dyDescent="0.25">
      <c r="A901" s="53"/>
      <c r="B901" s="58"/>
      <c r="C901" s="58"/>
      <c r="D901" s="35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54"/>
    </row>
    <row r="902" spans="1:16" s="28" customFormat="1" x14ac:dyDescent="0.25">
      <c r="A902" s="53"/>
      <c r="B902" s="58"/>
      <c r="C902" s="58"/>
      <c r="D902" s="35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54"/>
    </row>
    <row r="903" spans="1:16" s="28" customFormat="1" x14ac:dyDescent="0.25">
      <c r="A903" s="53"/>
      <c r="B903" s="58"/>
      <c r="C903" s="58"/>
      <c r="D903" s="35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54"/>
    </row>
    <row r="904" spans="1:16" s="28" customFormat="1" x14ac:dyDescent="0.25">
      <c r="A904" s="53"/>
      <c r="B904" s="58"/>
      <c r="C904" s="58"/>
      <c r="D904" s="35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54"/>
    </row>
    <row r="905" spans="1:16" s="28" customFormat="1" x14ac:dyDescent="0.25">
      <c r="A905" s="53"/>
      <c r="B905" s="58"/>
      <c r="C905" s="58"/>
      <c r="D905" s="35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54"/>
    </row>
    <row r="906" spans="1:16" s="28" customFormat="1" x14ac:dyDescent="0.25">
      <c r="A906" s="53"/>
      <c r="B906" s="58"/>
      <c r="C906" s="58"/>
      <c r="D906" s="35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54"/>
    </row>
    <row r="907" spans="1:16" s="28" customFormat="1" x14ac:dyDescent="0.25">
      <c r="A907" s="53"/>
      <c r="B907" s="58"/>
      <c r="C907" s="58"/>
      <c r="D907" s="35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54"/>
    </row>
    <row r="908" spans="1:16" s="28" customFormat="1" x14ac:dyDescent="0.25">
      <c r="A908" s="53"/>
      <c r="B908" s="58"/>
      <c r="C908" s="58"/>
      <c r="D908" s="35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54"/>
    </row>
    <row r="909" spans="1:16" s="28" customFormat="1" x14ac:dyDescent="0.25">
      <c r="A909" s="53"/>
      <c r="B909" s="58"/>
      <c r="C909" s="58"/>
      <c r="D909" s="35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54"/>
    </row>
    <row r="910" spans="1:16" s="28" customFormat="1" x14ac:dyDescent="0.25">
      <c r="A910" s="53"/>
      <c r="B910" s="58"/>
      <c r="C910" s="58"/>
      <c r="D910" s="35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54"/>
    </row>
    <row r="911" spans="1:16" s="28" customFormat="1" x14ac:dyDescent="0.25">
      <c r="A911" s="53"/>
      <c r="B911" s="58"/>
      <c r="C911" s="58"/>
      <c r="D911" s="35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54"/>
    </row>
    <row r="912" spans="1:16" s="28" customFormat="1" x14ac:dyDescent="0.25">
      <c r="A912" s="53"/>
      <c r="B912" s="58"/>
      <c r="C912" s="58"/>
      <c r="D912" s="35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54"/>
    </row>
    <row r="913" spans="1:16" s="28" customFormat="1" x14ac:dyDescent="0.25">
      <c r="A913" s="53"/>
      <c r="B913" s="58"/>
      <c r="C913" s="58"/>
      <c r="D913" s="35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54"/>
    </row>
    <row r="914" spans="1:16" s="28" customFormat="1" x14ac:dyDescent="0.25">
      <c r="A914" s="53"/>
      <c r="B914" s="58"/>
      <c r="C914" s="58"/>
      <c r="D914" s="35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54"/>
    </row>
    <row r="915" spans="1:16" s="28" customFormat="1" x14ac:dyDescent="0.25">
      <c r="A915" s="53"/>
      <c r="B915" s="58"/>
      <c r="C915" s="58"/>
      <c r="D915" s="35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54"/>
    </row>
    <row r="916" spans="1:16" s="28" customFormat="1" x14ac:dyDescent="0.25">
      <c r="A916" s="53"/>
      <c r="B916" s="58"/>
      <c r="C916" s="58"/>
      <c r="D916" s="35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54"/>
    </row>
    <row r="917" spans="1:16" s="28" customFormat="1" x14ac:dyDescent="0.25">
      <c r="A917" s="53"/>
      <c r="B917" s="58"/>
      <c r="C917" s="58"/>
      <c r="D917" s="35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54"/>
    </row>
    <row r="918" spans="1:16" s="28" customFormat="1" x14ac:dyDescent="0.25">
      <c r="A918" s="53"/>
      <c r="B918" s="58"/>
      <c r="C918" s="58"/>
      <c r="D918" s="35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54"/>
    </row>
    <row r="919" spans="1:16" s="28" customFormat="1" x14ac:dyDescent="0.25">
      <c r="A919" s="53"/>
      <c r="B919" s="58"/>
      <c r="C919" s="58"/>
      <c r="D919" s="35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54"/>
    </row>
    <row r="920" spans="1:16" s="28" customFormat="1" x14ac:dyDescent="0.25">
      <c r="A920" s="53"/>
      <c r="B920" s="58"/>
      <c r="C920" s="58"/>
      <c r="D920" s="35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54"/>
    </row>
    <row r="921" spans="1:16" s="28" customFormat="1" x14ac:dyDescent="0.25">
      <c r="A921" s="53"/>
      <c r="B921" s="58"/>
      <c r="C921" s="58"/>
      <c r="D921" s="35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54"/>
    </row>
    <row r="922" spans="1:16" s="28" customFormat="1" x14ac:dyDescent="0.25">
      <c r="A922" s="53"/>
      <c r="B922" s="58"/>
      <c r="C922" s="58"/>
      <c r="D922" s="35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54"/>
    </row>
    <row r="923" spans="1:16" s="28" customFormat="1" x14ac:dyDescent="0.25">
      <c r="A923" s="53"/>
      <c r="B923" s="58"/>
      <c r="C923" s="58"/>
      <c r="D923" s="35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54"/>
    </row>
    <row r="924" spans="1:16" s="28" customFormat="1" x14ac:dyDescent="0.25">
      <c r="A924" s="53"/>
      <c r="B924" s="58"/>
      <c r="C924" s="58"/>
      <c r="D924" s="35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54"/>
    </row>
    <row r="925" spans="1:16" s="28" customFormat="1" x14ac:dyDescent="0.25">
      <c r="A925" s="53"/>
      <c r="B925" s="58"/>
      <c r="C925" s="58"/>
      <c r="D925" s="35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54"/>
    </row>
    <row r="926" spans="1:16" s="28" customFormat="1" x14ac:dyDescent="0.25">
      <c r="A926" s="53"/>
      <c r="B926" s="58"/>
      <c r="C926" s="58"/>
      <c r="D926" s="35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54"/>
    </row>
    <row r="927" spans="1:16" s="28" customFormat="1" x14ac:dyDescent="0.25">
      <c r="A927" s="53"/>
      <c r="B927" s="58"/>
      <c r="C927" s="58"/>
      <c r="D927" s="35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54"/>
    </row>
    <row r="928" spans="1:16" s="28" customFormat="1" x14ac:dyDescent="0.25">
      <c r="A928" s="53"/>
      <c r="B928" s="58"/>
      <c r="C928" s="58"/>
      <c r="D928" s="35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54"/>
    </row>
    <row r="929" spans="1:16" s="28" customFormat="1" x14ac:dyDescent="0.25">
      <c r="A929" s="53"/>
      <c r="B929" s="58"/>
      <c r="C929" s="58"/>
      <c r="D929" s="35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54"/>
    </row>
    <row r="930" spans="1:16" s="28" customFormat="1" x14ac:dyDescent="0.25">
      <c r="A930" s="53"/>
      <c r="B930" s="58"/>
      <c r="C930" s="58"/>
      <c r="D930" s="35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54"/>
    </row>
    <row r="931" spans="1:16" s="28" customFormat="1" x14ac:dyDescent="0.25">
      <c r="A931" s="53"/>
      <c r="B931" s="58"/>
      <c r="C931" s="58"/>
      <c r="D931" s="35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54"/>
    </row>
    <row r="932" spans="1:16" s="28" customFormat="1" x14ac:dyDescent="0.25">
      <c r="A932" s="53"/>
      <c r="B932" s="58"/>
      <c r="C932" s="58"/>
      <c r="D932" s="35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54"/>
    </row>
    <row r="933" spans="1:16" s="28" customFormat="1" x14ac:dyDescent="0.25">
      <c r="A933" s="53"/>
      <c r="B933" s="58"/>
      <c r="C933" s="58"/>
      <c r="D933" s="35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54"/>
    </row>
    <row r="934" spans="1:16" s="28" customFormat="1" x14ac:dyDescent="0.25">
      <c r="A934" s="53"/>
      <c r="B934" s="58"/>
      <c r="C934" s="58"/>
      <c r="D934" s="35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54"/>
    </row>
    <row r="935" spans="1:16" s="28" customFormat="1" x14ac:dyDescent="0.25">
      <c r="A935" s="53"/>
      <c r="B935" s="58"/>
      <c r="C935" s="58"/>
      <c r="D935" s="35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54"/>
    </row>
    <row r="936" spans="1:16" s="28" customFormat="1" x14ac:dyDescent="0.25">
      <c r="A936" s="53"/>
      <c r="B936" s="58"/>
      <c r="C936" s="58"/>
      <c r="D936" s="35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54"/>
    </row>
    <row r="937" spans="1:16" s="28" customFormat="1" x14ac:dyDescent="0.25">
      <c r="A937" s="53"/>
      <c r="B937" s="58"/>
      <c r="C937" s="58"/>
      <c r="D937" s="35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54"/>
    </row>
    <row r="938" spans="1:16" s="28" customFormat="1" x14ac:dyDescent="0.25">
      <c r="A938" s="53"/>
      <c r="B938" s="58"/>
      <c r="C938" s="58"/>
      <c r="D938" s="35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54"/>
    </row>
    <row r="939" spans="1:16" s="28" customFormat="1" x14ac:dyDescent="0.25">
      <c r="A939" s="53"/>
      <c r="B939" s="58"/>
      <c r="C939" s="58"/>
      <c r="D939" s="35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54"/>
    </row>
    <row r="940" spans="1:16" s="28" customFormat="1" x14ac:dyDescent="0.25">
      <c r="A940" s="53"/>
      <c r="B940" s="58"/>
      <c r="C940" s="58"/>
      <c r="D940" s="35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54"/>
    </row>
    <row r="941" spans="1:16" s="28" customFormat="1" x14ac:dyDescent="0.25">
      <c r="A941" s="53"/>
      <c r="B941" s="58"/>
      <c r="C941" s="58"/>
      <c r="D941" s="35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54"/>
    </row>
    <row r="942" spans="1:16" s="28" customFormat="1" x14ac:dyDescent="0.25">
      <c r="A942" s="53"/>
      <c r="B942" s="58"/>
      <c r="C942" s="58"/>
      <c r="D942" s="35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54"/>
    </row>
    <row r="943" spans="1:16" s="28" customFormat="1" x14ac:dyDescent="0.25">
      <c r="A943" s="53"/>
      <c r="B943" s="58"/>
      <c r="C943" s="58"/>
      <c r="D943" s="35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54"/>
    </row>
    <row r="944" spans="1:16" s="28" customFormat="1" x14ac:dyDescent="0.25">
      <c r="A944" s="53"/>
      <c r="B944" s="58"/>
      <c r="C944" s="58"/>
      <c r="D944" s="35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54"/>
    </row>
    <row r="945" spans="1:16" s="28" customFormat="1" x14ac:dyDescent="0.25">
      <c r="A945" s="53"/>
      <c r="B945" s="58"/>
      <c r="C945" s="58"/>
      <c r="D945" s="35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54"/>
    </row>
    <row r="946" spans="1:16" s="28" customFormat="1" x14ac:dyDescent="0.25">
      <c r="A946" s="53"/>
      <c r="B946" s="58"/>
      <c r="C946" s="58"/>
      <c r="D946" s="35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54"/>
    </row>
    <row r="947" spans="1:16" s="28" customFormat="1" x14ac:dyDescent="0.25">
      <c r="A947" s="53"/>
      <c r="B947" s="58"/>
      <c r="C947" s="58"/>
      <c r="D947" s="35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54"/>
    </row>
    <row r="948" spans="1:16" s="28" customFormat="1" x14ac:dyDescent="0.25">
      <c r="A948" s="53"/>
      <c r="B948" s="58"/>
      <c r="C948" s="58"/>
      <c r="D948" s="35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54"/>
    </row>
    <row r="949" spans="1:16" s="28" customFormat="1" x14ac:dyDescent="0.25">
      <c r="A949" s="53"/>
      <c r="B949" s="58"/>
      <c r="C949" s="58"/>
      <c r="D949" s="35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54"/>
    </row>
    <row r="950" spans="1:16" s="28" customFormat="1" x14ac:dyDescent="0.25">
      <c r="A950" s="53"/>
      <c r="B950" s="58"/>
      <c r="C950" s="58"/>
      <c r="D950" s="35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54"/>
    </row>
    <row r="951" spans="1:16" s="28" customFormat="1" x14ac:dyDescent="0.25">
      <c r="A951" s="53"/>
      <c r="B951" s="58"/>
      <c r="C951" s="58"/>
      <c r="D951" s="35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54"/>
    </row>
    <row r="952" spans="1:16" s="28" customFormat="1" x14ac:dyDescent="0.25">
      <c r="A952" s="53"/>
      <c r="B952" s="58"/>
      <c r="C952" s="58"/>
      <c r="D952" s="35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54"/>
    </row>
    <row r="953" spans="1:16" s="28" customFormat="1" x14ac:dyDescent="0.25">
      <c r="A953" s="53"/>
      <c r="B953" s="58"/>
      <c r="C953" s="58"/>
      <c r="D953" s="35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54"/>
    </row>
    <row r="954" spans="1:16" s="28" customFormat="1" x14ac:dyDescent="0.25">
      <c r="A954" s="53"/>
      <c r="B954" s="58"/>
      <c r="C954" s="58"/>
      <c r="D954" s="35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54"/>
    </row>
    <row r="955" spans="1:16" s="28" customFormat="1" x14ac:dyDescent="0.25">
      <c r="A955" s="53"/>
      <c r="B955" s="58"/>
      <c r="C955" s="58"/>
      <c r="D955" s="35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54"/>
    </row>
    <row r="956" spans="1:16" s="28" customFormat="1" x14ac:dyDescent="0.25">
      <c r="A956" s="53"/>
      <c r="B956" s="58"/>
      <c r="C956" s="58"/>
      <c r="D956" s="35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54"/>
    </row>
    <row r="957" spans="1:16" s="28" customFormat="1" x14ac:dyDescent="0.25">
      <c r="A957" s="53"/>
      <c r="B957" s="58"/>
      <c r="C957" s="58"/>
      <c r="D957" s="35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54"/>
    </row>
    <row r="958" spans="1:16" s="28" customFormat="1" x14ac:dyDescent="0.25">
      <c r="A958" s="53"/>
      <c r="B958" s="58"/>
      <c r="C958" s="58"/>
      <c r="D958" s="35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54"/>
    </row>
    <row r="959" spans="1:16" s="28" customFormat="1" x14ac:dyDescent="0.25">
      <c r="A959" s="53"/>
      <c r="B959" s="58"/>
      <c r="C959" s="58"/>
      <c r="D959" s="35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54"/>
    </row>
    <row r="960" spans="1:16" s="28" customFormat="1" x14ac:dyDescent="0.25">
      <c r="A960" s="53"/>
      <c r="B960" s="58"/>
      <c r="C960" s="58"/>
      <c r="D960" s="35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54"/>
    </row>
    <row r="961" spans="1:16" s="28" customFormat="1" x14ac:dyDescent="0.25">
      <c r="A961" s="53"/>
      <c r="B961" s="58"/>
      <c r="C961" s="58"/>
      <c r="D961" s="35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54"/>
    </row>
    <row r="962" spans="1:16" s="28" customFormat="1" x14ac:dyDescent="0.25">
      <c r="A962" s="53"/>
      <c r="B962" s="58"/>
      <c r="C962" s="58"/>
      <c r="D962" s="35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54"/>
    </row>
    <row r="963" spans="1:16" s="28" customFormat="1" x14ac:dyDescent="0.25">
      <c r="A963" s="53"/>
      <c r="B963" s="58"/>
      <c r="C963" s="58"/>
      <c r="D963" s="35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54"/>
    </row>
    <row r="964" spans="1:16" s="28" customFormat="1" x14ac:dyDescent="0.25">
      <c r="A964" s="53"/>
      <c r="B964" s="58"/>
      <c r="C964" s="58"/>
      <c r="D964" s="35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54"/>
    </row>
    <row r="965" spans="1:16" s="28" customFormat="1" x14ac:dyDescent="0.25">
      <c r="A965" s="53"/>
      <c r="B965" s="58"/>
      <c r="C965" s="58"/>
      <c r="D965" s="35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54"/>
    </row>
    <row r="966" spans="1:16" s="28" customFormat="1" x14ac:dyDescent="0.25">
      <c r="A966" s="53"/>
      <c r="B966" s="58"/>
      <c r="C966" s="58"/>
      <c r="D966" s="35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54"/>
    </row>
    <row r="967" spans="1:16" s="28" customFormat="1" x14ac:dyDescent="0.25">
      <c r="A967" s="53"/>
      <c r="B967" s="58"/>
      <c r="C967" s="58"/>
      <c r="D967" s="35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54"/>
    </row>
    <row r="968" spans="1:16" s="28" customFormat="1" x14ac:dyDescent="0.25">
      <c r="A968" s="53"/>
      <c r="B968" s="58"/>
      <c r="C968" s="58"/>
      <c r="D968" s="35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54"/>
    </row>
    <row r="969" spans="1:16" s="28" customFormat="1" x14ac:dyDescent="0.25">
      <c r="A969" s="53"/>
      <c r="B969" s="58"/>
      <c r="C969" s="58"/>
      <c r="D969" s="35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54"/>
    </row>
    <row r="970" spans="1:16" s="28" customFormat="1" x14ac:dyDescent="0.25">
      <c r="A970" s="53"/>
      <c r="B970" s="58"/>
      <c r="C970" s="58"/>
      <c r="D970" s="35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54"/>
    </row>
    <row r="971" spans="1:16" s="28" customFormat="1" x14ac:dyDescent="0.25">
      <c r="A971" s="53"/>
      <c r="B971" s="58"/>
      <c r="C971" s="58"/>
      <c r="D971" s="35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54"/>
    </row>
    <row r="972" spans="1:16" s="28" customFormat="1" x14ac:dyDescent="0.25">
      <c r="A972" s="53"/>
      <c r="B972" s="58"/>
      <c r="C972" s="58"/>
      <c r="D972" s="35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54"/>
    </row>
    <row r="973" spans="1:16" s="28" customFormat="1" x14ac:dyDescent="0.25">
      <c r="A973" s="53"/>
      <c r="B973" s="58"/>
      <c r="C973" s="58"/>
      <c r="D973" s="35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54"/>
    </row>
    <row r="974" spans="1:16" s="28" customFormat="1" x14ac:dyDescent="0.25">
      <c r="A974" s="53"/>
      <c r="B974" s="58"/>
      <c r="C974" s="58"/>
      <c r="D974" s="35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54"/>
    </row>
    <row r="975" spans="1:16" s="28" customFormat="1" x14ac:dyDescent="0.25">
      <c r="A975" s="53"/>
      <c r="B975" s="58"/>
      <c r="C975" s="58"/>
      <c r="D975" s="35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54"/>
    </row>
    <row r="976" spans="1:16" s="28" customFormat="1" x14ac:dyDescent="0.25">
      <c r="A976" s="53"/>
      <c r="B976" s="58"/>
      <c r="C976" s="58"/>
      <c r="D976" s="35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54"/>
    </row>
    <row r="977" spans="1:16" s="28" customFormat="1" x14ac:dyDescent="0.25">
      <c r="A977" s="53"/>
      <c r="B977" s="58"/>
      <c r="C977" s="58"/>
      <c r="D977" s="35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54"/>
    </row>
    <row r="978" spans="1:16" s="28" customFormat="1" x14ac:dyDescent="0.25">
      <c r="A978" s="53"/>
      <c r="B978" s="58"/>
      <c r="C978" s="58"/>
      <c r="D978" s="35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54"/>
    </row>
    <row r="979" spans="1:16" s="28" customFormat="1" x14ac:dyDescent="0.25">
      <c r="A979" s="53"/>
      <c r="B979" s="58"/>
      <c r="C979" s="58"/>
      <c r="D979" s="35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54"/>
    </row>
    <row r="980" spans="1:16" s="28" customFormat="1" x14ac:dyDescent="0.25">
      <c r="A980" s="53"/>
      <c r="B980" s="58"/>
      <c r="C980" s="58"/>
      <c r="D980" s="35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54"/>
    </row>
    <row r="981" spans="1:16" s="28" customFormat="1" x14ac:dyDescent="0.25">
      <c r="A981" s="53"/>
      <c r="B981" s="58"/>
      <c r="C981" s="58"/>
      <c r="D981" s="35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54"/>
    </row>
    <row r="982" spans="1:16" s="28" customFormat="1" x14ac:dyDescent="0.25">
      <c r="A982" s="53"/>
      <c r="B982" s="58"/>
      <c r="C982" s="58"/>
      <c r="D982" s="35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54"/>
    </row>
    <row r="983" spans="1:16" s="28" customFormat="1" x14ac:dyDescent="0.25">
      <c r="A983" s="53"/>
      <c r="B983" s="58"/>
      <c r="C983" s="58"/>
      <c r="D983" s="35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54"/>
    </row>
    <row r="984" spans="1:16" s="28" customFormat="1" x14ac:dyDescent="0.25">
      <c r="A984" s="53"/>
      <c r="B984" s="58"/>
      <c r="C984" s="58"/>
      <c r="D984" s="35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54"/>
    </row>
    <row r="985" spans="1:16" s="28" customFormat="1" x14ac:dyDescent="0.25">
      <c r="A985" s="53"/>
      <c r="B985" s="58"/>
      <c r="C985" s="58"/>
      <c r="D985" s="35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54"/>
    </row>
    <row r="986" spans="1:16" s="28" customFormat="1" x14ac:dyDescent="0.25">
      <c r="A986" s="53"/>
      <c r="B986" s="58"/>
      <c r="C986" s="58"/>
      <c r="D986" s="35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54"/>
    </row>
    <row r="987" spans="1:16" s="28" customFormat="1" x14ac:dyDescent="0.25">
      <c r="A987" s="53"/>
      <c r="B987" s="58"/>
      <c r="C987" s="58"/>
      <c r="D987" s="35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54"/>
    </row>
    <row r="988" spans="1:16" s="28" customFormat="1" x14ac:dyDescent="0.25">
      <c r="A988" s="53"/>
      <c r="B988" s="58"/>
      <c r="C988" s="58"/>
      <c r="D988" s="35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54"/>
    </row>
    <row r="989" spans="1:16" s="28" customFormat="1" x14ac:dyDescent="0.25">
      <c r="A989" s="53"/>
      <c r="B989" s="58"/>
      <c r="C989" s="58"/>
      <c r="D989" s="35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54"/>
    </row>
    <row r="990" spans="1:16" s="28" customFormat="1" x14ac:dyDescent="0.25">
      <c r="A990" s="53"/>
      <c r="B990" s="58"/>
      <c r="C990" s="58"/>
      <c r="D990" s="35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54"/>
    </row>
    <row r="991" spans="1:16" s="28" customFormat="1" x14ac:dyDescent="0.25">
      <c r="A991" s="53"/>
      <c r="B991" s="58"/>
      <c r="C991" s="58"/>
      <c r="D991" s="35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54"/>
    </row>
    <row r="992" spans="1:16" s="28" customFormat="1" x14ac:dyDescent="0.25">
      <c r="A992" s="53"/>
      <c r="B992" s="58"/>
      <c r="C992" s="58"/>
      <c r="D992" s="35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54"/>
    </row>
    <row r="993" spans="1:16" s="28" customFormat="1" x14ac:dyDescent="0.25">
      <c r="A993" s="53"/>
      <c r="B993" s="58"/>
      <c r="C993" s="58"/>
      <c r="D993" s="35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54"/>
    </row>
    <row r="994" spans="1:16" s="28" customFormat="1" x14ac:dyDescent="0.25">
      <c r="A994" s="53"/>
      <c r="B994" s="58"/>
      <c r="C994" s="58"/>
      <c r="D994" s="35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54"/>
    </row>
    <row r="995" spans="1:16" s="28" customFormat="1" x14ac:dyDescent="0.25">
      <c r="A995" s="53"/>
      <c r="B995" s="58"/>
      <c r="C995" s="58"/>
      <c r="D995" s="35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54"/>
    </row>
    <row r="996" spans="1:16" s="28" customFormat="1" x14ac:dyDescent="0.25">
      <c r="A996" s="53"/>
      <c r="B996" s="58"/>
      <c r="C996" s="58"/>
      <c r="D996" s="35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54"/>
    </row>
    <row r="997" spans="1:16" s="28" customFormat="1" x14ac:dyDescent="0.25">
      <c r="A997" s="53"/>
      <c r="B997" s="58"/>
      <c r="C997" s="58"/>
      <c r="D997" s="35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54"/>
    </row>
    <row r="998" spans="1:16" s="28" customFormat="1" x14ac:dyDescent="0.25">
      <c r="A998" s="53"/>
      <c r="B998" s="58"/>
      <c r="C998" s="58"/>
      <c r="D998" s="35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54"/>
    </row>
    <row r="999" spans="1:16" s="28" customFormat="1" x14ac:dyDescent="0.25">
      <c r="A999" s="53"/>
      <c r="B999" s="58"/>
      <c r="C999" s="58"/>
      <c r="D999" s="35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54"/>
    </row>
    <row r="1000" spans="1:16" s="28" customFormat="1" x14ac:dyDescent="0.25">
      <c r="A1000" s="53"/>
      <c r="B1000" s="58"/>
      <c r="C1000" s="58"/>
      <c r="D1000" s="35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54"/>
    </row>
    <row r="1001" spans="1:16" s="28" customFormat="1" x14ac:dyDescent="0.25">
      <c r="A1001" s="53"/>
      <c r="B1001" s="58"/>
      <c r="C1001" s="58"/>
      <c r="D1001" s="35"/>
      <c r="E1001" s="132"/>
      <c r="F1001" s="132"/>
      <c r="G1001" s="132"/>
      <c r="H1001" s="132"/>
      <c r="I1001" s="132"/>
      <c r="J1001" s="132"/>
      <c r="K1001" s="132"/>
      <c r="L1001" s="132"/>
      <c r="M1001" s="132"/>
      <c r="N1001" s="132"/>
      <c r="O1001" s="132"/>
      <c r="P1001" s="154"/>
    </row>
    <row r="1002" spans="1:16" s="28" customFormat="1" x14ac:dyDescent="0.25">
      <c r="A1002" s="53"/>
      <c r="B1002" s="58"/>
      <c r="C1002" s="58"/>
      <c r="D1002" s="35"/>
      <c r="E1002" s="132"/>
      <c r="F1002" s="132"/>
      <c r="G1002" s="132"/>
      <c r="H1002" s="132"/>
      <c r="I1002" s="132"/>
      <c r="J1002" s="132"/>
      <c r="K1002" s="132"/>
      <c r="L1002" s="132"/>
      <c r="M1002" s="132"/>
      <c r="N1002" s="132"/>
      <c r="O1002" s="132"/>
      <c r="P1002" s="154"/>
    </row>
    <row r="1003" spans="1:16" s="28" customFormat="1" x14ac:dyDescent="0.25">
      <c r="A1003" s="53"/>
      <c r="B1003" s="58"/>
      <c r="C1003" s="58"/>
      <c r="D1003" s="35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54"/>
    </row>
    <row r="1004" spans="1:16" s="28" customFormat="1" x14ac:dyDescent="0.25">
      <c r="A1004" s="53"/>
      <c r="B1004" s="58"/>
      <c r="C1004" s="58"/>
      <c r="D1004" s="35"/>
      <c r="E1004" s="132"/>
      <c r="F1004" s="132"/>
      <c r="G1004" s="132"/>
      <c r="H1004" s="132"/>
      <c r="I1004" s="132"/>
      <c r="J1004" s="132"/>
      <c r="K1004" s="132"/>
      <c r="L1004" s="132"/>
      <c r="M1004" s="132"/>
      <c r="N1004" s="132"/>
      <c r="O1004" s="132"/>
      <c r="P1004" s="154"/>
    </row>
    <row r="1005" spans="1:16" s="28" customFormat="1" x14ac:dyDescent="0.25">
      <c r="A1005" s="53"/>
      <c r="B1005" s="58"/>
      <c r="C1005" s="58"/>
      <c r="D1005" s="35"/>
      <c r="E1005" s="132"/>
      <c r="F1005" s="132"/>
      <c r="G1005" s="132"/>
      <c r="H1005" s="132"/>
      <c r="I1005" s="132"/>
      <c r="J1005" s="132"/>
      <c r="K1005" s="132"/>
      <c r="L1005" s="132"/>
      <c r="M1005" s="132"/>
      <c r="N1005" s="132"/>
      <c r="O1005" s="132"/>
      <c r="P1005" s="154"/>
    </row>
    <row r="1006" spans="1:16" s="28" customFormat="1" x14ac:dyDescent="0.25">
      <c r="A1006" s="53"/>
      <c r="B1006" s="58"/>
      <c r="C1006" s="58"/>
      <c r="D1006" s="35"/>
      <c r="E1006" s="132"/>
      <c r="F1006" s="132"/>
      <c r="G1006" s="132"/>
      <c r="H1006" s="132"/>
      <c r="I1006" s="132"/>
      <c r="J1006" s="132"/>
      <c r="K1006" s="132"/>
      <c r="L1006" s="132"/>
      <c r="M1006" s="132"/>
      <c r="N1006" s="132"/>
      <c r="O1006" s="132"/>
      <c r="P1006" s="154"/>
    </row>
    <row r="1007" spans="1:16" s="28" customFormat="1" x14ac:dyDescent="0.25">
      <c r="A1007" s="53"/>
      <c r="B1007" s="58"/>
      <c r="C1007" s="58"/>
      <c r="D1007" s="35"/>
      <c r="E1007" s="132"/>
      <c r="F1007" s="132"/>
      <c r="G1007" s="132"/>
      <c r="H1007" s="132"/>
      <c r="I1007" s="132"/>
      <c r="J1007" s="132"/>
      <c r="K1007" s="132"/>
      <c r="L1007" s="132"/>
      <c r="M1007" s="132"/>
      <c r="N1007" s="132"/>
      <c r="O1007" s="132"/>
      <c r="P1007" s="154"/>
    </row>
    <row r="1008" spans="1:16" s="28" customFormat="1" x14ac:dyDescent="0.25">
      <c r="A1008" s="53"/>
      <c r="B1008" s="58"/>
      <c r="C1008" s="58"/>
      <c r="D1008" s="35"/>
      <c r="E1008" s="132"/>
      <c r="F1008" s="132"/>
      <c r="G1008" s="132"/>
      <c r="H1008" s="132"/>
      <c r="I1008" s="132"/>
      <c r="J1008" s="132"/>
      <c r="K1008" s="132"/>
      <c r="L1008" s="132"/>
      <c r="M1008" s="132"/>
      <c r="N1008" s="132"/>
      <c r="O1008" s="132"/>
      <c r="P1008" s="154"/>
    </row>
    <row r="1009" spans="1:16" s="28" customFormat="1" x14ac:dyDescent="0.25">
      <c r="A1009" s="53"/>
      <c r="B1009" s="58"/>
      <c r="C1009" s="58"/>
      <c r="D1009" s="35"/>
      <c r="E1009" s="132"/>
      <c r="F1009" s="132"/>
      <c r="G1009" s="132"/>
      <c r="H1009" s="132"/>
      <c r="I1009" s="132"/>
      <c r="J1009" s="132"/>
      <c r="K1009" s="132"/>
      <c r="L1009" s="132"/>
      <c r="M1009" s="132"/>
      <c r="N1009" s="132"/>
      <c r="O1009" s="132"/>
      <c r="P1009" s="154"/>
    </row>
    <row r="1010" spans="1:16" s="28" customFormat="1" x14ac:dyDescent="0.25">
      <c r="A1010" s="53"/>
      <c r="B1010" s="58"/>
      <c r="C1010" s="58"/>
      <c r="D1010" s="35"/>
      <c r="E1010" s="132"/>
      <c r="F1010" s="132"/>
      <c r="G1010" s="132"/>
      <c r="H1010" s="132"/>
      <c r="I1010" s="132"/>
      <c r="J1010" s="132"/>
      <c r="K1010" s="132"/>
      <c r="L1010" s="132"/>
      <c r="M1010" s="132"/>
      <c r="N1010" s="132"/>
      <c r="O1010" s="132"/>
      <c r="P1010" s="154"/>
    </row>
    <row r="1011" spans="1:16" s="28" customFormat="1" x14ac:dyDescent="0.25">
      <c r="A1011" s="53"/>
      <c r="B1011" s="58"/>
      <c r="C1011" s="58"/>
      <c r="D1011" s="35"/>
      <c r="E1011" s="132"/>
      <c r="F1011" s="132"/>
      <c r="G1011" s="132"/>
      <c r="H1011" s="132"/>
      <c r="I1011" s="132"/>
      <c r="J1011" s="132"/>
      <c r="K1011" s="132"/>
      <c r="L1011" s="132"/>
      <c r="M1011" s="132"/>
      <c r="N1011" s="132"/>
      <c r="O1011" s="132"/>
      <c r="P1011" s="154"/>
    </row>
    <row r="1012" spans="1:16" s="28" customFormat="1" x14ac:dyDescent="0.25">
      <c r="A1012" s="53"/>
      <c r="B1012" s="58"/>
      <c r="C1012" s="58"/>
      <c r="D1012" s="35"/>
      <c r="E1012" s="132"/>
      <c r="F1012" s="132"/>
      <c r="G1012" s="132"/>
      <c r="H1012" s="132"/>
      <c r="I1012" s="132"/>
      <c r="J1012" s="132"/>
      <c r="K1012" s="132"/>
      <c r="L1012" s="132"/>
      <c r="M1012" s="132"/>
      <c r="N1012" s="132"/>
      <c r="O1012" s="132"/>
      <c r="P1012" s="154"/>
    </row>
    <row r="1013" spans="1:16" s="28" customFormat="1" x14ac:dyDescent="0.25">
      <c r="A1013" s="53"/>
      <c r="B1013" s="58"/>
      <c r="C1013" s="58"/>
      <c r="D1013" s="35"/>
      <c r="E1013" s="132"/>
      <c r="F1013" s="132"/>
      <c r="G1013" s="132"/>
      <c r="H1013" s="132"/>
      <c r="I1013" s="132"/>
      <c r="J1013" s="132"/>
      <c r="K1013" s="132"/>
      <c r="L1013" s="132"/>
      <c r="M1013" s="132"/>
      <c r="N1013" s="132"/>
      <c r="O1013" s="132"/>
      <c r="P1013" s="154"/>
    </row>
    <row r="1014" spans="1:16" s="28" customFormat="1" x14ac:dyDescent="0.25">
      <c r="A1014" s="53"/>
      <c r="B1014" s="58"/>
      <c r="C1014" s="58"/>
      <c r="D1014" s="35"/>
      <c r="E1014" s="132"/>
      <c r="F1014" s="132"/>
      <c r="G1014" s="132"/>
      <c r="H1014" s="132"/>
      <c r="I1014" s="132"/>
      <c r="J1014" s="132"/>
      <c r="K1014" s="132"/>
      <c r="L1014" s="132"/>
      <c r="M1014" s="132"/>
      <c r="N1014" s="132"/>
      <c r="O1014" s="132"/>
      <c r="P1014" s="154"/>
    </row>
    <row r="1015" spans="1:16" s="28" customFormat="1" x14ac:dyDescent="0.25">
      <c r="A1015" s="53"/>
      <c r="B1015" s="58"/>
      <c r="C1015" s="58"/>
      <c r="D1015" s="35"/>
      <c r="E1015" s="132"/>
      <c r="F1015" s="132"/>
      <c r="G1015" s="132"/>
      <c r="H1015" s="132"/>
      <c r="I1015" s="132"/>
      <c r="J1015" s="132"/>
      <c r="K1015" s="132"/>
      <c r="L1015" s="132"/>
      <c r="M1015" s="132"/>
      <c r="N1015" s="132"/>
      <c r="O1015" s="132"/>
      <c r="P1015" s="154"/>
    </row>
    <row r="1016" spans="1:16" s="28" customFormat="1" x14ac:dyDescent="0.25">
      <c r="A1016" s="53"/>
      <c r="B1016" s="58"/>
      <c r="C1016" s="58"/>
      <c r="D1016" s="35"/>
      <c r="E1016" s="132"/>
      <c r="F1016" s="132"/>
      <c r="G1016" s="132"/>
      <c r="H1016" s="132"/>
      <c r="I1016" s="132"/>
      <c r="J1016" s="132"/>
      <c r="K1016" s="132"/>
      <c r="L1016" s="132"/>
      <c r="M1016" s="132"/>
      <c r="N1016" s="132"/>
      <c r="O1016" s="132"/>
      <c r="P1016" s="154"/>
    </row>
    <row r="1017" spans="1:16" s="28" customFormat="1" x14ac:dyDescent="0.25">
      <c r="A1017" s="53"/>
      <c r="B1017" s="58"/>
      <c r="C1017" s="58"/>
      <c r="D1017" s="35"/>
      <c r="E1017" s="132"/>
      <c r="F1017" s="132"/>
      <c r="G1017" s="132"/>
      <c r="H1017" s="132"/>
      <c r="I1017" s="132"/>
      <c r="J1017" s="132"/>
      <c r="K1017" s="132"/>
      <c r="L1017" s="132"/>
      <c r="M1017" s="132"/>
      <c r="N1017" s="132"/>
      <c r="O1017" s="132"/>
      <c r="P1017" s="154"/>
    </row>
    <row r="1018" spans="1:16" s="28" customFormat="1" x14ac:dyDescent="0.25">
      <c r="A1018" s="53"/>
      <c r="B1018" s="58"/>
      <c r="C1018" s="58"/>
      <c r="D1018" s="35"/>
      <c r="E1018" s="132"/>
      <c r="F1018" s="132"/>
      <c r="G1018" s="132"/>
      <c r="H1018" s="132"/>
      <c r="I1018" s="132"/>
      <c r="J1018" s="132"/>
      <c r="K1018" s="132"/>
      <c r="L1018" s="132"/>
      <c r="M1018" s="132"/>
      <c r="N1018" s="132"/>
      <c r="O1018" s="132"/>
      <c r="P1018" s="154"/>
    </row>
    <row r="1019" spans="1:16" s="28" customFormat="1" x14ac:dyDescent="0.25">
      <c r="A1019" s="53"/>
      <c r="B1019" s="58"/>
      <c r="C1019" s="58"/>
      <c r="D1019" s="35"/>
      <c r="E1019" s="132"/>
      <c r="F1019" s="132"/>
      <c r="G1019" s="132"/>
      <c r="H1019" s="132"/>
      <c r="I1019" s="132"/>
      <c r="J1019" s="132"/>
      <c r="K1019" s="132"/>
      <c r="L1019" s="132"/>
      <c r="M1019" s="132"/>
      <c r="N1019" s="132"/>
      <c r="O1019" s="132"/>
      <c r="P1019" s="154"/>
    </row>
    <row r="1020" spans="1:16" s="28" customFormat="1" x14ac:dyDescent="0.25">
      <c r="A1020" s="53"/>
      <c r="B1020" s="58"/>
      <c r="C1020" s="58"/>
      <c r="D1020" s="35"/>
      <c r="E1020" s="132"/>
      <c r="F1020" s="132"/>
      <c r="G1020" s="132"/>
      <c r="H1020" s="132"/>
      <c r="I1020" s="132"/>
      <c r="J1020" s="132"/>
      <c r="K1020" s="132"/>
      <c r="L1020" s="132"/>
      <c r="M1020" s="132"/>
      <c r="N1020" s="132"/>
      <c r="O1020" s="132"/>
      <c r="P1020" s="154"/>
    </row>
    <row r="1021" spans="1:16" s="28" customFormat="1" x14ac:dyDescent="0.25">
      <c r="A1021" s="53"/>
      <c r="B1021" s="58"/>
      <c r="C1021" s="58"/>
      <c r="D1021" s="35"/>
      <c r="E1021" s="132"/>
      <c r="F1021" s="132"/>
      <c r="G1021" s="132"/>
      <c r="H1021" s="132"/>
      <c r="I1021" s="132"/>
      <c r="J1021" s="132"/>
      <c r="K1021" s="132"/>
      <c r="L1021" s="132"/>
      <c r="M1021" s="132"/>
      <c r="N1021" s="132"/>
      <c r="O1021" s="132"/>
      <c r="P1021" s="154"/>
    </row>
    <row r="1022" spans="1:16" s="28" customFormat="1" x14ac:dyDescent="0.25">
      <c r="A1022" s="53"/>
      <c r="B1022" s="58"/>
      <c r="C1022" s="58"/>
      <c r="D1022" s="35"/>
      <c r="E1022" s="132"/>
      <c r="F1022" s="132"/>
      <c r="G1022" s="132"/>
      <c r="H1022" s="132"/>
      <c r="I1022" s="132"/>
      <c r="J1022" s="132"/>
      <c r="K1022" s="132"/>
      <c r="L1022" s="132"/>
      <c r="M1022" s="132"/>
      <c r="N1022" s="132"/>
      <c r="O1022" s="132"/>
      <c r="P1022" s="154"/>
    </row>
    <row r="1023" spans="1:16" s="28" customFormat="1" x14ac:dyDescent="0.25">
      <c r="A1023" s="53"/>
      <c r="B1023" s="58"/>
      <c r="C1023" s="58"/>
      <c r="D1023" s="35"/>
      <c r="E1023" s="132"/>
      <c r="F1023" s="132"/>
      <c r="G1023" s="132"/>
      <c r="H1023" s="132"/>
      <c r="I1023" s="132"/>
      <c r="J1023" s="132"/>
      <c r="K1023" s="132"/>
      <c r="L1023" s="132"/>
      <c r="M1023" s="132"/>
      <c r="N1023" s="132"/>
      <c r="O1023" s="132"/>
      <c r="P1023" s="154"/>
    </row>
    <row r="1024" spans="1:16" s="28" customFormat="1" x14ac:dyDescent="0.25">
      <c r="A1024" s="53"/>
      <c r="B1024" s="58"/>
      <c r="C1024" s="58"/>
      <c r="D1024" s="35"/>
      <c r="E1024" s="132"/>
      <c r="F1024" s="132"/>
      <c r="G1024" s="132"/>
      <c r="H1024" s="132"/>
      <c r="I1024" s="132"/>
      <c r="J1024" s="132"/>
      <c r="K1024" s="132"/>
      <c r="L1024" s="132"/>
      <c r="M1024" s="132"/>
      <c r="N1024" s="132"/>
      <c r="O1024" s="132"/>
      <c r="P1024" s="154"/>
    </row>
    <row r="1025" spans="1:16" s="28" customFormat="1" x14ac:dyDescent="0.25">
      <c r="A1025" s="53"/>
      <c r="B1025" s="58"/>
      <c r="C1025" s="58"/>
      <c r="D1025" s="35"/>
      <c r="E1025" s="132"/>
      <c r="F1025" s="132"/>
      <c r="G1025" s="132"/>
      <c r="H1025" s="132"/>
      <c r="I1025" s="132"/>
      <c r="J1025" s="132"/>
      <c r="K1025" s="132"/>
      <c r="L1025" s="132"/>
      <c r="M1025" s="132"/>
      <c r="N1025" s="132"/>
      <c r="O1025" s="132"/>
      <c r="P1025" s="154"/>
    </row>
    <row r="1026" spans="1:16" s="28" customFormat="1" x14ac:dyDescent="0.25">
      <c r="A1026" s="53"/>
      <c r="B1026" s="58"/>
      <c r="C1026" s="58"/>
      <c r="D1026" s="35"/>
      <c r="E1026" s="132"/>
      <c r="F1026" s="132"/>
      <c r="G1026" s="132"/>
      <c r="H1026" s="132"/>
      <c r="I1026" s="132"/>
      <c r="J1026" s="132"/>
      <c r="K1026" s="132"/>
      <c r="L1026" s="132"/>
      <c r="M1026" s="132"/>
      <c r="N1026" s="132"/>
      <c r="O1026" s="132"/>
      <c r="P1026" s="154"/>
    </row>
    <row r="1027" spans="1:16" s="28" customFormat="1" x14ac:dyDescent="0.25">
      <c r="A1027" s="53"/>
      <c r="B1027" s="58"/>
      <c r="C1027" s="58"/>
      <c r="D1027" s="35"/>
      <c r="E1027" s="132"/>
      <c r="F1027" s="132"/>
      <c r="G1027" s="132"/>
      <c r="H1027" s="132"/>
      <c r="I1027" s="132"/>
      <c r="J1027" s="132"/>
      <c r="K1027" s="132"/>
      <c r="L1027" s="132"/>
      <c r="M1027" s="132"/>
      <c r="N1027" s="132"/>
      <c r="O1027" s="132"/>
      <c r="P1027" s="154"/>
    </row>
    <row r="1028" spans="1:16" s="28" customFormat="1" x14ac:dyDescent="0.25">
      <c r="A1028" s="53"/>
      <c r="B1028" s="58"/>
      <c r="C1028" s="58"/>
      <c r="D1028" s="35"/>
      <c r="E1028" s="132"/>
      <c r="F1028" s="132"/>
      <c r="G1028" s="132"/>
      <c r="H1028" s="132"/>
      <c r="I1028" s="132"/>
      <c r="J1028" s="132"/>
      <c r="K1028" s="132"/>
      <c r="L1028" s="132"/>
      <c r="M1028" s="132"/>
      <c r="N1028" s="132"/>
      <c r="O1028" s="132"/>
      <c r="P1028" s="154"/>
    </row>
    <row r="1029" spans="1:16" s="28" customFormat="1" x14ac:dyDescent="0.25">
      <c r="A1029" s="53"/>
      <c r="B1029" s="58"/>
      <c r="C1029" s="58"/>
      <c r="D1029" s="35"/>
      <c r="E1029" s="132"/>
      <c r="F1029" s="132"/>
      <c r="G1029" s="132"/>
      <c r="H1029" s="132"/>
      <c r="I1029" s="132"/>
      <c r="J1029" s="132"/>
      <c r="K1029" s="132"/>
      <c r="L1029" s="132"/>
      <c r="M1029" s="132"/>
      <c r="N1029" s="132"/>
      <c r="O1029" s="132"/>
      <c r="P1029" s="154"/>
    </row>
    <row r="1030" spans="1:16" s="28" customFormat="1" x14ac:dyDescent="0.25">
      <c r="A1030" s="53"/>
      <c r="B1030" s="58"/>
      <c r="C1030" s="58"/>
      <c r="D1030" s="35"/>
      <c r="E1030" s="132"/>
      <c r="F1030" s="132"/>
      <c r="G1030" s="132"/>
      <c r="H1030" s="132"/>
      <c r="I1030" s="132"/>
      <c r="J1030" s="132"/>
      <c r="K1030" s="132"/>
      <c r="L1030" s="132"/>
      <c r="M1030" s="132"/>
      <c r="N1030" s="132"/>
      <c r="O1030" s="132"/>
      <c r="P1030" s="154"/>
    </row>
    <row r="1031" spans="1:16" s="28" customFormat="1" x14ac:dyDescent="0.25">
      <c r="A1031" s="53"/>
      <c r="B1031" s="58"/>
      <c r="C1031" s="58"/>
      <c r="D1031" s="35"/>
      <c r="E1031" s="132"/>
      <c r="F1031" s="132"/>
      <c r="G1031" s="132"/>
      <c r="H1031" s="132"/>
      <c r="I1031" s="132"/>
      <c r="J1031" s="132"/>
      <c r="K1031" s="132"/>
      <c r="L1031" s="132"/>
      <c r="M1031" s="132"/>
      <c r="N1031" s="132"/>
      <c r="O1031" s="132"/>
      <c r="P1031" s="154"/>
    </row>
    <row r="1032" spans="1:16" s="28" customFormat="1" x14ac:dyDescent="0.25">
      <c r="A1032" s="53"/>
      <c r="B1032" s="58"/>
      <c r="C1032" s="58"/>
      <c r="D1032" s="35"/>
      <c r="E1032" s="132"/>
      <c r="F1032" s="132"/>
      <c r="G1032" s="132"/>
      <c r="H1032" s="132"/>
      <c r="I1032" s="132"/>
      <c r="J1032" s="132"/>
      <c r="K1032" s="132"/>
      <c r="L1032" s="132"/>
      <c r="M1032" s="132"/>
      <c r="N1032" s="132"/>
      <c r="O1032" s="132"/>
      <c r="P1032" s="154"/>
    </row>
    <row r="1033" spans="1:16" s="28" customFormat="1" x14ac:dyDescent="0.25">
      <c r="A1033" s="53"/>
      <c r="B1033" s="58"/>
      <c r="C1033" s="58"/>
      <c r="D1033" s="35"/>
      <c r="E1033" s="132"/>
      <c r="F1033" s="132"/>
      <c r="G1033" s="132"/>
      <c r="H1033" s="132"/>
      <c r="I1033" s="132"/>
      <c r="J1033" s="132"/>
      <c r="K1033" s="132"/>
      <c r="L1033" s="132"/>
      <c r="M1033" s="132"/>
      <c r="N1033" s="132"/>
      <c r="O1033" s="132"/>
      <c r="P1033" s="154"/>
    </row>
    <row r="1034" spans="1:16" s="28" customFormat="1" x14ac:dyDescent="0.25">
      <c r="A1034" s="53"/>
      <c r="B1034" s="58"/>
      <c r="C1034" s="58"/>
      <c r="D1034" s="35"/>
      <c r="E1034" s="132"/>
      <c r="F1034" s="132"/>
      <c r="G1034" s="132"/>
      <c r="H1034" s="132"/>
      <c r="I1034" s="132"/>
      <c r="J1034" s="132"/>
      <c r="K1034" s="132"/>
      <c r="L1034" s="132"/>
      <c r="M1034" s="132"/>
      <c r="N1034" s="132"/>
      <c r="O1034" s="132"/>
      <c r="P1034" s="154"/>
    </row>
    <row r="1035" spans="1:16" s="28" customFormat="1" x14ac:dyDescent="0.25">
      <c r="A1035" s="53"/>
      <c r="B1035" s="58"/>
      <c r="C1035" s="58"/>
      <c r="D1035" s="35"/>
      <c r="E1035" s="132"/>
      <c r="F1035" s="132"/>
      <c r="G1035" s="132"/>
      <c r="H1035" s="132"/>
      <c r="I1035" s="132"/>
      <c r="J1035" s="132"/>
      <c r="K1035" s="132"/>
      <c r="L1035" s="132"/>
      <c r="M1035" s="132"/>
      <c r="N1035" s="132"/>
      <c r="O1035" s="132"/>
      <c r="P1035" s="154"/>
    </row>
    <row r="1036" spans="1:16" s="28" customFormat="1" x14ac:dyDescent="0.25">
      <c r="A1036" s="53"/>
      <c r="B1036" s="58"/>
      <c r="C1036" s="58"/>
      <c r="D1036" s="35"/>
      <c r="E1036" s="132"/>
      <c r="F1036" s="132"/>
      <c r="G1036" s="132"/>
      <c r="H1036" s="132"/>
      <c r="I1036" s="132"/>
      <c r="J1036" s="132"/>
      <c r="K1036" s="132"/>
      <c r="L1036" s="132"/>
      <c r="M1036" s="132"/>
      <c r="N1036" s="132"/>
      <c r="O1036" s="132"/>
      <c r="P1036" s="154"/>
    </row>
    <row r="1037" spans="1:16" s="28" customFormat="1" x14ac:dyDescent="0.25">
      <c r="A1037" s="53"/>
      <c r="B1037" s="58"/>
      <c r="C1037" s="58"/>
      <c r="D1037" s="35"/>
      <c r="E1037" s="132"/>
      <c r="F1037" s="132"/>
      <c r="G1037" s="132"/>
      <c r="H1037" s="132"/>
      <c r="I1037" s="132"/>
      <c r="J1037" s="132"/>
      <c r="K1037" s="132"/>
      <c r="L1037" s="132"/>
      <c r="M1037" s="132"/>
      <c r="N1037" s="132"/>
      <c r="O1037" s="132"/>
      <c r="P1037" s="154"/>
    </row>
    <row r="1038" spans="1:16" s="28" customFormat="1" x14ac:dyDescent="0.25">
      <c r="A1038" s="53"/>
      <c r="B1038" s="58"/>
      <c r="C1038" s="58"/>
      <c r="D1038" s="35"/>
      <c r="E1038" s="132"/>
      <c r="F1038" s="132"/>
      <c r="G1038" s="132"/>
      <c r="H1038" s="132"/>
      <c r="I1038" s="132"/>
      <c r="J1038" s="132"/>
      <c r="K1038" s="132"/>
      <c r="L1038" s="132"/>
      <c r="M1038" s="132"/>
      <c r="N1038" s="132"/>
      <c r="O1038" s="132"/>
      <c r="P1038" s="154"/>
    </row>
    <row r="1039" spans="1:16" s="28" customFormat="1" x14ac:dyDescent="0.25">
      <c r="A1039" s="53"/>
      <c r="B1039" s="58"/>
      <c r="C1039" s="58"/>
      <c r="D1039" s="35"/>
      <c r="E1039" s="132"/>
      <c r="F1039" s="132"/>
      <c r="G1039" s="132"/>
      <c r="H1039" s="132"/>
      <c r="I1039" s="132"/>
      <c r="J1039" s="132"/>
      <c r="K1039" s="132"/>
      <c r="L1039" s="132"/>
      <c r="M1039" s="132"/>
      <c r="N1039" s="132"/>
      <c r="O1039" s="132"/>
      <c r="P1039" s="154"/>
    </row>
    <row r="1040" spans="1:16" s="28" customFormat="1" x14ac:dyDescent="0.25">
      <c r="A1040" s="53"/>
      <c r="B1040" s="58"/>
      <c r="C1040" s="58"/>
      <c r="D1040" s="35"/>
      <c r="E1040" s="132"/>
      <c r="F1040" s="132"/>
      <c r="G1040" s="132"/>
      <c r="H1040" s="132"/>
      <c r="I1040" s="132"/>
      <c r="J1040" s="132"/>
      <c r="K1040" s="132"/>
      <c r="L1040" s="132"/>
      <c r="M1040" s="132"/>
      <c r="N1040" s="132"/>
      <c r="O1040" s="132"/>
      <c r="P1040" s="154"/>
    </row>
    <row r="1041" spans="1:16" s="28" customFormat="1" x14ac:dyDescent="0.25">
      <c r="A1041" s="53"/>
      <c r="B1041" s="58"/>
      <c r="C1041" s="58"/>
      <c r="D1041" s="35"/>
      <c r="E1041" s="132"/>
      <c r="F1041" s="132"/>
      <c r="G1041" s="132"/>
      <c r="H1041" s="132"/>
      <c r="I1041" s="132"/>
      <c r="J1041" s="132"/>
      <c r="K1041" s="132"/>
      <c r="L1041" s="132"/>
      <c r="M1041" s="132"/>
      <c r="N1041" s="132"/>
      <c r="O1041" s="132"/>
      <c r="P1041" s="154"/>
    </row>
    <row r="1042" spans="1:16" s="28" customFormat="1" x14ac:dyDescent="0.25">
      <c r="A1042" s="53"/>
      <c r="B1042" s="58"/>
      <c r="C1042" s="58"/>
      <c r="D1042" s="35"/>
      <c r="E1042" s="132"/>
      <c r="F1042" s="132"/>
      <c r="G1042" s="132"/>
      <c r="H1042" s="132"/>
      <c r="I1042" s="132"/>
      <c r="J1042" s="132"/>
      <c r="K1042" s="132"/>
      <c r="L1042" s="132"/>
      <c r="M1042" s="132"/>
      <c r="N1042" s="132"/>
      <c r="O1042" s="132"/>
      <c r="P1042" s="154"/>
    </row>
    <row r="1043" spans="1:16" s="28" customFormat="1" x14ac:dyDescent="0.25">
      <c r="A1043" s="53"/>
      <c r="B1043" s="58"/>
      <c r="C1043" s="58"/>
      <c r="D1043" s="35"/>
      <c r="E1043" s="132"/>
      <c r="F1043" s="132"/>
      <c r="G1043" s="132"/>
      <c r="H1043" s="132"/>
      <c r="I1043" s="132"/>
      <c r="J1043" s="132"/>
      <c r="K1043" s="132"/>
      <c r="L1043" s="132"/>
      <c r="M1043" s="132"/>
      <c r="N1043" s="132"/>
      <c r="O1043" s="132"/>
      <c r="P1043" s="154"/>
    </row>
    <row r="1044" spans="1:16" s="28" customFormat="1" x14ac:dyDescent="0.25">
      <c r="A1044" s="53"/>
      <c r="B1044" s="58"/>
      <c r="C1044" s="58"/>
      <c r="D1044" s="35"/>
      <c r="E1044" s="132"/>
      <c r="F1044" s="132"/>
      <c r="G1044" s="132"/>
      <c r="H1044" s="132"/>
      <c r="I1044" s="132"/>
      <c r="J1044" s="132"/>
      <c r="K1044" s="132"/>
      <c r="L1044" s="132"/>
      <c r="M1044" s="132"/>
      <c r="N1044" s="132"/>
      <c r="O1044" s="132"/>
      <c r="P1044" s="154"/>
    </row>
    <row r="1045" spans="1:16" s="28" customFormat="1" x14ac:dyDescent="0.25">
      <c r="A1045" s="53"/>
      <c r="B1045" s="58"/>
      <c r="C1045" s="58"/>
      <c r="D1045" s="35"/>
      <c r="E1045" s="132"/>
      <c r="F1045" s="132"/>
      <c r="G1045" s="132"/>
      <c r="H1045" s="132"/>
      <c r="I1045" s="132"/>
      <c r="J1045" s="132"/>
      <c r="K1045" s="132"/>
      <c r="L1045" s="132"/>
      <c r="M1045" s="132"/>
      <c r="N1045" s="132"/>
      <c r="O1045" s="132"/>
      <c r="P1045" s="154"/>
    </row>
    <row r="1046" spans="1:16" s="28" customFormat="1" x14ac:dyDescent="0.25">
      <c r="A1046" s="53"/>
      <c r="B1046" s="58"/>
      <c r="C1046" s="58"/>
      <c r="D1046" s="35"/>
      <c r="E1046" s="132"/>
      <c r="F1046" s="132"/>
      <c r="G1046" s="132"/>
      <c r="H1046" s="132"/>
      <c r="I1046" s="132"/>
      <c r="J1046" s="132"/>
      <c r="K1046" s="132"/>
      <c r="L1046" s="132"/>
      <c r="M1046" s="132"/>
      <c r="N1046" s="132"/>
      <c r="O1046" s="132"/>
      <c r="P1046" s="154"/>
    </row>
    <row r="1047" spans="1:16" s="28" customFormat="1" x14ac:dyDescent="0.25">
      <c r="A1047" s="53"/>
      <c r="B1047" s="58"/>
      <c r="C1047" s="58"/>
      <c r="D1047" s="35"/>
      <c r="E1047" s="132"/>
      <c r="F1047" s="132"/>
      <c r="G1047" s="132"/>
      <c r="H1047" s="132"/>
      <c r="I1047" s="132"/>
      <c r="J1047" s="132"/>
      <c r="K1047" s="132"/>
      <c r="L1047" s="132"/>
      <c r="M1047" s="132"/>
      <c r="N1047" s="132"/>
      <c r="O1047" s="132"/>
      <c r="P1047" s="154"/>
    </row>
    <row r="1048" spans="1:16" s="28" customFormat="1" x14ac:dyDescent="0.25">
      <c r="A1048" s="53"/>
      <c r="B1048" s="58"/>
      <c r="C1048" s="58"/>
      <c r="D1048" s="35"/>
      <c r="E1048" s="132"/>
      <c r="F1048" s="132"/>
      <c r="G1048" s="132"/>
      <c r="H1048" s="132"/>
      <c r="I1048" s="132"/>
      <c r="J1048" s="132"/>
      <c r="K1048" s="132"/>
      <c r="L1048" s="132"/>
      <c r="M1048" s="132"/>
      <c r="N1048" s="132"/>
      <c r="O1048" s="132"/>
      <c r="P1048" s="154"/>
    </row>
    <row r="1049" spans="1:16" s="28" customFormat="1" x14ac:dyDescent="0.25">
      <c r="A1049" s="53"/>
      <c r="B1049" s="58"/>
      <c r="C1049" s="58"/>
      <c r="D1049" s="35"/>
      <c r="E1049" s="132"/>
      <c r="F1049" s="132"/>
      <c r="G1049" s="132"/>
      <c r="H1049" s="132"/>
      <c r="I1049" s="132"/>
      <c r="J1049" s="132"/>
      <c r="K1049" s="132"/>
      <c r="L1049" s="132"/>
      <c r="M1049" s="132"/>
      <c r="N1049" s="132"/>
      <c r="O1049" s="132"/>
      <c r="P1049" s="154"/>
    </row>
    <row r="1050" spans="1:16" s="28" customFormat="1" x14ac:dyDescent="0.25">
      <c r="A1050" s="53"/>
      <c r="B1050" s="58"/>
      <c r="C1050" s="58"/>
      <c r="D1050" s="35"/>
      <c r="E1050" s="132"/>
      <c r="F1050" s="132"/>
      <c r="G1050" s="132"/>
      <c r="H1050" s="132"/>
      <c r="I1050" s="132"/>
      <c r="J1050" s="132"/>
      <c r="K1050" s="132"/>
      <c r="L1050" s="132"/>
      <c r="M1050" s="132"/>
      <c r="N1050" s="132"/>
      <c r="O1050" s="132"/>
      <c r="P1050" s="154"/>
    </row>
    <row r="1051" spans="1:16" s="28" customFormat="1" x14ac:dyDescent="0.25">
      <c r="A1051" s="53"/>
      <c r="B1051" s="58"/>
      <c r="C1051" s="58"/>
      <c r="D1051" s="35"/>
      <c r="E1051" s="132"/>
      <c r="F1051" s="132"/>
      <c r="G1051" s="132"/>
      <c r="H1051" s="132"/>
      <c r="I1051" s="132"/>
      <c r="J1051" s="132"/>
      <c r="K1051" s="132"/>
      <c r="L1051" s="132"/>
      <c r="M1051" s="132"/>
      <c r="N1051" s="132"/>
      <c r="O1051" s="132"/>
      <c r="P1051" s="154"/>
    </row>
    <row r="1052" spans="1:16" s="28" customFormat="1" x14ac:dyDescent="0.25">
      <c r="A1052" s="53"/>
      <c r="B1052" s="58"/>
      <c r="C1052" s="58"/>
      <c r="D1052" s="35"/>
      <c r="E1052" s="132"/>
      <c r="F1052" s="132"/>
      <c r="G1052" s="132"/>
      <c r="H1052" s="132"/>
      <c r="I1052" s="132"/>
      <c r="J1052" s="132"/>
      <c r="K1052" s="132"/>
      <c r="L1052" s="132"/>
      <c r="M1052" s="132"/>
      <c r="N1052" s="132"/>
      <c r="O1052" s="132"/>
      <c r="P1052" s="154"/>
    </row>
    <row r="1053" spans="1:16" s="28" customFormat="1" x14ac:dyDescent="0.25">
      <c r="A1053" s="53"/>
      <c r="B1053" s="58"/>
      <c r="C1053" s="58"/>
      <c r="D1053" s="35"/>
      <c r="E1053" s="132"/>
      <c r="F1053" s="132"/>
      <c r="G1053" s="132"/>
      <c r="H1053" s="132"/>
      <c r="I1053" s="132"/>
      <c r="J1053" s="132"/>
      <c r="K1053" s="132"/>
      <c r="L1053" s="132"/>
      <c r="M1053" s="132"/>
      <c r="N1053" s="132"/>
      <c r="O1053" s="132"/>
      <c r="P1053" s="154"/>
    </row>
    <row r="1054" spans="1:16" s="28" customFormat="1" x14ac:dyDescent="0.25">
      <c r="A1054" s="53"/>
      <c r="B1054" s="58"/>
      <c r="C1054" s="58"/>
      <c r="D1054" s="35"/>
      <c r="E1054" s="132"/>
      <c r="F1054" s="132"/>
      <c r="G1054" s="132"/>
      <c r="H1054" s="132"/>
      <c r="I1054" s="132"/>
      <c r="J1054" s="132"/>
      <c r="K1054" s="132"/>
      <c r="L1054" s="132"/>
      <c r="M1054" s="132"/>
      <c r="N1054" s="132"/>
      <c r="O1054" s="132"/>
      <c r="P1054" s="154"/>
    </row>
    <row r="1055" spans="1:16" s="28" customFormat="1" x14ac:dyDescent="0.25">
      <c r="A1055" s="53"/>
      <c r="B1055" s="58"/>
      <c r="C1055" s="58"/>
      <c r="D1055" s="35"/>
      <c r="E1055" s="132"/>
      <c r="F1055" s="132"/>
      <c r="G1055" s="132"/>
      <c r="H1055" s="132"/>
      <c r="I1055" s="132"/>
      <c r="J1055" s="132"/>
      <c r="K1055" s="132"/>
      <c r="L1055" s="132"/>
      <c r="M1055" s="132"/>
      <c r="N1055" s="132"/>
      <c r="O1055" s="132"/>
      <c r="P1055" s="154"/>
    </row>
    <row r="1056" spans="1:16" s="28" customFormat="1" x14ac:dyDescent="0.25">
      <c r="A1056" s="53"/>
      <c r="B1056" s="58"/>
      <c r="C1056" s="58"/>
      <c r="D1056" s="35"/>
      <c r="E1056" s="132"/>
      <c r="F1056" s="132"/>
      <c r="G1056" s="132"/>
      <c r="H1056" s="132"/>
      <c r="I1056" s="132"/>
      <c r="J1056" s="132"/>
      <c r="K1056" s="132"/>
      <c r="L1056" s="132"/>
      <c r="M1056" s="132"/>
      <c r="N1056" s="132"/>
      <c r="O1056" s="132"/>
      <c r="P1056" s="154"/>
    </row>
    <row r="1057" spans="1:16" s="28" customFormat="1" x14ac:dyDescent="0.25">
      <c r="A1057" s="53"/>
      <c r="B1057" s="58"/>
      <c r="C1057" s="58"/>
      <c r="D1057" s="35"/>
      <c r="E1057" s="132"/>
      <c r="F1057" s="132"/>
      <c r="G1057" s="132"/>
      <c r="H1057" s="132"/>
      <c r="I1057" s="132"/>
      <c r="J1057" s="132"/>
      <c r="K1057" s="132"/>
      <c r="L1057" s="132"/>
      <c r="M1057" s="132"/>
      <c r="N1057" s="132"/>
      <c r="O1057" s="132"/>
      <c r="P1057" s="154"/>
    </row>
    <row r="1058" spans="1:16" s="28" customFormat="1" x14ac:dyDescent="0.25">
      <c r="A1058" s="53"/>
      <c r="B1058" s="58"/>
      <c r="C1058" s="58"/>
      <c r="D1058" s="35"/>
      <c r="E1058" s="132"/>
      <c r="F1058" s="132"/>
      <c r="G1058" s="132"/>
      <c r="H1058" s="132"/>
      <c r="I1058" s="132"/>
      <c r="J1058" s="132"/>
      <c r="K1058" s="132"/>
      <c r="L1058" s="132"/>
      <c r="M1058" s="132"/>
      <c r="N1058" s="132"/>
      <c r="O1058" s="132"/>
      <c r="P1058" s="154"/>
    </row>
    <row r="1059" spans="1:16" s="28" customFormat="1" x14ac:dyDescent="0.25">
      <c r="A1059" s="53"/>
      <c r="B1059" s="58"/>
      <c r="C1059" s="58"/>
      <c r="D1059" s="35"/>
      <c r="E1059" s="132"/>
      <c r="F1059" s="132"/>
      <c r="G1059" s="132"/>
      <c r="H1059" s="132"/>
      <c r="I1059" s="132"/>
      <c r="J1059" s="132"/>
      <c r="K1059" s="132"/>
      <c r="L1059" s="132"/>
      <c r="M1059" s="132"/>
      <c r="N1059" s="132"/>
      <c r="O1059" s="132"/>
      <c r="P1059" s="154"/>
    </row>
    <row r="1060" spans="1:16" s="28" customFormat="1" x14ac:dyDescent="0.25">
      <c r="A1060" s="53"/>
      <c r="B1060" s="58"/>
      <c r="C1060" s="58"/>
      <c r="D1060" s="35"/>
      <c r="E1060" s="132"/>
      <c r="F1060" s="132"/>
      <c r="G1060" s="132"/>
      <c r="H1060" s="132"/>
      <c r="I1060" s="132"/>
      <c r="J1060" s="132"/>
      <c r="K1060" s="132"/>
      <c r="L1060" s="132"/>
      <c r="M1060" s="132"/>
      <c r="N1060" s="132"/>
      <c r="O1060" s="132"/>
      <c r="P1060" s="154"/>
    </row>
    <row r="1061" spans="1:16" s="28" customFormat="1" x14ac:dyDescent="0.25">
      <c r="A1061" s="53"/>
      <c r="B1061" s="58"/>
      <c r="C1061" s="58"/>
      <c r="D1061" s="35"/>
      <c r="E1061" s="132"/>
      <c r="F1061" s="132"/>
      <c r="G1061" s="132"/>
      <c r="H1061" s="132"/>
      <c r="I1061" s="132"/>
      <c r="J1061" s="132"/>
      <c r="K1061" s="132"/>
      <c r="L1061" s="132"/>
      <c r="M1061" s="132"/>
      <c r="N1061" s="132"/>
      <c r="O1061" s="132"/>
      <c r="P1061" s="154"/>
    </row>
    <row r="1062" spans="1:16" s="28" customFormat="1" x14ac:dyDescent="0.25">
      <c r="A1062" s="53"/>
      <c r="B1062" s="58"/>
      <c r="C1062" s="58"/>
      <c r="D1062" s="35"/>
      <c r="E1062" s="132"/>
      <c r="F1062" s="132"/>
      <c r="G1062" s="132"/>
      <c r="H1062" s="132"/>
      <c r="I1062" s="132"/>
      <c r="J1062" s="132"/>
      <c r="K1062" s="132"/>
      <c r="L1062" s="132"/>
      <c r="M1062" s="132"/>
      <c r="N1062" s="132"/>
      <c r="O1062" s="132"/>
      <c r="P1062" s="154"/>
    </row>
    <row r="1063" spans="1:16" s="28" customFormat="1" x14ac:dyDescent="0.25">
      <c r="A1063" s="53"/>
      <c r="B1063" s="58"/>
      <c r="C1063" s="58"/>
      <c r="D1063" s="35"/>
      <c r="E1063" s="132"/>
      <c r="F1063" s="132"/>
      <c r="G1063" s="132"/>
      <c r="H1063" s="132"/>
      <c r="I1063" s="132"/>
      <c r="J1063" s="132"/>
      <c r="K1063" s="132"/>
      <c r="L1063" s="132"/>
      <c r="M1063" s="132"/>
      <c r="N1063" s="132"/>
      <c r="O1063" s="132"/>
      <c r="P1063" s="154"/>
    </row>
    <row r="1064" spans="1:16" s="28" customFormat="1" x14ac:dyDescent="0.25">
      <c r="A1064" s="53"/>
      <c r="B1064" s="58"/>
      <c r="C1064" s="58"/>
      <c r="D1064" s="35"/>
      <c r="E1064" s="132"/>
      <c r="F1064" s="132"/>
      <c r="G1064" s="132"/>
      <c r="H1064" s="132"/>
      <c r="I1064" s="132"/>
      <c r="J1064" s="132"/>
      <c r="K1064" s="132"/>
      <c r="L1064" s="132"/>
      <c r="M1064" s="132"/>
      <c r="N1064" s="132"/>
      <c r="O1064" s="132"/>
      <c r="P1064" s="154"/>
    </row>
    <row r="1065" spans="1:16" s="28" customFormat="1" x14ac:dyDescent="0.25">
      <c r="A1065" s="53"/>
      <c r="B1065" s="58"/>
      <c r="C1065" s="58"/>
      <c r="D1065" s="35"/>
      <c r="E1065" s="132"/>
      <c r="F1065" s="132"/>
      <c r="G1065" s="132"/>
      <c r="H1065" s="132"/>
      <c r="I1065" s="132"/>
      <c r="J1065" s="132"/>
      <c r="K1065" s="132"/>
      <c r="L1065" s="132"/>
      <c r="M1065" s="132"/>
      <c r="N1065" s="132"/>
      <c r="O1065" s="132"/>
      <c r="P1065" s="154"/>
    </row>
    <row r="1066" spans="1:16" s="28" customFormat="1" x14ac:dyDescent="0.25">
      <c r="A1066" s="53"/>
      <c r="B1066" s="58"/>
      <c r="C1066" s="58"/>
      <c r="D1066" s="35"/>
      <c r="E1066" s="132"/>
      <c r="F1066" s="132"/>
      <c r="G1066" s="132"/>
      <c r="H1066" s="132"/>
      <c r="I1066" s="132"/>
      <c r="J1066" s="132"/>
      <c r="K1066" s="132"/>
      <c r="L1066" s="132"/>
      <c r="M1066" s="132"/>
      <c r="N1066" s="132"/>
      <c r="O1066" s="132"/>
      <c r="P1066" s="154"/>
    </row>
    <row r="1067" spans="1:16" s="28" customFormat="1" x14ac:dyDescent="0.25">
      <c r="A1067" s="53"/>
      <c r="B1067" s="58"/>
      <c r="C1067" s="58"/>
      <c r="D1067" s="35"/>
      <c r="E1067" s="132"/>
      <c r="F1067" s="132"/>
      <c r="G1067" s="132"/>
      <c r="H1067" s="132"/>
      <c r="I1067" s="132"/>
      <c r="J1067" s="132"/>
      <c r="K1067" s="132"/>
      <c r="L1067" s="132"/>
      <c r="M1067" s="132"/>
      <c r="N1067" s="132"/>
      <c r="O1067" s="132"/>
      <c r="P1067" s="154"/>
    </row>
    <row r="1068" spans="1:16" s="28" customFormat="1" x14ac:dyDescent="0.25">
      <c r="A1068" s="53"/>
      <c r="B1068" s="58"/>
      <c r="C1068" s="58"/>
      <c r="D1068" s="35"/>
      <c r="E1068" s="132"/>
      <c r="F1068" s="132"/>
      <c r="G1068" s="132"/>
      <c r="H1068" s="132"/>
      <c r="I1068" s="132"/>
      <c r="J1068" s="132"/>
      <c r="K1068" s="132"/>
      <c r="L1068" s="132"/>
      <c r="M1068" s="132"/>
      <c r="N1068" s="132"/>
      <c r="O1068" s="132"/>
      <c r="P1068" s="154"/>
    </row>
    <row r="1069" spans="1:16" s="28" customFormat="1" x14ac:dyDescent="0.25">
      <c r="A1069" s="53"/>
      <c r="B1069" s="58"/>
      <c r="C1069" s="58"/>
      <c r="D1069" s="35"/>
      <c r="E1069" s="132"/>
      <c r="F1069" s="132"/>
      <c r="G1069" s="132"/>
      <c r="H1069" s="132"/>
      <c r="I1069" s="132"/>
      <c r="J1069" s="132"/>
      <c r="K1069" s="132"/>
      <c r="L1069" s="132"/>
      <c r="M1069" s="132"/>
      <c r="N1069" s="132"/>
      <c r="O1069" s="132"/>
      <c r="P1069" s="154"/>
    </row>
    <row r="1070" spans="1:16" s="28" customFormat="1" x14ac:dyDescent="0.25">
      <c r="A1070" s="53"/>
      <c r="B1070" s="58"/>
      <c r="C1070" s="58"/>
      <c r="D1070" s="35"/>
      <c r="E1070" s="132"/>
      <c r="F1070" s="132"/>
      <c r="G1070" s="132"/>
      <c r="H1070" s="132"/>
      <c r="I1070" s="132"/>
      <c r="J1070" s="132"/>
      <c r="K1070" s="132"/>
      <c r="L1070" s="132"/>
      <c r="M1070" s="132"/>
      <c r="N1070" s="132"/>
      <c r="O1070" s="132"/>
      <c r="P1070" s="154"/>
    </row>
    <row r="1071" spans="1:16" s="28" customFormat="1" x14ac:dyDescent="0.25">
      <c r="A1071" s="53"/>
      <c r="B1071" s="58"/>
      <c r="C1071" s="58"/>
      <c r="D1071" s="35"/>
      <c r="E1071" s="132"/>
      <c r="F1071" s="132"/>
      <c r="G1071" s="132"/>
      <c r="H1071" s="132"/>
      <c r="I1071" s="132"/>
      <c r="J1071" s="132"/>
      <c r="K1071" s="132"/>
      <c r="L1071" s="132"/>
      <c r="M1071" s="132"/>
      <c r="N1071" s="132"/>
      <c r="O1071" s="132"/>
      <c r="P1071" s="154"/>
    </row>
    <row r="1072" spans="1:16" s="28" customFormat="1" x14ac:dyDescent="0.25">
      <c r="A1072" s="53"/>
      <c r="B1072" s="58"/>
      <c r="C1072" s="58"/>
      <c r="D1072" s="35"/>
      <c r="E1072" s="132"/>
      <c r="F1072" s="132"/>
      <c r="G1072" s="132"/>
      <c r="H1072" s="132"/>
      <c r="I1072" s="132"/>
      <c r="J1072" s="132"/>
      <c r="K1072" s="132"/>
      <c r="L1072" s="132"/>
      <c r="M1072" s="132"/>
      <c r="N1072" s="132"/>
      <c r="O1072" s="132"/>
      <c r="P1072" s="154"/>
    </row>
    <row r="1073" spans="1:16" s="28" customFormat="1" x14ac:dyDescent="0.25">
      <c r="A1073" s="53"/>
      <c r="B1073" s="58"/>
      <c r="C1073" s="58"/>
      <c r="D1073" s="35"/>
      <c r="E1073" s="132"/>
      <c r="F1073" s="132"/>
      <c r="G1073" s="132"/>
      <c r="H1073" s="132"/>
      <c r="I1073" s="132"/>
      <c r="J1073" s="132"/>
      <c r="K1073" s="132"/>
      <c r="L1073" s="132"/>
      <c r="M1073" s="132"/>
      <c r="N1073" s="132"/>
      <c r="O1073" s="132"/>
      <c r="P1073" s="154"/>
    </row>
    <row r="1074" spans="1:16" s="28" customFormat="1" x14ac:dyDescent="0.25">
      <c r="A1074" s="53"/>
      <c r="B1074" s="58"/>
      <c r="C1074" s="58"/>
      <c r="D1074" s="35"/>
      <c r="E1074" s="132"/>
      <c r="F1074" s="132"/>
      <c r="G1074" s="132"/>
      <c r="H1074" s="132"/>
      <c r="I1074" s="132"/>
      <c r="J1074" s="132"/>
      <c r="K1074" s="132"/>
      <c r="L1074" s="132"/>
      <c r="M1074" s="132"/>
      <c r="N1074" s="132"/>
      <c r="O1074" s="132"/>
      <c r="P1074" s="154"/>
    </row>
    <row r="1075" spans="1:16" s="28" customFormat="1" x14ac:dyDescent="0.25">
      <c r="A1075" s="53"/>
      <c r="B1075" s="58"/>
      <c r="C1075" s="58"/>
      <c r="D1075" s="35"/>
      <c r="E1075" s="132"/>
      <c r="F1075" s="132"/>
      <c r="G1075" s="132"/>
      <c r="H1075" s="132"/>
      <c r="I1075" s="132"/>
      <c r="J1075" s="132"/>
      <c r="K1075" s="132"/>
      <c r="L1075" s="132"/>
      <c r="M1075" s="132"/>
      <c r="N1075" s="132"/>
      <c r="O1075" s="132"/>
      <c r="P1075" s="154"/>
    </row>
    <row r="1076" spans="1:16" s="28" customFormat="1" x14ac:dyDescent="0.25">
      <c r="A1076" s="53"/>
      <c r="B1076" s="58"/>
      <c r="C1076" s="58"/>
      <c r="D1076" s="35"/>
      <c r="E1076" s="132"/>
      <c r="F1076" s="132"/>
      <c r="G1076" s="132"/>
      <c r="H1076" s="132"/>
      <c r="I1076" s="132"/>
      <c r="J1076" s="132"/>
      <c r="K1076" s="132"/>
      <c r="L1076" s="132"/>
      <c r="M1076" s="132"/>
      <c r="N1076" s="132"/>
      <c r="O1076" s="132"/>
      <c r="P1076" s="154"/>
    </row>
    <row r="1077" spans="1:16" s="28" customFormat="1" x14ac:dyDescent="0.25">
      <c r="A1077" s="53"/>
      <c r="B1077" s="58"/>
      <c r="C1077" s="58"/>
      <c r="D1077" s="35"/>
      <c r="E1077" s="132"/>
      <c r="F1077" s="132"/>
      <c r="G1077" s="132"/>
      <c r="H1077" s="132"/>
      <c r="I1077" s="132"/>
      <c r="J1077" s="132"/>
      <c r="K1077" s="132"/>
      <c r="L1077" s="132"/>
      <c r="M1077" s="132"/>
      <c r="N1077" s="132"/>
      <c r="O1077" s="132"/>
      <c r="P1077" s="154"/>
    </row>
    <row r="1078" spans="1:16" s="28" customFormat="1" x14ac:dyDescent="0.25">
      <c r="A1078" s="53"/>
      <c r="B1078" s="58"/>
      <c r="C1078" s="58"/>
      <c r="D1078" s="35"/>
      <c r="E1078" s="132"/>
      <c r="F1078" s="132"/>
      <c r="G1078" s="132"/>
      <c r="H1078" s="132"/>
      <c r="I1078" s="132"/>
      <c r="J1078" s="132"/>
      <c r="K1078" s="132"/>
      <c r="L1078" s="132"/>
      <c r="M1078" s="132"/>
      <c r="N1078" s="132"/>
      <c r="O1078" s="132"/>
      <c r="P1078" s="154"/>
    </row>
    <row r="1079" spans="1:16" s="28" customFormat="1" x14ac:dyDescent="0.25">
      <c r="A1079" s="53"/>
      <c r="B1079" s="58"/>
      <c r="C1079" s="58"/>
      <c r="D1079" s="35"/>
      <c r="E1079" s="132"/>
      <c r="F1079" s="132"/>
      <c r="G1079" s="132"/>
      <c r="H1079" s="132"/>
      <c r="I1079" s="132"/>
      <c r="J1079" s="132"/>
      <c r="K1079" s="132"/>
      <c r="L1079" s="132"/>
      <c r="M1079" s="132"/>
      <c r="N1079" s="132"/>
      <c r="O1079" s="132"/>
      <c r="P1079" s="154"/>
    </row>
    <row r="1080" spans="1:16" s="28" customFormat="1" x14ac:dyDescent="0.25">
      <c r="A1080" s="53"/>
      <c r="B1080" s="58"/>
      <c r="C1080" s="58"/>
      <c r="D1080" s="35"/>
      <c r="E1080" s="132"/>
      <c r="F1080" s="132"/>
      <c r="G1080" s="132"/>
      <c r="H1080" s="132"/>
      <c r="I1080" s="132"/>
      <c r="J1080" s="132"/>
      <c r="K1080" s="132"/>
      <c r="L1080" s="132"/>
      <c r="M1080" s="132"/>
      <c r="N1080" s="132"/>
      <c r="O1080" s="132"/>
      <c r="P1080" s="154"/>
    </row>
    <row r="1081" spans="1:16" s="28" customFormat="1" x14ac:dyDescent="0.25">
      <c r="A1081" s="53"/>
      <c r="B1081" s="58"/>
      <c r="C1081" s="58"/>
      <c r="D1081" s="35"/>
      <c r="E1081" s="132"/>
      <c r="F1081" s="132"/>
      <c r="G1081" s="132"/>
      <c r="H1081" s="132"/>
      <c r="I1081" s="132"/>
      <c r="J1081" s="132"/>
      <c r="K1081" s="132"/>
      <c r="L1081" s="132"/>
      <c r="M1081" s="132"/>
      <c r="N1081" s="132"/>
      <c r="O1081" s="132"/>
      <c r="P1081" s="154"/>
    </row>
    <row r="1082" spans="1:16" s="28" customFormat="1" x14ac:dyDescent="0.25">
      <c r="A1082" s="53"/>
      <c r="B1082" s="58"/>
      <c r="C1082" s="58"/>
      <c r="D1082" s="35"/>
      <c r="E1082" s="132"/>
      <c r="F1082" s="132"/>
      <c r="G1082" s="132"/>
      <c r="H1082" s="132"/>
      <c r="I1082" s="132"/>
      <c r="J1082" s="132"/>
      <c r="K1082" s="132"/>
      <c r="L1082" s="132"/>
      <c r="M1082" s="132"/>
      <c r="N1082" s="132"/>
      <c r="O1082" s="132"/>
      <c r="P1082" s="154"/>
    </row>
    <row r="1083" spans="1:16" s="28" customFormat="1" x14ac:dyDescent="0.25">
      <c r="A1083" s="53"/>
      <c r="B1083" s="58"/>
      <c r="C1083" s="58"/>
      <c r="D1083" s="35"/>
      <c r="E1083" s="132"/>
      <c r="F1083" s="132"/>
      <c r="G1083" s="132"/>
      <c r="H1083" s="132"/>
      <c r="I1083" s="132"/>
      <c r="J1083" s="132"/>
      <c r="K1083" s="132"/>
      <c r="L1083" s="132"/>
      <c r="M1083" s="132"/>
      <c r="N1083" s="132"/>
      <c r="O1083" s="132"/>
      <c r="P1083" s="154"/>
    </row>
    <row r="1084" spans="1:16" s="28" customFormat="1" x14ac:dyDescent="0.25">
      <c r="A1084" s="53"/>
      <c r="B1084" s="58"/>
      <c r="C1084" s="58"/>
      <c r="D1084" s="35"/>
      <c r="E1084" s="132"/>
      <c r="F1084" s="132"/>
      <c r="G1084" s="132"/>
      <c r="H1084" s="132"/>
      <c r="I1084" s="132"/>
      <c r="J1084" s="132"/>
      <c r="K1084" s="132"/>
      <c r="L1084" s="132"/>
      <c r="M1084" s="132"/>
      <c r="N1084" s="132"/>
      <c r="O1084" s="132"/>
      <c r="P1084" s="154"/>
    </row>
    <row r="1085" spans="1:16" s="28" customFormat="1" x14ac:dyDescent="0.25">
      <c r="A1085" s="53"/>
      <c r="B1085" s="58"/>
      <c r="C1085" s="58"/>
      <c r="D1085" s="35"/>
      <c r="E1085" s="132"/>
      <c r="F1085" s="132"/>
      <c r="G1085" s="132"/>
      <c r="H1085" s="132"/>
      <c r="I1085" s="132"/>
      <c r="J1085" s="132"/>
      <c r="K1085" s="132"/>
      <c r="L1085" s="132"/>
      <c r="M1085" s="132"/>
      <c r="N1085" s="132"/>
      <c r="O1085" s="132"/>
      <c r="P1085" s="154"/>
    </row>
    <row r="1086" spans="1:16" s="28" customFormat="1" x14ac:dyDescent="0.25">
      <c r="A1086" s="53"/>
      <c r="B1086" s="58"/>
      <c r="C1086" s="58"/>
      <c r="D1086" s="35"/>
      <c r="E1086" s="132"/>
      <c r="F1086" s="132"/>
      <c r="G1086" s="132"/>
      <c r="H1086" s="132"/>
      <c r="I1086" s="132"/>
      <c r="J1086" s="132"/>
      <c r="K1086" s="132"/>
      <c r="L1086" s="132"/>
      <c r="M1086" s="132"/>
      <c r="N1086" s="132"/>
      <c r="O1086" s="132"/>
      <c r="P1086" s="154"/>
    </row>
    <row r="1087" spans="1:16" s="28" customFormat="1" x14ac:dyDescent="0.25">
      <c r="A1087" s="53"/>
      <c r="B1087" s="58"/>
      <c r="C1087" s="58"/>
      <c r="D1087" s="35"/>
      <c r="E1087" s="132"/>
      <c r="F1087" s="132"/>
      <c r="G1087" s="132"/>
      <c r="H1087" s="132"/>
      <c r="I1087" s="132"/>
      <c r="J1087" s="132"/>
      <c r="K1087" s="132"/>
      <c r="L1087" s="132"/>
      <c r="M1087" s="132"/>
      <c r="N1087" s="132"/>
      <c r="O1087" s="132"/>
      <c r="P1087" s="154"/>
    </row>
    <row r="1088" spans="1:16" s="28" customFormat="1" x14ac:dyDescent="0.25">
      <c r="A1088" s="53"/>
      <c r="B1088" s="58"/>
      <c r="C1088" s="58"/>
      <c r="D1088" s="35"/>
      <c r="E1088" s="132"/>
      <c r="F1088" s="132"/>
      <c r="G1088" s="132"/>
      <c r="H1088" s="132"/>
      <c r="I1088" s="132"/>
      <c r="J1088" s="132"/>
      <c r="K1088" s="132"/>
      <c r="L1088" s="132"/>
      <c r="M1088" s="132"/>
      <c r="N1088" s="132"/>
      <c r="O1088" s="132"/>
      <c r="P1088" s="154"/>
    </row>
    <row r="1089" spans="1:16" s="28" customFormat="1" x14ac:dyDescent="0.25">
      <c r="A1089" s="53"/>
      <c r="B1089" s="58"/>
      <c r="C1089" s="58"/>
      <c r="D1089" s="35"/>
      <c r="E1089" s="132"/>
      <c r="F1089" s="132"/>
      <c r="G1089" s="132"/>
      <c r="H1089" s="132"/>
      <c r="I1089" s="132"/>
      <c r="J1089" s="132"/>
      <c r="K1089" s="132"/>
      <c r="L1089" s="132"/>
      <c r="M1089" s="132"/>
      <c r="N1089" s="132"/>
      <c r="O1089" s="132"/>
      <c r="P1089" s="154"/>
    </row>
    <row r="1090" spans="1:16" s="28" customFormat="1" x14ac:dyDescent="0.25">
      <c r="A1090" s="53"/>
      <c r="B1090" s="58"/>
      <c r="C1090" s="58"/>
      <c r="D1090" s="35"/>
      <c r="E1090" s="132"/>
      <c r="F1090" s="132"/>
      <c r="G1090" s="132"/>
      <c r="H1090" s="132"/>
      <c r="I1090" s="132"/>
      <c r="J1090" s="132"/>
      <c r="K1090" s="132"/>
      <c r="L1090" s="132"/>
      <c r="M1090" s="132"/>
      <c r="N1090" s="132"/>
      <c r="O1090" s="132"/>
      <c r="P1090" s="154"/>
    </row>
    <row r="1091" spans="1:16" s="28" customFormat="1" x14ac:dyDescent="0.25">
      <c r="A1091" s="53"/>
      <c r="B1091" s="58"/>
      <c r="C1091" s="58"/>
      <c r="D1091" s="35"/>
      <c r="E1091" s="132"/>
      <c r="F1091" s="132"/>
      <c r="G1091" s="132"/>
      <c r="H1091" s="132"/>
      <c r="I1091" s="132"/>
      <c r="J1091" s="132"/>
      <c r="K1091" s="132"/>
      <c r="L1091" s="132"/>
      <c r="M1091" s="132"/>
      <c r="N1091" s="132"/>
      <c r="O1091" s="132"/>
      <c r="P1091" s="154"/>
    </row>
    <row r="1092" spans="1:16" s="28" customFormat="1" x14ac:dyDescent="0.25">
      <c r="A1092" s="53"/>
      <c r="B1092" s="58"/>
      <c r="C1092" s="58"/>
      <c r="D1092" s="35"/>
      <c r="E1092" s="132"/>
      <c r="F1092" s="132"/>
      <c r="G1092" s="132"/>
      <c r="H1092" s="132"/>
      <c r="I1092" s="132"/>
      <c r="J1092" s="132"/>
      <c r="K1092" s="132"/>
      <c r="L1092" s="132"/>
      <c r="M1092" s="132"/>
      <c r="N1092" s="132"/>
      <c r="O1092" s="132"/>
      <c r="P1092" s="154"/>
    </row>
    <row r="1093" spans="1:16" s="28" customFormat="1" x14ac:dyDescent="0.25">
      <c r="A1093" s="53"/>
      <c r="B1093" s="58"/>
      <c r="C1093" s="58"/>
      <c r="D1093" s="35"/>
      <c r="E1093" s="132"/>
      <c r="F1093" s="132"/>
      <c r="G1093" s="132"/>
      <c r="H1093" s="132"/>
      <c r="I1093" s="132"/>
      <c r="J1093" s="132"/>
      <c r="K1093" s="132"/>
      <c r="L1093" s="132"/>
      <c r="M1093" s="132"/>
      <c r="N1093" s="132"/>
      <c r="O1093" s="132"/>
      <c r="P1093" s="154"/>
    </row>
    <row r="1094" spans="1:16" s="28" customFormat="1" x14ac:dyDescent="0.25">
      <c r="A1094" s="53"/>
      <c r="B1094" s="58"/>
      <c r="C1094" s="58"/>
      <c r="D1094" s="35"/>
      <c r="E1094" s="132"/>
      <c r="F1094" s="132"/>
      <c r="G1094" s="132"/>
      <c r="H1094" s="132"/>
      <c r="I1094" s="132"/>
      <c r="J1094" s="132"/>
      <c r="K1094" s="132"/>
      <c r="L1094" s="132"/>
      <c r="M1094" s="132"/>
      <c r="N1094" s="132"/>
      <c r="O1094" s="132"/>
      <c r="P1094" s="154"/>
    </row>
    <row r="1095" spans="1:16" s="28" customFormat="1" x14ac:dyDescent="0.25">
      <c r="A1095" s="53"/>
      <c r="B1095" s="58"/>
      <c r="C1095" s="58"/>
      <c r="D1095" s="35"/>
      <c r="E1095" s="132"/>
      <c r="F1095" s="132"/>
      <c r="G1095" s="132"/>
      <c r="H1095" s="132"/>
      <c r="I1095" s="132"/>
      <c r="J1095" s="132"/>
      <c r="K1095" s="132"/>
      <c r="L1095" s="132"/>
      <c r="M1095" s="132"/>
      <c r="N1095" s="132"/>
      <c r="O1095" s="132"/>
      <c r="P1095" s="154"/>
    </row>
    <row r="1096" spans="1:16" s="28" customFormat="1" x14ac:dyDescent="0.25">
      <c r="A1096" s="53"/>
      <c r="B1096" s="58"/>
      <c r="C1096" s="58"/>
      <c r="D1096" s="35"/>
      <c r="E1096" s="132"/>
      <c r="F1096" s="132"/>
      <c r="G1096" s="132"/>
      <c r="H1096" s="132"/>
      <c r="I1096" s="132"/>
      <c r="J1096" s="132"/>
      <c r="K1096" s="132"/>
      <c r="L1096" s="132"/>
      <c r="M1096" s="132"/>
      <c r="N1096" s="132"/>
      <c r="O1096" s="132"/>
      <c r="P1096" s="154"/>
    </row>
    <row r="1097" spans="1:16" s="28" customFormat="1" x14ac:dyDescent="0.25">
      <c r="A1097" s="53"/>
      <c r="B1097" s="58"/>
      <c r="C1097" s="58"/>
      <c r="D1097" s="35"/>
      <c r="E1097" s="132"/>
      <c r="F1097" s="132"/>
      <c r="G1097" s="132"/>
      <c r="H1097" s="132"/>
      <c r="I1097" s="132"/>
      <c r="J1097" s="132"/>
      <c r="K1097" s="132"/>
      <c r="L1097" s="132"/>
      <c r="M1097" s="132"/>
      <c r="N1097" s="132"/>
      <c r="O1097" s="132"/>
      <c r="P1097" s="154"/>
    </row>
    <row r="1098" spans="1:16" s="28" customFormat="1" x14ac:dyDescent="0.25">
      <c r="A1098" s="53"/>
      <c r="B1098" s="58"/>
      <c r="C1098" s="58"/>
      <c r="D1098" s="35"/>
      <c r="E1098" s="132"/>
      <c r="F1098" s="132"/>
      <c r="G1098" s="132"/>
      <c r="H1098" s="132"/>
      <c r="I1098" s="132"/>
      <c r="J1098" s="132"/>
      <c r="K1098" s="132"/>
      <c r="L1098" s="132"/>
      <c r="M1098" s="132"/>
      <c r="N1098" s="132"/>
      <c r="O1098" s="132"/>
      <c r="P1098" s="154"/>
    </row>
    <row r="1099" spans="1:16" s="28" customFormat="1" x14ac:dyDescent="0.25">
      <c r="A1099" s="53"/>
      <c r="B1099" s="58"/>
      <c r="C1099" s="58"/>
      <c r="D1099" s="35"/>
      <c r="E1099" s="132"/>
      <c r="F1099" s="132"/>
      <c r="G1099" s="132"/>
      <c r="H1099" s="132"/>
      <c r="I1099" s="132"/>
      <c r="J1099" s="132"/>
      <c r="K1099" s="132"/>
      <c r="L1099" s="132"/>
      <c r="M1099" s="132"/>
      <c r="N1099" s="132"/>
      <c r="O1099" s="132"/>
      <c r="P1099" s="154"/>
    </row>
    <row r="1100" spans="1:16" s="28" customFormat="1" x14ac:dyDescent="0.25">
      <c r="A1100" s="53"/>
      <c r="B1100" s="58"/>
      <c r="C1100" s="58"/>
      <c r="D1100" s="35"/>
      <c r="E1100" s="132"/>
      <c r="F1100" s="132"/>
      <c r="G1100" s="132"/>
      <c r="H1100" s="132"/>
      <c r="I1100" s="132"/>
      <c r="J1100" s="132"/>
      <c r="K1100" s="132"/>
      <c r="L1100" s="132"/>
      <c r="M1100" s="132"/>
      <c r="N1100" s="132"/>
      <c r="O1100" s="132"/>
      <c r="P1100" s="154"/>
    </row>
    <row r="1101" spans="1:16" s="28" customFormat="1" x14ac:dyDescent="0.25">
      <c r="A1101" s="53"/>
      <c r="B1101" s="58"/>
      <c r="C1101" s="58"/>
      <c r="D1101" s="35"/>
      <c r="E1101" s="132"/>
      <c r="F1101" s="132"/>
      <c r="G1101" s="132"/>
      <c r="H1101" s="132"/>
      <c r="I1101" s="132"/>
      <c r="J1101" s="132"/>
      <c r="K1101" s="132"/>
      <c r="L1101" s="132"/>
      <c r="M1101" s="132"/>
      <c r="N1101" s="132"/>
      <c r="O1101" s="132"/>
      <c r="P1101" s="154"/>
    </row>
    <row r="1102" spans="1:16" s="28" customFormat="1" x14ac:dyDescent="0.25">
      <c r="A1102" s="53"/>
      <c r="B1102" s="58"/>
      <c r="C1102" s="58"/>
      <c r="D1102" s="35"/>
      <c r="E1102" s="132"/>
      <c r="F1102" s="132"/>
      <c r="G1102" s="132"/>
      <c r="H1102" s="132"/>
      <c r="I1102" s="132"/>
      <c r="J1102" s="132"/>
      <c r="K1102" s="132"/>
      <c r="L1102" s="132"/>
      <c r="M1102" s="132"/>
      <c r="N1102" s="132"/>
      <c r="O1102" s="132"/>
      <c r="P1102" s="154"/>
    </row>
    <row r="1103" spans="1:16" s="28" customFormat="1" x14ac:dyDescent="0.25">
      <c r="A1103" s="53"/>
      <c r="B1103" s="58"/>
      <c r="C1103" s="58"/>
      <c r="D1103" s="35"/>
      <c r="E1103" s="132"/>
      <c r="F1103" s="132"/>
      <c r="G1103" s="132"/>
      <c r="H1103" s="132"/>
      <c r="I1103" s="132"/>
      <c r="J1103" s="132"/>
      <c r="K1103" s="132"/>
      <c r="L1103" s="132"/>
      <c r="M1103" s="132"/>
      <c r="N1103" s="132"/>
      <c r="O1103" s="132"/>
      <c r="P1103" s="154"/>
    </row>
    <row r="1104" spans="1:16" s="28" customFormat="1" x14ac:dyDescent="0.25">
      <c r="A1104" s="53"/>
      <c r="B1104" s="58"/>
      <c r="C1104" s="58"/>
      <c r="D1104" s="35"/>
      <c r="E1104" s="132"/>
      <c r="F1104" s="132"/>
      <c r="G1104" s="132"/>
      <c r="H1104" s="132"/>
      <c r="I1104" s="132"/>
      <c r="J1104" s="132"/>
      <c r="K1104" s="132"/>
      <c r="L1104" s="132"/>
      <c r="M1104" s="132"/>
      <c r="N1104" s="132"/>
      <c r="O1104" s="132"/>
      <c r="P1104" s="154"/>
    </row>
    <row r="1105" spans="1:16" s="28" customFormat="1" x14ac:dyDescent="0.25">
      <c r="A1105" s="53"/>
      <c r="B1105" s="58"/>
      <c r="C1105" s="58"/>
      <c r="D1105" s="35"/>
      <c r="E1105" s="132"/>
      <c r="F1105" s="132"/>
      <c r="G1105" s="132"/>
      <c r="H1105" s="132"/>
      <c r="I1105" s="132"/>
      <c r="J1105" s="132"/>
      <c r="K1105" s="132"/>
      <c r="L1105" s="132"/>
      <c r="M1105" s="132"/>
      <c r="N1105" s="132"/>
      <c r="O1105" s="132"/>
      <c r="P1105" s="154"/>
    </row>
    <row r="1106" spans="1:16" s="28" customFormat="1" x14ac:dyDescent="0.25">
      <c r="A1106" s="53"/>
      <c r="B1106" s="58"/>
      <c r="C1106" s="58"/>
      <c r="D1106" s="35"/>
      <c r="E1106" s="132"/>
      <c r="F1106" s="132"/>
      <c r="G1106" s="132"/>
      <c r="H1106" s="132"/>
      <c r="I1106" s="132"/>
      <c r="J1106" s="132"/>
      <c r="K1106" s="132"/>
      <c r="L1106" s="132"/>
      <c r="M1106" s="132"/>
      <c r="N1106" s="132"/>
      <c r="O1106" s="132"/>
      <c r="P1106" s="154"/>
    </row>
    <row r="1107" spans="1:16" s="28" customFormat="1" x14ac:dyDescent="0.25">
      <c r="A1107" s="53"/>
      <c r="B1107" s="58"/>
      <c r="C1107" s="58"/>
      <c r="D1107" s="35"/>
      <c r="E1107" s="132"/>
      <c r="F1107" s="132"/>
      <c r="G1107" s="132"/>
      <c r="H1107" s="132"/>
      <c r="I1107" s="132"/>
      <c r="J1107" s="132"/>
      <c r="K1107" s="132"/>
      <c r="L1107" s="132"/>
      <c r="M1107" s="132"/>
      <c r="N1107" s="132"/>
      <c r="O1107" s="132"/>
      <c r="P1107" s="154"/>
    </row>
    <row r="1108" spans="1:16" s="28" customFormat="1" x14ac:dyDescent="0.25">
      <c r="A1108" s="53"/>
      <c r="B1108" s="58"/>
      <c r="C1108" s="58"/>
      <c r="D1108" s="35"/>
      <c r="E1108" s="132"/>
      <c r="F1108" s="132"/>
      <c r="G1108" s="132"/>
      <c r="H1108" s="132"/>
      <c r="I1108" s="132"/>
      <c r="J1108" s="132"/>
      <c r="K1108" s="132"/>
      <c r="L1108" s="132"/>
      <c r="M1108" s="132"/>
      <c r="N1108" s="132"/>
      <c r="O1108" s="132"/>
      <c r="P1108" s="154"/>
    </row>
    <row r="1109" spans="1:16" s="28" customFormat="1" x14ac:dyDescent="0.25">
      <c r="A1109" s="53"/>
      <c r="B1109" s="58"/>
      <c r="C1109" s="58"/>
      <c r="D1109" s="35"/>
      <c r="E1109" s="132"/>
      <c r="F1109" s="132"/>
      <c r="G1109" s="132"/>
      <c r="H1109" s="132"/>
      <c r="I1109" s="132"/>
      <c r="J1109" s="132"/>
      <c r="K1109" s="132"/>
      <c r="L1109" s="132"/>
      <c r="M1109" s="132"/>
      <c r="N1109" s="132"/>
      <c r="O1109" s="132"/>
      <c r="P1109" s="154"/>
    </row>
    <row r="1110" spans="1:16" s="28" customFormat="1" x14ac:dyDescent="0.25">
      <c r="A1110" s="53"/>
      <c r="B1110" s="58"/>
      <c r="C1110" s="58"/>
      <c r="D1110" s="35"/>
      <c r="E1110" s="132"/>
      <c r="F1110" s="132"/>
      <c r="G1110" s="132"/>
      <c r="H1110" s="132"/>
      <c r="I1110" s="132"/>
      <c r="J1110" s="132"/>
      <c r="K1110" s="132"/>
      <c r="L1110" s="132"/>
      <c r="M1110" s="132"/>
      <c r="N1110" s="132"/>
      <c r="O1110" s="132"/>
      <c r="P1110" s="154"/>
    </row>
    <row r="1111" spans="1:16" s="28" customFormat="1" x14ac:dyDescent="0.25">
      <c r="A1111" s="53"/>
      <c r="B1111" s="58"/>
      <c r="C1111" s="58"/>
      <c r="D1111" s="35"/>
      <c r="E1111" s="132"/>
      <c r="F1111" s="132"/>
      <c r="G1111" s="132"/>
      <c r="H1111" s="132"/>
      <c r="I1111" s="132"/>
      <c r="J1111" s="132"/>
      <c r="K1111" s="132"/>
      <c r="L1111" s="132"/>
      <c r="M1111" s="132"/>
      <c r="N1111" s="132"/>
      <c r="O1111" s="132"/>
      <c r="P1111" s="154"/>
    </row>
    <row r="1112" spans="1:16" s="28" customFormat="1" x14ac:dyDescent="0.25">
      <c r="A1112" s="53"/>
      <c r="B1112" s="58"/>
      <c r="C1112" s="58"/>
      <c r="D1112" s="35"/>
      <c r="E1112" s="132"/>
      <c r="F1112" s="132"/>
      <c r="G1112" s="132"/>
      <c r="H1112" s="132"/>
      <c r="I1112" s="132"/>
      <c r="J1112" s="132"/>
      <c r="K1112" s="132"/>
      <c r="L1112" s="132"/>
      <c r="M1112" s="132"/>
      <c r="N1112" s="132"/>
      <c r="O1112" s="132"/>
      <c r="P1112" s="154"/>
    </row>
    <row r="1113" spans="1:16" s="28" customFormat="1" x14ac:dyDescent="0.25">
      <c r="A1113" s="53"/>
      <c r="B1113" s="58"/>
      <c r="C1113" s="58"/>
      <c r="D1113" s="35"/>
      <c r="E1113" s="132"/>
      <c r="F1113" s="132"/>
      <c r="G1113" s="132"/>
      <c r="H1113" s="132"/>
      <c r="I1113" s="132"/>
      <c r="J1113" s="132"/>
      <c r="K1113" s="132"/>
      <c r="L1113" s="132"/>
      <c r="M1113" s="132"/>
      <c r="N1113" s="132"/>
      <c r="O1113" s="132"/>
      <c r="P1113" s="154"/>
    </row>
    <row r="1114" spans="1:16" s="28" customFormat="1" x14ac:dyDescent="0.25">
      <c r="A1114" s="53"/>
      <c r="B1114" s="58"/>
      <c r="C1114" s="58"/>
      <c r="D1114" s="35"/>
      <c r="E1114" s="132"/>
      <c r="F1114" s="132"/>
      <c r="G1114" s="132"/>
      <c r="H1114" s="132"/>
      <c r="I1114" s="132"/>
      <c r="J1114" s="132"/>
      <c r="K1114" s="132"/>
      <c r="L1114" s="132"/>
      <c r="M1114" s="132"/>
      <c r="N1114" s="132"/>
      <c r="O1114" s="132"/>
      <c r="P1114" s="154"/>
    </row>
    <row r="1115" spans="1:16" s="28" customFormat="1" x14ac:dyDescent="0.25">
      <c r="A1115" s="53"/>
      <c r="B1115" s="58"/>
      <c r="C1115" s="58"/>
      <c r="D1115" s="35"/>
      <c r="E1115" s="132"/>
      <c r="F1115" s="132"/>
      <c r="G1115" s="132"/>
      <c r="H1115" s="132"/>
      <c r="I1115" s="132"/>
      <c r="J1115" s="132"/>
      <c r="K1115" s="132"/>
      <c r="L1115" s="132"/>
      <c r="M1115" s="132"/>
      <c r="N1115" s="132"/>
      <c r="O1115" s="132"/>
      <c r="P1115" s="154"/>
    </row>
    <row r="1116" spans="1:16" s="28" customFormat="1" x14ac:dyDescent="0.25">
      <c r="A1116" s="53"/>
      <c r="B1116" s="58"/>
      <c r="C1116" s="58"/>
      <c r="D1116" s="35"/>
      <c r="E1116" s="132"/>
      <c r="F1116" s="132"/>
      <c r="G1116" s="132"/>
      <c r="H1116" s="132"/>
      <c r="I1116" s="132"/>
      <c r="J1116" s="132"/>
      <c r="K1116" s="132"/>
      <c r="L1116" s="132"/>
      <c r="M1116" s="132"/>
      <c r="N1116" s="132"/>
      <c r="O1116" s="132"/>
      <c r="P1116" s="154"/>
    </row>
    <row r="1117" spans="1:16" s="28" customFormat="1" x14ac:dyDescent="0.25">
      <c r="A1117" s="53"/>
      <c r="B1117" s="58"/>
      <c r="C1117" s="58"/>
      <c r="D1117" s="35"/>
      <c r="E1117" s="132"/>
      <c r="F1117" s="132"/>
      <c r="G1117" s="132"/>
      <c r="H1117" s="132"/>
      <c r="I1117" s="132"/>
      <c r="J1117" s="132"/>
      <c r="K1117" s="132"/>
      <c r="L1117" s="132"/>
      <c r="M1117" s="132"/>
      <c r="N1117" s="132"/>
      <c r="O1117" s="132"/>
      <c r="P1117" s="154"/>
    </row>
    <row r="1118" spans="1:16" s="28" customFormat="1" x14ac:dyDescent="0.25">
      <c r="A1118" s="53"/>
      <c r="B1118" s="58"/>
      <c r="C1118" s="58"/>
      <c r="D1118" s="35"/>
      <c r="E1118" s="132"/>
      <c r="F1118" s="132"/>
      <c r="G1118" s="132"/>
      <c r="H1118" s="132"/>
      <c r="I1118" s="132"/>
      <c r="J1118" s="132"/>
      <c r="K1118" s="132"/>
      <c r="L1118" s="132"/>
      <c r="M1118" s="132"/>
      <c r="N1118" s="132"/>
      <c r="O1118" s="132"/>
      <c r="P1118" s="154"/>
    </row>
    <row r="1119" spans="1:16" s="28" customFormat="1" x14ac:dyDescent="0.25">
      <c r="A1119" s="53"/>
      <c r="B1119" s="58"/>
      <c r="C1119" s="58"/>
      <c r="D1119" s="35"/>
      <c r="E1119" s="132"/>
      <c r="F1119" s="132"/>
      <c r="G1119" s="132"/>
      <c r="H1119" s="132"/>
      <c r="I1119" s="132"/>
      <c r="J1119" s="132"/>
      <c r="K1119" s="132"/>
      <c r="L1119" s="132"/>
      <c r="M1119" s="132"/>
      <c r="N1119" s="132"/>
      <c r="O1119" s="132"/>
      <c r="P1119" s="154"/>
    </row>
    <row r="1120" spans="1:16" s="28" customFormat="1" x14ac:dyDescent="0.25">
      <c r="A1120" s="53"/>
      <c r="B1120" s="58"/>
      <c r="C1120" s="58"/>
      <c r="D1120" s="35"/>
      <c r="E1120" s="132"/>
      <c r="F1120" s="132"/>
      <c r="G1120" s="132"/>
      <c r="H1120" s="132"/>
      <c r="I1120" s="132"/>
      <c r="J1120" s="132"/>
      <c r="K1120" s="132"/>
      <c r="L1120" s="132"/>
      <c r="M1120" s="132"/>
      <c r="N1120" s="132"/>
      <c r="O1120" s="132"/>
      <c r="P1120" s="154"/>
    </row>
    <row r="1121" spans="1:16" s="28" customFormat="1" x14ac:dyDescent="0.25">
      <c r="A1121" s="53"/>
      <c r="B1121" s="58"/>
      <c r="C1121" s="58"/>
      <c r="D1121" s="35"/>
      <c r="E1121" s="132"/>
      <c r="F1121" s="132"/>
      <c r="G1121" s="132"/>
      <c r="H1121" s="132"/>
      <c r="I1121" s="132"/>
      <c r="J1121" s="132"/>
      <c r="K1121" s="132"/>
      <c r="L1121" s="132"/>
      <c r="M1121" s="132"/>
      <c r="N1121" s="132"/>
      <c r="O1121" s="132"/>
      <c r="P1121" s="154"/>
    </row>
    <row r="1122" spans="1:16" s="28" customFormat="1" x14ac:dyDescent="0.25">
      <c r="A1122" s="53"/>
      <c r="B1122" s="58"/>
      <c r="C1122" s="58"/>
      <c r="D1122" s="35"/>
      <c r="E1122" s="132"/>
      <c r="F1122" s="132"/>
      <c r="G1122" s="132"/>
      <c r="H1122" s="132"/>
      <c r="I1122" s="132"/>
      <c r="J1122" s="132"/>
      <c r="K1122" s="132"/>
      <c r="L1122" s="132"/>
      <c r="M1122" s="132"/>
      <c r="N1122" s="132"/>
      <c r="O1122" s="132"/>
      <c r="P1122" s="154"/>
    </row>
    <row r="1123" spans="1:16" s="28" customFormat="1" x14ac:dyDescent="0.25">
      <c r="A1123" s="53"/>
      <c r="B1123" s="58"/>
      <c r="C1123" s="58"/>
      <c r="D1123" s="35"/>
      <c r="E1123" s="132"/>
      <c r="F1123" s="132"/>
      <c r="G1123" s="132"/>
      <c r="H1123" s="132"/>
      <c r="I1123" s="132"/>
      <c r="J1123" s="132"/>
      <c r="K1123" s="132"/>
      <c r="L1123" s="132"/>
      <c r="M1123" s="132"/>
      <c r="N1123" s="132"/>
      <c r="O1123" s="132"/>
      <c r="P1123" s="154"/>
    </row>
    <row r="1124" spans="1:16" s="28" customFormat="1" x14ac:dyDescent="0.25">
      <c r="A1124" s="53"/>
      <c r="B1124" s="58"/>
      <c r="C1124" s="58"/>
      <c r="D1124" s="35"/>
      <c r="E1124" s="132"/>
      <c r="F1124" s="132"/>
      <c r="G1124" s="132"/>
      <c r="H1124" s="132"/>
      <c r="I1124" s="132"/>
      <c r="J1124" s="132"/>
      <c r="K1124" s="132"/>
      <c r="L1124" s="132"/>
      <c r="M1124" s="132"/>
      <c r="N1124" s="132"/>
      <c r="O1124" s="132"/>
      <c r="P1124" s="154"/>
    </row>
    <row r="1125" spans="1:16" s="28" customFormat="1" x14ac:dyDescent="0.25">
      <c r="A1125" s="53"/>
      <c r="B1125" s="58"/>
      <c r="C1125" s="58"/>
      <c r="D1125" s="35"/>
      <c r="E1125" s="132"/>
      <c r="F1125" s="132"/>
      <c r="G1125" s="132"/>
      <c r="H1125" s="132"/>
      <c r="I1125" s="132"/>
      <c r="J1125" s="132"/>
      <c r="K1125" s="132"/>
      <c r="L1125" s="132"/>
      <c r="M1125" s="132"/>
      <c r="N1125" s="132"/>
      <c r="O1125" s="132"/>
      <c r="P1125" s="154"/>
    </row>
    <row r="1126" spans="1:16" s="28" customFormat="1" x14ac:dyDescent="0.25">
      <c r="A1126" s="53"/>
      <c r="B1126" s="58"/>
      <c r="C1126" s="58"/>
      <c r="D1126" s="35"/>
      <c r="E1126" s="132"/>
      <c r="F1126" s="132"/>
      <c r="G1126" s="132"/>
      <c r="H1126" s="132"/>
      <c r="I1126" s="132"/>
      <c r="J1126" s="132"/>
      <c r="K1126" s="132"/>
      <c r="L1126" s="132"/>
      <c r="M1126" s="132"/>
      <c r="N1126" s="132"/>
      <c r="O1126" s="132"/>
      <c r="P1126" s="154"/>
    </row>
    <row r="1127" spans="1:16" s="28" customFormat="1" x14ac:dyDescent="0.25">
      <c r="A1127" s="53"/>
      <c r="B1127" s="58"/>
      <c r="C1127" s="58"/>
      <c r="D1127" s="35"/>
      <c r="E1127" s="132"/>
      <c r="F1127" s="132"/>
      <c r="G1127" s="132"/>
      <c r="H1127" s="132"/>
      <c r="I1127" s="132"/>
      <c r="J1127" s="132"/>
      <c r="K1127" s="132"/>
      <c r="L1127" s="132"/>
      <c r="M1127" s="132"/>
      <c r="N1127" s="132"/>
      <c r="O1127" s="132"/>
      <c r="P1127" s="154"/>
    </row>
    <row r="1128" spans="1:16" s="28" customFormat="1" x14ac:dyDescent="0.25">
      <c r="A1128" s="53"/>
      <c r="B1128" s="58"/>
      <c r="C1128" s="58"/>
      <c r="D1128" s="35"/>
      <c r="E1128" s="132"/>
      <c r="F1128" s="132"/>
      <c r="G1128" s="132"/>
      <c r="H1128" s="132"/>
      <c r="I1128" s="132"/>
      <c r="J1128" s="132"/>
      <c r="K1128" s="132"/>
      <c r="L1128" s="132"/>
      <c r="M1128" s="132"/>
      <c r="N1128" s="132"/>
      <c r="O1128" s="132"/>
      <c r="P1128" s="154"/>
    </row>
    <row r="1129" spans="1:16" s="28" customFormat="1" x14ac:dyDescent="0.25">
      <c r="A1129" s="53"/>
      <c r="B1129" s="58"/>
      <c r="C1129" s="58"/>
      <c r="D1129" s="35"/>
      <c r="E1129" s="132"/>
      <c r="F1129" s="132"/>
      <c r="G1129" s="132"/>
      <c r="H1129" s="132"/>
      <c r="I1129" s="132"/>
      <c r="J1129" s="132"/>
      <c r="K1129" s="132"/>
      <c r="L1129" s="132"/>
      <c r="M1129" s="132"/>
      <c r="N1129" s="132"/>
      <c r="O1129" s="132"/>
      <c r="P1129" s="154"/>
    </row>
    <row r="1130" spans="1:16" s="28" customFormat="1" x14ac:dyDescent="0.25">
      <c r="A1130" s="53"/>
      <c r="B1130" s="58"/>
      <c r="C1130" s="58"/>
      <c r="D1130" s="35"/>
      <c r="E1130" s="132"/>
      <c r="F1130" s="132"/>
      <c r="G1130" s="132"/>
      <c r="H1130" s="132"/>
      <c r="I1130" s="132"/>
      <c r="J1130" s="132"/>
      <c r="K1130" s="132"/>
      <c r="L1130" s="132"/>
      <c r="M1130" s="132"/>
      <c r="N1130" s="132"/>
      <c r="O1130" s="132"/>
      <c r="P1130" s="154"/>
    </row>
    <row r="1131" spans="1:16" s="28" customFormat="1" x14ac:dyDescent="0.25">
      <c r="A1131" s="53"/>
      <c r="B1131" s="58"/>
      <c r="C1131" s="58"/>
      <c r="D1131" s="35"/>
      <c r="E1131" s="132"/>
      <c r="F1131" s="132"/>
      <c r="G1131" s="132"/>
      <c r="H1131" s="132"/>
      <c r="I1131" s="132"/>
      <c r="J1131" s="132"/>
      <c r="K1131" s="132"/>
      <c r="L1131" s="132"/>
      <c r="M1131" s="132"/>
      <c r="N1131" s="132"/>
      <c r="O1131" s="132"/>
      <c r="P1131" s="154"/>
    </row>
    <row r="1132" spans="1:16" s="28" customFormat="1" x14ac:dyDescent="0.25">
      <c r="A1132" s="53"/>
      <c r="B1132" s="58"/>
      <c r="C1132" s="58"/>
      <c r="D1132" s="35"/>
      <c r="E1132" s="132"/>
      <c r="F1132" s="132"/>
      <c r="G1132" s="132"/>
      <c r="H1132" s="132"/>
      <c r="I1132" s="132"/>
      <c r="J1132" s="132"/>
      <c r="K1132" s="132"/>
      <c r="L1132" s="132"/>
      <c r="M1132" s="132"/>
      <c r="N1132" s="132"/>
      <c r="O1132" s="132"/>
      <c r="P1132" s="154"/>
    </row>
    <row r="1133" spans="1:16" s="28" customFormat="1" x14ac:dyDescent="0.25">
      <c r="A1133" s="53"/>
      <c r="B1133" s="58"/>
      <c r="C1133" s="58"/>
      <c r="D1133" s="35"/>
      <c r="E1133" s="132"/>
      <c r="F1133" s="132"/>
      <c r="G1133" s="132"/>
      <c r="H1133" s="132"/>
      <c r="I1133" s="132"/>
      <c r="J1133" s="132"/>
      <c r="K1133" s="132"/>
      <c r="L1133" s="132"/>
      <c r="M1133" s="132"/>
      <c r="N1133" s="132"/>
      <c r="O1133" s="132"/>
      <c r="P1133" s="154"/>
    </row>
    <row r="1134" spans="1:16" s="28" customFormat="1" x14ac:dyDescent="0.25">
      <c r="A1134" s="53"/>
      <c r="B1134" s="58"/>
      <c r="C1134" s="58"/>
      <c r="D1134" s="35"/>
      <c r="E1134" s="132"/>
      <c r="F1134" s="132"/>
      <c r="G1134" s="132"/>
      <c r="H1134" s="132"/>
      <c r="I1134" s="132"/>
      <c r="J1134" s="132"/>
      <c r="K1134" s="132"/>
      <c r="L1134" s="132"/>
      <c r="M1134" s="132"/>
      <c r="N1134" s="132"/>
      <c r="O1134" s="132"/>
      <c r="P1134" s="154"/>
    </row>
    <row r="1135" spans="1:16" s="28" customFormat="1" x14ac:dyDescent="0.25">
      <c r="A1135" s="53"/>
      <c r="B1135" s="58"/>
      <c r="C1135" s="58"/>
      <c r="D1135" s="35"/>
      <c r="E1135" s="132"/>
      <c r="F1135" s="132"/>
      <c r="G1135" s="132"/>
      <c r="H1135" s="132"/>
      <c r="I1135" s="132"/>
      <c r="J1135" s="132"/>
      <c r="K1135" s="132"/>
      <c r="L1135" s="132"/>
      <c r="M1135" s="132"/>
      <c r="N1135" s="132"/>
      <c r="O1135" s="132"/>
      <c r="P1135" s="154"/>
    </row>
    <row r="1136" spans="1:16" s="28" customFormat="1" x14ac:dyDescent="0.25">
      <c r="A1136" s="53"/>
      <c r="B1136" s="58"/>
      <c r="C1136" s="58"/>
      <c r="D1136" s="35"/>
      <c r="E1136" s="132"/>
      <c r="F1136" s="132"/>
      <c r="G1136" s="132"/>
      <c r="H1136" s="132"/>
      <c r="I1136" s="132"/>
      <c r="J1136" s="132"/>
      <c r="K1136" s="132"/>
      <c r="L1136" s="132"/>
      <c r="M1136" s="132"/>
      <c r="N1136" s="132"/>
      <c r="O1136" s="132"/>
      <c r="P1136" s="154"/>
    </row>
    <row r="1137" spans="1:16" s="28" customFormat="1" x14ac:dyDescent="0.25">
      <c r="A1137" s="53"/>
      <c r="B1137" s="58"/>
      <c r="C1137" s="58"/>
      <c r="D1137" s="35"/>
      <c r="E1137" s="132"/>
      <c r="F1137" s="132"/>
      <c r="G1137" s="132"/>
      <c r="H1137" s="132"/>
      <c r="I1137" s="132"/>
      <c r="J1137" s="132"/>
      <c r="K1137" s="132"/>
      <c r="L1137" s="132"/>
      <c r="M1137" s="132"/>
      <c r="N1137" s="132"/>
      <c r="O1137" s="132"/>
      <c r="P1137" s="154"/>
    </row>
    <row r="1138" spans="1:16" s="28" customFormat="1" x14ac:dyDescent="0.25">
      <c r="A1138" s="53"/>
      <c r="B1138" s="58"/>
      <c r="C1138" s="58"/>
      <c r="D1138" s="35"/>
      <c r="E1138" s="132"/>
      <c r="F1138" s="132"/>
      <c r="G1138" s="132"/>
      <c r="H1138" s="132"/>
      <c r="I1138" s="132"/>
      <c r="J1138" s="132"/>
      <c r="K1138" s="132"/>
      <c r="L1138" s="132"/>
      <c r="M1138" s="132"/>
      <c r="N1138" s="132"/>
      <c r="O1138" s="132"/>
      <c r="P1138" s="154"/>
    </row>
    <row r="1139" spans="1:16" s="28" customFormat="1" x14ac:dyDescent="0.25">
      <c r="A1139" s="53"/>
      <c r="B1139" s="58"/>
      <c r="C1139" s="58"/>
      <c r="D1139" s="35"/>
      <c r="E1139" s="132"/>
      <c r="F1139" s="132"/>
      <c r="G1139" s="132"/>
      <c r="H1139" s="132"/>
      <c r="I1139" s="132"/>
      <c r="J1139" s="132"/>
      <c r="K1139" s="132"/>
      <c r="L1139" s="132"/>
      <c r="M1139" s="132"/>
      <c r="N1139" s="132"/>
      <c r="O1139" s="132"/>
      <c r="P1139" s="154"/>
    </row>
    <row r="1140" spans="1:16" s="28" customFormat="1" x14ac:dyDescent="0.25">
      <c r="A1140" s="53"/>
      <c r="B1140" s="58"/>
      <c r="C1140" s="58"/>
      <c r="D1140" s="35"/>
      <c r="E1140" s="132"/>
      <c r="F1140" s="132"/>
      <c r="G1140" s="132"/>
      <c r="H1140" s="132"/>
      <c r="I1140" s="132"/>
      <c r="J1140" s="132"/>
      <c r="K1140" s="132"/>
      <c r="L1140" s="132"/>
      <c r="M1140" s="132"/>
      <c r="N1140" s="132"/>
      <c r="O1140" s="132"/>
      <c r="P1140" s="154"/>
    </row>
    <row r="1141" spans="1:16" s="28" customFormat="1" x14ac:dyDescent="0.25">
      <c r="A1141" s="53"/>
      <c r="B1141" s="58"/>
      <c r="C1141" s="58"/>
      <c r="D1141" s="35"/>
      <c r="E1141" s="132"/>
      <c r="F1141" s="132"/>
      <c r="G1141" s="132"/>
      <c r="H1141" s="132"/>
      <c r="I1141" s="132"/>
      <c r="J1141" s="132"/>
      <c r="K1141" s="132"/>
      <c r="L1141" s="132"/>
      <c r="M1141" s="132"/>
      <c r="N1141" s="132"/>
      <c r="O1141" s="132"/>
      <c r="P1141" s="154"/>
    </row>
    <row r="1142" spans="1:16" s="28" customFormat="1" x14ac:dyDescent="0.25">
      <c r="A1142" s="53"/>
      <c r="B1142" s="58"/>
      <c r="C1142" s="58"/>
      <c r="D1142" s="35"/>
      <c r="E1142" s="132"/>
      <c r="F1142" s="132"/>
      <c r="G1142" s="132"/>
      <c r="H1142" s="132"/>
      <c r="I1142" s="132"/>
      <c r="J1142" s="132"/>
      <c r="K1142" s="132"/>
      <c r="L1142" s="132"/>
      <c r="M1142" s="132"/>
      <c r="N1142" s="132"/>
      <c r="O1142" s="132"/>
      <c r="P1142" s="154"/>
    </row>
    <row r="1143" spans="1:16" s="28" customFormat="1" x14ac:dyDescent="0.25">
      <c r="A1143" s="53"/>
      <c r="B1143" s="58"/>
      <c r="C1143" s="58"/>
      <c r="D1143" s="35"/>
      <c r="E1143" s="132"/>
      <c r="F1143" s="132"/>
      <c r="G1143" s="132"/>
      <c r="H1143" s="132"/>
      <c r="I1143" s="132"/>
      <c r="J1143" s="132"/>
      <c r="K1143" s="132"/>
      <c r="L1143" s="132"/>
      <c r="M1143" s="132"/>
      <c r="N1143" s="132"/>
      <c r="O1143" s="132"/>
      <c r="P1143" s="154"/>
    </row>
    <row r="1144" spans="1:16" s="28" customFormat="1" x14ac:dyDescent="0.25">
      <c r="A1144" s="53"/>
      <c r="B1144" s="58"/>
      <c r="C1144" s="58"/>
      <c r="D1144" s="35"/>
      <c r="E1144" s="132"/>
      <c r="F1144" s="132"/>
      <c r="G1144" s="132"/>
      <c r="H1144" s="132"/>
      <c r="I1144" s="132"/>
      <c r="J1144" s="132"/>
      <c r="K1144" s="132"/>
      <c r="L1144" s="132"/>
      <c r="M1144" s="132"/>
      <c r="N1144" s="132"/>
      <c r="O1144" s="132"/>
      <c r="P1144" s="154"/>
    </row>
    <row r="1145" spans="1:16" s="28" customFormat="1" x14ac:dyDescent="0.25">
      <c r="A1145" s="53"/>
      <c r="B1145" s="58"/>
      <c r="C1145" s="58"/>
      <c r="D1145" s="35"/>
      <c r="E1145" s="132"/>
      <c r="F1145" s="132"/>
      <c r="G1145" s="132"/>
      <c r="H1145" s="132"/>
      <c r="I1145" s="132"/>
      <c r="J1145" s="132"/>
      <c r="K1145" s="132"/>
      <c r="L1145" s="132"/>
      <c r="M1145" s="132"/>
      <c r="N1145" s="132"/>
      <c r="O1145" s="132"/>
      <c r="P1145" s="154"/>
    </row>
    <row r="1146" spans="1:16" s="28" customFormat="1" x14ac:dyDescent="0.25">
      <c r="A1146" s="53"/>
      <c r="B1146" s="58"/>
      <c r="C1146" s="58"/>
      <c r="D1146" s="35"/>
      <c r="E1146" s="132"/>
      <c r="F1146" s="132"/>
      <c r="G1146" s="132"/>
      <c r="H1146" s="132"/>
      <c r="I1146" s="132"/>
      <c r="J1146" s="132"/>
      <c r="K1146" s="132"/>
      <c r="L1146" s="132"/>
      <c r="M1146" s="132"/>
      <c r="N1146" s="132"/>
      <c r="O1146" s="132"/>
      <c r="P1146" s="154"/>
    </row>
    <row r="1147" spans="1:16" s="28" customFormat="1" x14ac:dyDescent="0.25">
      <c r="A1147" s="53"/>
      <c r="B1147" s="58"/>
      <c r="C1147" s="58"/>
      <c r="D1147" s="35"/>
      <c r="E1147" s="132"/>
      <c r="F1147" s="132"/>
      <c r="G1147" s="132"/>
      <c r="H1147" s="132"/>
      <c r="I1147" s="132"/>
      <c r="J1147" s="132"/>
      <c r="K1147" s="132"/>
      <c r="L1147" s="132"/>
      <c r="M1147" s="132"/>
      <c r="N1147" s="132"/>
      <c r="O1147" s="132"/>
      <c r="P1147" s="154"/>
    </row>
    <row r="1148" spans="1:16" s="28" customFormat="1" x14ac:dyDescent="0.25">
      <c r="A1148" s="53"/>
      <c r="B1148" s="58"/>
      <c r="C1148" s="58"/>
      <c r="D1148" s="35"/>
      <c r="E1148" s="132"/>
      <c r="F1148" s="132"/>
      <c r="G1148" s="132"/>
      <c r="H1148" s="132"/>
      <c r="I1148" s="132"/>
      <c r="J1148" s="132"/>
      <c r="K1148" s="132"/>
      <c r="L1148" s="132"/>
      <c r="M1148" s="132"/>
      <c r="N1148" s="132"/>
      <c r="O1148" s="132"/>
      <c r="P1148" s="154"/>
    </row>
    <row r="1149" spans="1:16" s="28" customFormat="1" x14ac:dyDescent="0.25">
      <c r="A1149" s="53"/>
      <c r="B1149" s="58"/>
      <c r="C1149" s="58"/>
      <c r="D1149" s="35"/>
      <c r="E1149" s="132"/>
      <c r="F1149" s="132"/>
      <c r="G1149" s="132"/>
      <c r="H1149" s="132"/>
      <c r="I1149" s="132"/>
      <c r="J1149" s="132"/>
      <c r="K1149" s="132"/>
      <c r="L1149" s="132"/>
      <c r="M1149" s="132"/>
      <c r="N1149" s="132"/>
      <c r="O1149" s="132"/>
      <c r="P1149" s="154"/>
    </row>
    <row r="1150" spans="1:16" s="28" customFormat="1" x14ac:dyDescent="0.25">
      <c r="A1150" s="53"/>
      <c r="B1150" s="58"/>
      <c r="C1150" s="58"/>
      <c r="D1150" s="35"/>
      <c r="E1150" s="132"/>
      <c r="F1150" s="132"/>
      <c r="G1150" s="132"/>
      <c r="H1150" s="132"/>
      <c r="I1150" s="132"/>
      <c r="J1150" s="132"/>
      <c r="K1150" s="132"/>
      <c r="L1150" s="132"/>
      <c r="M1150" s="132"/>
      <c r="N1150" s="132"/>
      <c r="O1150" s="132"/>
      <c r="P1150" s="154"/>
    </row>
    <row r="1151" spans="1:16" s="28" customFormat="1" x14ac:dyDescent="0.25">
      <c r="A1151" s="53"/>
      <c r="B1151" s="58"/>
      <c r="C1151" s="58"/>
      <c r="D1151" s="35"/>
      <c r="E1151" s="132"/>
      <c r="F1151" s="132"/>
      <c r="G1151" s="132"/>
      <c r="H1151" s="132"/>
      <c r="I1151" s="132"/>
      <c r="J1151" s="132"/>
      <c r="K1151" s="132"/>
      <c r="L1151" s="132"/>
      <c r="M1151" s="132"/>
      <c r="N1151" s="132"/>
      <c r="O1151" s="132"/>
      <c r="P1151" s="154"/>
    </row>
    <row r="1152" spans="1:16" s="28" customFormat="1" x14ac:dyDescent="0.25">
      <c r="A1152" s="53"/>
      <c r="B1152" s="58"/>
      <c r="C1152" s="58"/>
      <c r="D1152" s="35"/>
      <c r="E1152" s="132"/>
      <c r="F1152" s="132"/>
      <c r="G1152" s="132"/>
      <c r="H1152" s="132"/>
      <c r="I1152" s="132"/>
      <c r="J1152" s="132"/>
      <c r="K1152" s="132"/>
      <c r="L1152" s="132"/>
      <c r="M1152" s="132"/>
      <c r="N1152" s="132"/>
      <c r="O1152" s="132"/>
      <c r="P1152" s="154"/>
    </row>
    <row r="1153" spans="1:16" s="28" customFormat="1" x14ac:dyDescent="0.25">
      <c r="A1153" s="53"/>
      <c r="B1153" s="58"/>
      <c r="C1153" s="58"/>
      <c r="D1153" s="35"/>
      <c r="E1153" s="132"/>
      <c r="F1153" s="132"/>
      <c r="G1153" s="132"/>
      <c r="H1153" s="132"/>
      <c r="I1153" s="132"/>
      <c r="J1153" s="132"/>
      <c r="K1153" s="132"/>
      <c r="L1153" s="132"/>
      <c r="M1153" s="132"/>
      <c r="N1153" s="132"/>
      <c r="O1153" s="132"/>
      <c r="P1153" s="154"/>
    </row>
    <row r="1154" spans="1:16" s="28" customFormat="1" x14ac:dyDescent="0.25">
      <c r="A1154" s="53"/>
      <c r="B1154" s="58"/>
      <c r="C1154" s="58"/>
      <c r="D1154" s="35"/>
      <c r="E1154" s="132"/>
      <c r="F1154" s="132"/>
      <c r="G1154" s="132"/>
      <c r="H1154" s="132"/>
      <c r="I1154" s="132"/>
      <c r="J1154" s="132"/>
      <c r="K1154" s="132"/>
      <c r="L1154" s="132"/>
      <c r="M1154" s="132"/>
      <c r="N1154" s="132"/>
      <c r="O1154" s="132"/>
      <c r="P1154" s="154"/>
    </row>
    <row r="1155" spans="1:16" s="28" customFormat="1" x14ac:dyDescent="0.25">
      <c r="A1155" s="53"/>
      <c r="B1155" s="58"/>
      <c r="C1155" s="58"/>
      <c r="D1155" s="35"/>
      <c r="E1155" s="132"/>
      <c r="F1155" s="132"/>
      <c r="G1155" s="132"/>
      <c r="H1155" s="132"/>
      <c r="I1155" s="132"/>
      <c r="J1155" s="132"/>
      <c r="K1155" s="132"/>
      <c r="L1155" s="132"/>
      <c r="M1155" s="132"/>
      <c r="N1155" s="132"/>
      <c r="O1155" s="132"/>
      <c r="P1155" s="154"/>
    </row>
    <row r="1156" spans="1:16" s="28" customFormat="1" x14ac:dyDescent="0.25">
      <c r="A1156" s="53"/>
      <c r="B1156" s="58"/>
      <c r="C1156" s="58"/>
      <c r="D1156" s="35"/>
      <c r="E1156" s="132"/>
      <c r="F1156" s="132"/>
      <c r="G1156" s="132"/>
      <c r="H1156" s="132"/>
      <c r="I1156" s="132"/>
      <c r="J1156" s="132"/>
      <c r="K1156" s="132"/>
      <c r="L1156" s="132"/>
      <c r="M1156" s="132"/>
      <c r="N1156" s="132"/>
      <c r="O1156" s="132"/>
      <c r="P1156" s="154"/>
    </row>
    <row r="1157" spans="1:16" s="28" customFormat="1" x14ac:dyDescent="0.25">
      <c r="A1157" s="53"/>
      <c r="B1157" s="58"/>
      <c r="C1157" s="58"/>
      <c r="D1157" s="35"/>
      <c r="E1157" s="132"/>
      <c r="F1157" s="132"/>
      <c r="G1157" s="132"/>
      <c r="H1157" s="132"/>
      <c r="I1157" s="132"/>
      <c r="J1157" s="132"/>
      <c r="K1157" s="132"/>
      <c r="L1157" s="132"/>
      <c r="M1157" s="132"/>
      <c r="N1157" s="132"/>
      <c r="O1157" s="132"/>
      <c r="P1157" s="154"/>
    </row>
    <row r="1158" spans="1:16" s="28" customFormat="1" x14ac:dyDescent="0.25">
      <c r="A1158" s="53"/>
      <c r="B1158" s="58"/>
      <c r="C1158" s="58"/>
      <c r="D1158" s="35"/>
      <c r="E1158" s="132"/>
      <c r="F1158" s="132"/>
      <c r="G1158" s="132"/>
      <c r="H1158" s="132"/>
      <c r="I1158" s="132"/>
      <c r="J1158" s="132"/>
      <c r="K1158" s="132"/>
      <c r="L1158" s="132"/>
      <c r="M1158" s="132"/>
      <c r="N1158" s="132"/>
      <c r="O1158" s="132"/>
      <c r="P1158" s="154"/>
    </row>
    <row r="1159" spans="1:16" s="28" customFormat="1" x14ac:dyDescent="0.25">
      <c r="A1159" s="53"/>
      <c r="B1159" s="58"/>
      <c r="C1159" s="58"/>
      <c r="D1159" s="35"/>
      <c r="E1159" s="132"/>
      <c r="F1159" s="132"/>
      <c r="G1159" s="132"/>
      <c r="H1159" s="132"/>
      <c r="I1159" s="132"/>
      <c r="J1159" s="132"/>
      <c r="K1159" s="132"/>
      <c r="L1159" s="132"/>
      <c r="M1159" s="132"/>
      <c r="N1159" s="132"/>
      <c r="O1159" s="132"/>
      <c r="P1159" s="154"/>
    </row>
    <row r="1160" spans="1:16" s="28" customFormat="1" x14ac:dyDescent="0.25">
      <c r="A1160" s="53"/>
      <c r="B1160" s="58"/>
      <c r="C1160" s="58"/>
      <c r="D1160" s="35"/>
      <c r="E1160" s="132"/>
      <c r="F1160" s="132"/>
      <c r="G1160" s="132"/>
      <c r="H1160" s="132"/>
      <c r="I1160" s="132"/>
      <c r="J1160" s="132"/>
      <c r="K1160" s="132"/>
      <c r="L1160" s="132"/>
      <c r="M1160" s="132"/>
      <c r="N1160" s="132"/>
      <c r="O1160" s="132"/>
      <c r="P1160" s="154"/>
    </row>
    <row r="1161" spans="1:16" s="28" customFormat="1" x14ac:dyDescent="0.25">
      <c r="A1161" s="53"/>
      <c r="B1161" s="58"/>
      <c r="C1161" s="58"/>
      <c r="D1161" s="35"/>
      <c r="E1161" s="132"/>
      <c r="F1161" s="132"/>
      <c r="G1161" s="132"/>
      <c r="H1161" s="132"/>
      <c r="I1161" s="132"/>
      <c r="J1161" s="132"/>
      <c r="K1161" s="132"/>
      <c r="L1161" s="132"/>
      <c r="M1161" s="132"/>
      <c r="N1161" s="132"/>
      <c r="O1161" s="132"/>
      <c r="P1161" s="154"/>
    </row>
    <row r="1162" spans="1:16" s="28" customFormat="1" x14ac:dyDescent="0.25">
      <c r="A1162" s="53"/>
      <c r="B1162" s="58"/>
      <c r="C1162" s="58"/>
      <c r="D1162" s="35"/>
      <c r="E1162" s="132"/>
      <c r="F1162" s="132"/>
      <c r="G1162" s="132"/>
      <c r="H1162" s="132"/>
      <c r="I1162" s="132"/>
      <c r="J1162" s="132"/>
      <c r="K1162" s="132"/>
      <c r="L1162" s="132"/>
      <c r="M1162" s="132"/>
      <c r="N1162" s="132"/>
      <c r="O1162" s="132"/>
      <c r="P1162" s="154"/>
    </row>
    <row r="1163" spans="1:16" s="28" customFormat="1" x14ac:dyDescent="0.25">
      <c r="A1163" s="53"/>
      <c r="B1163" s="58"/>
      <c r="C1163" s="58"/>
      <c r="D1163" s="35"/>
      <c r="E1163" s="132"/>
      <c r="F1163" s="132"/>
      <c r="G1163" s="132"/>
      <c r="H1163" s="132"/>
      <c r="I1163" s="132"/>
      <c r="J1163" s="132"/>
      <c r="K1163" s="132"/>
      <c r="L1163" s="132"/>
      <c r="M1163" s="132"/>
      <c r="N1163" s="132"/>
      <c r="O1163" s="132"/>
      <c r="P1163" s="154"/>
    </row>
    <row r="1164" spans="1:16" s="28" customFormat="1" x14ac:dyDescent="0.25">
      <c r="A1164" s="53"/>
      <c r="B1164" s="58"/>
      <c r="C1164" s="58"/>
      <c r="D1164" s="35"/>
      <c r="E1164" s="132"/>
      <c r="F1164" s="132"/>
      <c r="G1164" s="132"/>
      <c r="H1164" s="132"/>
      <c r="I1164" s="132"/>
      <c r="J1164" s="132"/>
      <c r="K1164" s="132"/>
      <c r="L1164" s="132"/>
      <c r="M1164" s="132"/>
      <c r="N1164" s="132"/>
      <c r="O1164" s="132"/>
      <c r="P1164" s="154"/>
    </row>
    <row r="1165" spans="1:16" s="28" customFormat="1" x14ac:dyDescent="0.25">
      <c r="A1165" s="53"/>
      <c r="B1165" s="58"/>
      <c r="C1165" s="58"/>
      <c r="D1165" s="35"/>
      <c r="E1165" s="132"/>
      <c r="F1165" s="132"/>
      <c r="G1165" s="132"/>
      <c r="H1165" s="132"/>
      <c r="I1165" s="132"/>
      <c r="J1165" s="132"/>
      <c r="K1165" s="132"/>
      <c r="L1165" s="132"/>
      <c r="M1165" s="132"/>
      <c r="N1165" s="132"/>
      <c r="O1165" s="132"/>
      <c r="P1165" s="154"/>
    </row>
    <row r="1166" spans="1:16" s="28" customFormat="1" x14ac:dyDescent="0.25">
      <c r="A1166" s="53"/>
      <c r="B1166" s="58"/>
      <c r="C1166" s="58"/>
      <c r="D1166" s="35"/>
      <c r="E1166" s="132"/>
      <c r="F1166" s="132"/>
      <c r="G1166" s="132"/>
      <c r="H1166" s="132"/>
      <c r="I1166" s="132"/>
      <c r="J1166" s="132"/>
      <c r="K1166" s="132"/>
      <c r="L1166" s="132"/>
      <c r="M1166" s="132"/>
      <c r="N1166" s="132"/>
      <c r="O1166" s="132"/>
      <c r="P1166" s="154"/>
    </row>
    <row r="1167" spans="1:16" s="28" customFormat="1" x14ac:dyDescent="0.25">
      <c r="A1167" s="53"/>
      <c r="B1167" s="58"/>
      <c r="C1167" s="58"/>
      <c r="D1167" s="35"/>
      <c r="E1167" s="132"/>
      <c r="F1167" s="132"/>
      <c r="G1167" s="132"/>
      <c r="H1167" s="132"/>
      <c r="I1167" s="132"/>
      <c r="J1167" s="132"/>
      <c r="K1167" s="132"/>
      <c r="L1167" s="132"/>
      <c r="M1167" s="132"/>
      <c r="N1167" s="132"/>
      <c r="O1167" s="132"/>
      <c r="P1167" s="154"/>
    </row>
    <row r="1168" spans="1:16" s="28" customFormat="1" x14ac:dyDescent="0.25">
      <c r="A1168" s="53"/>
      <c r="B1168" s="58"/>
      <c r="C1168" s="58"/>
      <c r="D1168" s="35"/>
      <c r="E1168" s="132"/>
      <c r="F1168" s="132"/>
      <c r="G1168" s="132"/>
      <c r="H1168" s="132"/>
      <c r="I1168" s="132"/>
      <c r="J1168" s="132"/>
      <c r="K1168" s="132"/>
      <c r="L1168" s="132"/>
      <c r="M1168" s="132"/>
      <c r="N1168" s="132"/>
      <c r="O1168" s="132"/>
      <c r="P1168" s="154"/>
    </row>
    <row r="1169" spans="1:16" s="28" customFormat="1" x14ac:dyDescent="0.25">
      <c r="A1169" s="53"/>
      <c r="B1169" s="58"/>
      <c r="C1169" s="58"/>
      <c r="D1169" s="35"/>
      <c r="E1169" s="132"/>
      <c r="F1169" s="132"/>
      <c r="G1169" s="132"/>
      <c r="H1169" s="132"/>
      <c r="I1169" s="132"/>
      <c r="J1169" s="132"/>
      <c r="K1169" s="132"/>
      <c r="L1169" s="132"/>
      <c r="M1169" s="132"/>
      <c r="N1169" s="132"/>
      <c r="O1169" s="132"/>
      <c r="P1169" s="154"/>
    </row>
    <row r="1170" spans="1:16" s="28" customFormat="1" x14ac:dyDescent="0.25">
      <c r="A1170" s="53"/>
      <c r="B1170" s="58"/>
      <c r="C1170" s="58"/>
      <c r="D1170" s="35"/>
      <c r="E1170" s="132"/>
      <c r="F1170" s="132"/>
      <c r="G1170" s="132"/>
      <c r="H1170" s="132"/>
      <c r="I1170" s="132"/>
      <c r="J1170" s="132"/>
      <c r="K1170" s="132"/>
      <c r="L1170" s="132"/>
      <c r="M1170" s="132"/>
      <c r="N1170" s="132"/>
      <c r="O1170" s="132"/>
      <c r="P1170" s="154"/>
    </row>
    <row r="1171" spans="1:16" s="28" customFormat="1" x14ac:dyDescent="0.25">
      <c r="A1171" s="53"/>
      <c r="B1171" s="58"/>
      <c r="C1171" s="58"/>
      <c r="D1171" s="35"/>
      <c r="E1171" s="132"/>
      <c r="F1171" s="132"/>
      <c r="G1171" s="132"/>
      <c r="H1171" s="132"/>
      <c r="I1171" s="132"/>
      <c r="J1171" s="132"/>
      <c r="K1171" s="132"/>
      <c r="L1171" s="132"/>
      <c r="M1171" s="132"/>
      <c r="N1171" s="132"/>
      <c r="O1171" s="132"/>
      <c r="P1171" s="154"/>
    </row>
    <row r="1172" spans="1:16" s="28" customFormat="1" x14ac:dyDescent="0.25">
      <c r="A1172" s="53"/>
      <c r="B1172" s="58"/>
      <c r="C1172" s="58"/>
      <c r="D1172" s="35"/>
      <c r="E1172" s="132"/>
      <c r="F1172" s="132"/>
      <c r="G1172" s="132"/>
      <c r="H1172" s="132"/>
      <c r="I1172" s="132"/>
      <c r="J1172" s="132"/>
      <c r="K1172" s="132"/>
      <c r="L1172" s="132"/>
      <c r="M1172" s="132"/>
      <c r="N1172" s="132"/>
      <c r="O1172" s="132"/>
      <c r="P1172" s="154"/>
    </row>
    <row r="1173" spans="1:16" s="28" customFormat="1" x14ac:dyDescent="0.25">
      <c r="A1173" s="53"/>
      <c r="B1173" s="58"/>
      <c r="C1173" s="58"/>
      <c r="D1173" s="35"/>
      <c r="E1173" s="132"/>
      <c r="F1173" s="132"/>
      <c r="G1173" s="132"/>
      <c r="H1173" s="132"/>
      <c r="I1173" s="132"/>
      <c r="J1173" s="132"/>
      <c r="K1173" s="132"/>
      <c r="L1173" s="132"/>
      <c r="M1173" s="132"/>
      <c r="N1173" s="132"/>
      <c r="O1173" s="132"/>
      <c r="P1173" s="154"/>
    </row>
    <row r="1174" spans="1:16" s="28" customFormat="1" x14ac:dyDescent="0.25">
      <c r="A1174" s="53"/>
      <c r="B1174" s="58"/>
      <c r="C1174" s="58"/>
      <c r="D1174" s="35"/>
      <c r="E1174" s="132"/>
      <c r="F1174" s="132"/>
      <c r="G1174" s="132"/>
      <c r="H1174" s="132"/>
      <c r="I1174" s="132"/>
      <c r="J1174" s="132"/>
      <c r="K1174" s="132"/>
      <c r="L1174" s="132"/>
      <c r="M1174" s="132"/>
      <c r="N1174" s="132"/>
      <c r="O1174" s="132"/>
      <c r="P1174" s="154"/>
    </row>
    <row r="1175" spans="1:16" s="28" customFormat="1" x14ac:dyDescent="0.25">
      <c r="A1175" s="53"/>
      <c r="B1175" s="58"/>
      <c r="C1175" s="58"/>
      <c r="D1175" s="35"/>
      <c r="E1175" s="132"/>
      <c r="F1175" s="132"/>
      <c r="G1175" s="132"/>
      <c r="H1175" s="132"/>
      <c r="I1175" s="132"/>
      <c r="J1175" s="132"/>
      <c r="K1175" s="132"/>
      <c r="L1175" s="132"/>
      <c r="M1175" s="132"/>
      <c r="N1175" s="132"/>
      <c r="O1175" s="132"/>
      <c r="P1175" s="154"/>
    </row>
    <row r="1176" spans="1:16" s="28" customFormat="1" x14ac:dyDescent="0.25">
      <c r="A1176" s="53"/>
      <c r="B1176" s="58"/>
      <c r="C1176" s="58"/>
      <c r="D1176" s="35"/>
      <c r="E1176" s="132"/>
      <c r="F1176" s="132"/>
      <c r="G1176" s="132"/>
      <c r="H1176" s="132"/>
      <c r="I1176" s="132"/>
      <c r="J1176" s="132"/>
      <c r="K1176" s="132"/>
      <c r="L1176" s="132"/>
      <c r="M1176" s="132"/>
      <c r="N1176" s="132"/>
      <c r="O1176" s="132"/>
      <c r="P1176" s="154"/>
    </row>
    <row r="1177" spans="1:16" s="28" customFormat="1" x14ac:dyDescent="0.25">
      <c r="A1177" s="53"/>
      <c r="B1177" s="58"/>
      <c r="C1177" s="58"/>
      <c r="D1177" s="35"/>
      <c r="E1177" s="132"/>
      <c r="F1177" s="132"/>
      <c r="G1177" s="132"/>
      <c r="H1177" s="132"/>
      <c r="I1177" s="132"/>
      <c r="J1177" s="132"/>
      <c r="K1177" s="132"/>
      <c r="L1177" s="132"/>
      <c r="M1177" s="132"/>
      <c r="N1177" s="132"/>
      <c r="O1177" s="132"/>
      <c r="P1177" s="154"/>
    </row>
    <row r="1178" spans="1:16" s="28" customFormat="1" x14ac:dyDescent="0.25">
      <c r="A1178" s="53"/>
      <c r="B1178" s="58"/>
      <c r="C1178" s="58"/>
      <c r="D1178" s="35"/>
      <c r="E1178" s="132"/>
      <c r="F1178" s="132"/>
      <c r="G1178" s="132"/>
      <c r="H1178" s="132"/>
      <c r="I1178" s="132"/>
      <c r="J1178" s="132"/>
      <c r="K1178" s="132"/>
      <c r="L1178" s="132"/>
      <c r="M1178" s="132"/>
      <c r="N1178" s="132"/>
      <c r="O1178" s="132"/>
      <c r="P1178" s="154"/>
    </row>
    <row r="1179" spans="1:16" s="28" customFormat="1" x14ac:dyDescent="0.25">
      <c r="A1179" s="53"/>
      <c r="B1179" s="58"/>
      <c r="C1179" s="58"/>
      <c r="D1179" s="35"/>
      <c r="E1179" s="132"/>
      <c r="F1179" s="132"/>
      <c r="G1179" s="132"/>
      <c r="H1179" s="132"/>
      <c r="I1179" s="132"/>
      <c r="J1179" s="132"/>
      <c r="K1179" s="132"/>
      <c r="L1179" s="132"/>
      <c r="M1179" s="132"/>
      <c r="N1179" s="132"/>
      <c r="O1179" s="132"/>
      <c r="P1179" s="154"/>
    </row>
    <row r="1180" spans="1:16" s="28" customFormat="1" x14ac:dyDescent="0.25">
      <c r="A1180" s="53"/>
      <c r="B1180" s="58"/>
      <c r="C1180" s="58"/>
      <c r="D1180" s="35"/>
      <c r="E1180" s="132"/>
      <c r="F1180" s="132"/>
      <c r="G1180" s="132"/>
      <c r="H1180" s="132"/>
      <c r="I1180" s="132"/>
      <c r="J1180" s="132"/>
      <c r="K1180" s="132"/>
      <c r="L1180" s="132"/>
      <c r="M1180" s="132"/>
      <c r="N1180" s="132"/>
      <c r="O1180" s="132"/>
      <c r="P1180" s="154"/>
    </row>
    <row r="1181" spans="1:16" s="28" customFormat="1" x14ac:dyDescent="0.25">
      <c r="A1181" s="53"/>
      <c r="B1181" s="58"/>
      <c r="C1181" s="58"/>
      <c r="D1181" s="35"/>
      <c r="E1181" s="132"/>
      <c r="F1181" s="132"/>
      <c r="G1181" s="132"/>
      <c r="H1181" s="132"/>
      <c r="I1181" s="132"/>
      <c r="J1181" s="132"/>
      <c r="K1181" s="132"/>
      <c r="L1181" s="132"/>
      <c r="M1181" s="132"/>
      <c r="N1181" s="132"/>
      <c r="O1181" s="132"/>
      <c r="P1181" s="154"/>
    </row>
    <row r="1182" spans="1:16" s="28" customFormat="1" x14ac:dyDescent="0.25">
      <c r="A1182" s="53"/>
      <c r="B1182" s="58"/>
      <c r="C1182" s="58"/>
      <c r="D1182" s="35"/>
      <c r="E1182" s="132"/>
      <c r="F1182" s="132"/>
      <c r="G1182" s="132"/>
      <c r="H1182" s="132"/>
      <c r="I1182" s="132"/>
      <c r="J1182" s="132"/>
      <c r="K1182" s="132"/>
      <c r="L1182" s="132"/>
      <c r="M1182" s="132"/>
      <c r="N1182" s="132"/>
      <c r="O1182" s="132"/>
      <c r="P1182" s="154"/>
    </row>
    <row r="1183" spans="1:16" s="28" customFormat="1" x14ac:dyDescent="0.25">
      <c r="A1183" s="53"/>
      <c r="B1183" s="58"/>
      <c r="C1183" s="58"/>
      <c r="D1183" s="35"/>
      <c r="E1183" s="132"/>
      <c r="F1183" s="132"/>
      <c r="G1183" s="132"/>
      <c r="H1183" s="132"/>
      <c r="I1183" s="132"/>
      <c r="J1183" s="132"/>
      <c r="K1183" s="132"/>
      <c r="L1183" s="132"/>
      <c r="M1183" s="132"/>
      <c r="N1183" s="132"/>
      <c r="O1183" s="132"/>
      <c r="P1183" s="154"/>
    </row>
    <row r="1184" spans="1:16" s="28" customFormat="1" x14ac:dyDescent="0.25">
      <c r="A1184" s="53"/>
      <c r="B1184" s="58"/>
      <c r="C1184" s="58"/>
      <c r="D1184" s="35"/>
      <c r="E1184" s="132"/>
      <c r="F1184" s="132"/>
      <c r="G1184" s="132"/>
      <c r="H1184" s="132"/>
      <c r="I1184" s="132"/>
      <c r="J1184" s="132"/>
      <c r="K1184" s="132"/>
      <c r="L1184" s="132"/>
      <c r="M1184" s="132"/>
      <c r="N1184" s="132"/>
      <c r="O1184" s="132"/>
      <c r="P1184" s="154"/>
    </row>
    <row r="1185" spans="1:16" s="28" customFormat="1" x14ac:dyDescent="0.25">
      <c r="A1185" s="53"/>
      <c r="B1185" s="58"/>
      <c r="C1185" s="58"/>
      <c r="D1185" s="35"/>
      <c r="E1185" s="132"/>
      <c r="F1185" s="132"/>
      <c r="G1185" s="132"/>
      <c r="H1185" s="132"/>
      <c r="I1185" s="132"/>
      <c r="J1185" s="132"/>
      <c r="K1185" s="132"/>
      <c r="L1185" s="132"/>
      <c r="M1185" s="132"/>
      <c r="N1185" s="132"/>
      <c r="O1185" s="132"/>
      <c r="P1185" s="154"/>
    </row>
    <row r="1186" spans="1:16" s="28" customFormat="1" x14ac:dyDescent="0.25">
      <c r="A1186" s="53"/>
      <c r="B1186" s="58"/>
      <c r="C1186" s="58"/>
      <c r="D1186" s="35"/>
      <c r="E1186" s="132"/>
      <c r="F1186" s="132"/>
      <c r="G1186" s="132"/>
      <c r="H1186" s="132"/>
      <c r="I1186" s="132"/>
      <c r="J1186" s="132"/>
      <c r="K1186" s="132"/>
      <c r="L1186" s="132"/>
      <c r="M1186" s="132"/>
      <c r="N1186" s="132"/>
      <c r="O1186" s="132"/>
      <c r="P1186" s="154"/>
    </row>
    <row r="1187" spans="1:16" s="28" customFormat="1" x14ac:dyDescent="0.25">
      <c r="A1187" s="53"/>
      <c r="B1187" s="58"/>
      <c r="C1187" s="58"/>
      <c r="D1187" s="35"/>
      <c r="E1187" s="132"/>
      <c r="F1187" s="132"/>
      <c r="G1187" s="132"/>
      <c r="H1187" s="132"/>
      <c r="I1187" s="132"/>
      <c r="J1187" s="132"/>
      <c r="K1187" s="132"/>
      <c r="L1187" s="132"/>
      <c r="M1187" s="132"/>
      <c r="N1187" s="132"/>
      <c r="O1187" s="132"/>
      <c r="P1187" s="154"/>
    </row>
    <row r="1188" spans="1:16" s="28" customFormat="1" x14ac:dyDescent="0.25">
      <c r="A1188" s="53"/>
      <c r="B1188" s="58"/>
      <c r="C1188" s="58"/>
      <c r="D1188" s="35"/>
      <c r="E1188" s="132"/>
      <c r="F1188" s="132"/>
      <c r="G1188" s="132"/>
      <c r="H1188" s="132"/>
      <c r="I1188" s="132"/>
      <c r="J1188" s="132"/>
      <c r="K1188" s="132"/>
      <c r="L1188" s="132"/>
      <c r="M1188" s="132"/>
      <c r="N1188" s="132"/>
      <c r="O1188" s="132"/>
      <c r="P1188" s="154"/>
    </row>
    <row r="1189" spans="1:16" s="28" customFormat="1" x14ac:dyDescent="0.25">
      <c r="A1189" s="53"/>
      <c r="B1189" s="58"/>
      <c r="C1189" s="58"/>
      <c r="D1189" s="35"/>
      <c r="E1189" s="132"/>
      <c r="F1189" s="132"/>
      <c r="G1189" s="132"/>
      <c r="H1189" s="132"/>
      <c r="I1189" s="132"/>
      <c r="J1189" s="132"/>
      <c r="K1189" s="132"/>
      <c r="L1189" s="132"/>
      <c r="M1189" s="132"/>
      <c r="N1189" s="132"/>
      <c r="O1189" s="132"/>
      <c r="P1189" s="154"/>
    </row>
    <row r="1190" spans="1:16" s="28" customFormat="1" x14ac:dyDescent="0.25">
      <c r="A1190" s="53"/>
      <c r="B1190" s="58"/>
      <c r="C1190" s="58"/>
      <c r="D1190" s="35"/>
      <c r="E1190" s="132"/>
      <c r="F1190" s="132"/>
      <c r="G1190" s="132"/>
      <c r="H1190" s="132"/>
      <c r="I1190" s="132"/>
      <c r="J1190" s="132"/>
      <c r="K1190" s="132"/>
      <c r="L1190" s="132"/>
      <c r="M1190" s="132"/>
      <c r="N1190" s="132"/>
      <c r="O1190" s="132"/>
      <c r="P1190" s="154"/>
    </row>
    <row r="1191" spans="1:16" s="28" customFormat="1" x14ac:dyDescent="0.25">
      <c r="A1191" s="53"/>
      <c r="B1191" s="58"/>
      <c r="C1191" s="58"/>
      <c r="D1191" s="35"/>
      <c r="E1191" s="132"/>
      <c r="F1191" s="132"/>
      <c r="G1191" s="132"/>
      <c r="H1191" s="132"/>
      <c r="I1191" s="132"/>
      <c r="J1191" s="132"/>
      <c r="K1191" s="132"/>
      <c r="L1191" s="132"/>
      <c r="M1191" s="132"/>
      <c r="N1191" s="132"/>
      <c r="O1191" s="132"/>
      <c r="P1191" s="154"/>
    </row>
    <row r="1192" spans="1:16" s="28" customFormat="1" x14ac:dyDescent="0.25">
      <c r="A1192" s="53"/>
      <c r="B1192" s="58"/>
      <c r="C1192" s="58"/>
      <c r="D1192" s="35"/>
      <c r="E1192" s="132"/>
      <c r="F1192" s="132"/>
      <c r="G1192" s="132"/>
      <c r="H1192" s="132"/>
      <c r="I1192" s="132"/>
      <c r="J1192" s="132"/>
      <c r="K1192" s="132"/>
      <c r="L1192" s="132"/>
      <c r="M1192" s="132"/>
      <c r="N1192" s="132"/>
      <c r="O1192" s="132"/>
      <c r="P1192" s="154"/>
    </row>
    <row r="1193" spans="1:16" s="28" customFormat="1" x14ac:dyDescent="0.25">
      <c r="A1193" s="53"/>
      <c r="B1193" s="58"/>
      <c r="C1193" s="58"/>
      <c r="D1193" s="35"/>
      <c r="E1193" s="132"/>
      <c r="F1193" s="132"/>
      <c r="G1193" s="132"/>
      <c r="H1193" s="132"/>
      <c r="I1193" s="132"/>
      <c r="J1193" s="132"/>
      <c r="K1193" s="132"/>
      <c r="L1193" s="132"/>
      <c r="M1193" s="132"/>
      <c r="N1193" s="132"/>
      <c r="O1193" s="132"/>
      <c r="P1193" s="154"/>
    </row>
    <row r="1194" spans="1:16" s="28" customFormat="1" x14ac:dyDescent="0.25">
      <c r="A1194" s="53"/>
      <c r="B1194" s="58"/>
      <c r="C1194" s="58"/>
      <c r="D1194" s="35"/>
      <c r="E1194" s="132"/>
      <c r="F1194" s="132"/>
      <c r="G1194" s="132"/>
      <c r="H1194" s="132"/>
      <c r="I1194" s="132"/>
      <c r="J1194" s="132"/>
      <c r="K1194" s="132"/>
      <c r="L1194" s="132"/>
      <c r="M1194" s="132"/>
      <c r="N1194" s="132"/>
      <c r="O1194" s="132"/>
      <c r="P1194" s="154"/>
    </row>
    <row r="1195" spans="1:16" s="28" customFormat="1" x14ac:dyDescent="0.25">
      <c r="A1195" s="53"/>
      <c r="B1195" s="58"/>
      <c r="C1195" s="58"/>
      <c r="D1195" s="35"/>
      <c r="E1195" s="132"/>
      <c r="F1195" s="132"/>
      <c r="G1195" s="132"/>
      <c r="H1195" s="132"/>
      <c r="I1195" s="132"/>
      <c r="J1195" s="132"/>
      <c r="K1195" s="132"/>
      <c r="L1195" s="132"/>
      <c r="M1195" s="132"/>
      <c r="N1195" s="132"/>
      <c r="O1195" s="132"/>
      <c r="P1195" s="154"/>
    </row>
    <row r="1196" spans="1:16" s="28" customFormat="1" x14ac:dyDescent="0.25">
      <c r="A1196" s="53"/>
      <c r="B1196" s="58"/>
      <c r="C1196" s="58"/>
      <c r="D1196" s="35"/>
      <c r="E1196" s="132"/>
      <c r="F1196" s="132"/>
      <c r="G1196" s="132"/>
      <c r="H1196" s="132"/>
      <c r="I1196" s="132"/>
      <c r="J1196" s="132"/>
      <c r="K1196" s="132"/>
      <c r="L1196" s="132"/>
      <c r="M1196" s="132"/>
      <c r="N1196" s="132"/>
      <c r="O1196" s="132"/>
      <c r="P1196" s="154"/>
    </row>
    <row r="1197" spans="1:16" s="28" customFormat="1" x14ac:dyDescent="0.25">
      <c r="A1197" s="53"/>
      <c r="B1197" s="58"/>
      <c r="C1197" s="58"/>
      <c r="D1197" s="35"/>
      <c r="E1197" s="132"/>
      <c r="F1197" s="132"/>
      <c r="G1197" s="132"/>
      <c r="H1197" s="132"/>
      <c r="I1197" s="132"/>
      <c r="J1197" s="132"/>
      <c r="K1197" s="132"/>
      <c r="L1197" s="132"/>
      <c r="M1197" s="132"/>
      <c r="N1197" s="132"/>
      <c r="O1197" s="132"/>
      <c r="P1197" s="154"/>
    </row>
    <row r="1198" spans="1:16" s="28" customFormat="1" x14ac:dyDescent="0.25">
      <c r="A1198" s="53"/>
      <c r="B1198" s="58"/>
      <c r="C1198" s="58"/>
      <c r="D1198" s="35"/>
      <c r="E1198" s="132"/>
      <c r="F1198" s="132"/>
      <c r="G1198" s="132"/>
      <c r="H1198" s="132"/>
      <c r="I1198" s="132"/>
      <c r="J1198" s="132"/>
      <c r="K1198" s="132"/>
      <c r="L1198" s="132"/>
      <c r="M1198" s="132"/>
      <c r="N1198" s="132"/>
      <c r="O1198" s="132"/>
      <c r="P1198" s="154"/>
    </row>
    <row r="1199" spans="1:16" s="28" customFormat="1" x14ac:dyDescent="0.25">
      <c r="A1199" s="53"/>
      <c r="B1199" s="58"/>
      <c r="C1199" s="58"/>
      <c r="D1199" s="35"/>
      <c r="E1199" s="132"/>
      <c r="F1199" s="132"/>
      <c r="G1199" s="132"/>
      <c r="H1199" s="132"/>
      <c r="I1199" s="132"/>
      <c r="J1199" s="132"/>
      <c r="K1199" s="132"/>
      <c r="L1199" s="132"/>
      <c r="M1199" s="132"/>
      <c r="N1199" s="132"/>
      <c r="O1199" s="132"/>
      <c r="P1199" s="154"/>
    </row>
    <row r="1200" spans="1:16" s="28" customFormat="1" x14ac:dyDescent="0.25">
      <c r="A1200" s="53"/>
      <c r="B1200" s="58"/>
      <c r="C1200" s="58"/>
      <c r="D1200" s="35"/>
      <c r="E1200" s="132"/>
      <c r="F1200" s="132"/>
      <c r="G1200" s="132"/>
      <c r="H1200" s="132"/>
      <c r="I1200" s="132"/>
      <c r="J1200" s="132"/>
      <c r="K1200" s="132"/>
      <c r="L1200" s="132"/>
      <c r="M1200" s="132"/>
      <c r="N1200" s="132"/>
      <c r="O1200" s="132"/>
      <c r="P1200" s="154"/>
    </row>
    <row r="1201" spans="1:16" s="28" customFormat="1" x14ac:dyDescent="0.25">
      <c r="A1201" s="53"/>
      <c r="B1201" s="58"/>
      <c r="C1201" s="58"/>
      <c r="D1201" s="35"/>
      <c r="E1201" s="132"/>
      <c r="F1201" s="132"/>
      <c r="G1201" s="132"/>
      <c r="H1201" s="132"/>
      <c r="I1201" s="132"/>
      <c r="J1201" s="132"/>
      <c r="K1201" s="132"/>
      <c r="L1201" s="132"/>
      <c r="M1201" s="132"/>
      <c r="N1201" s="132"/>
      <c r="O1201" s="132"/>
      <c r="P1201" s="154"/>
    </row>
    <row r="1202" spans="1:16" s="28" customFormat="1" x14ac:dyDescent="0.25">
      <c r="A1202" s="53"/>
      <c r="B1202" s="58"/>
      <c r="C1202" s="58"/>
      <c r="D1202" s="35"/>
      <c r="E1202" s="132"/>
      <c r="F1202" s="132"/>
      <c r="G1202" s="132"/>
      <c r="H1202" s="132"/>
      <c r="I1202" s="132"/>
      <c r="J1202" s="132"/>
      <c r="K1202" s="132"/>
      <c r="L1202" s="132"/>
      <c r="M1202" s="132"/>
      <c r="N1202" s="132"/>
      <c r="O1202" s="132"/>
      <c r="P1202" s="154"/>
    </row>
    <row r="1203" spans="1:16" s="28" customFormat="1" x14ac:dyDescent="0.25">
      <c r="A1203" s="53"/>
      <c r="B1203" s="58"/>
      <c r="C1203" s="58"/>
      <c r="D1203" s="35"/>
      <c r="E1203" s="132"/>
      <c r="F1203" s="132"/>
      <c r="G1203" s="132"/>
      <c r="H1203" s="132"/>
      <c r="I1203" s="132"/>
      <c r="J1203" s="132"/>
      <c r="K1203" s="132"/>
      <c r="L1203" s="132"/>
      <c r="M1203" s="132"/>
      <c r="N1203" s="132"/>
      <c r="O1203" s="132"/>
      <c r="P1203" s="154"/>
    </row>
    <row r="1204" spans="1:16" s="28" customFormat="1" x14ac:dyDescent="0.25">
      <c r="A1204" s="53"/>
      <c r="B1204" s="58"/>
      <c r="C1204" s="58"/>
      <c r="D1204" s="35"/>
      <c r="E1204" s="132"/>
      <c r="F1204" s="132"/>
      <c r="G1204" s="132"/>
      <c r="H1204" s="132"/>
      <c r="I1204" s="132"/>
      <c r="J1204" s="132"/>
      <c r="K1204" s="132"/>
      <c r="L1204" s="132"/>
      <c r="M1204" s="132"/>
      <c r="N1204" s="132"/>
      <c r="O1204" s="132"/>
      <c r="P1204" s="154"/>
    </row>
    <row r="1205" spans="1:16" s="28" customFormat="1" x14ac:dyDescent="0.25">
      <c r="A1205" s="53"/>
      <c r="B1205" s="58"/>
      <c r="C1205" s="58"/>
      <c r="D1205" s="35"/>
      <c r="E1205" s="132"/>
      <c r="F1205" s="132"/>
      <c r="G1205" s="132"/>
      <c r="H1205" s="132"/>
      <c r="I1205" s="132"/>
      <c r="J1205" s="132"/>
      <c r="K1205" s="132"/>
      <c r="L1205" s="132"/>
      <c r="M1205" s="132"/>
      <c r="N1205" s="132"/>
      <c r="O1205" s="132"/>
      <c r="P1205" s="154"/>
    </row>
    <row r="1206" spans="1:16" s="28" customFormat="1" x14ac:dyDescent="0.25">
      <c r="A1206" s="53"/>
      <c r="B1206" s="58"/>
      <c r="C1206" s="58"/>
      <c r="D1206" s="35"/>
      <c r="E1206" s="132"/>
      <c r="F1206" s="132"/>
      <c r="G1206" s="132"/>
      <c r="H1206" s="132"/>
      <c r="I1206" s="132"/>
      <c r="J1206" s="132"/>
      <c r="K1206" s="132"/>
      <c r="L1206" s="132"/>
      <c r="M1206" s="132"/>
      <c r="N1206" s="132"/>
      <c r="O1206" s="132"/>
      <c r="P1206" s="154"/>
    </row>
    <row r="1207" spans="1:16" s="28" customFormat="1" x14ac:dyDescent="0.25">
      <c r="A1207" s="53"/>
      <c r="B1207" s="58"/>
      <c r="C1207" s="58"/>
      <c r="D1207" s="35"/>
      <c r="E1207" s="132"/>
      <c r="F1207" s="132"/>
      <c r="G1207" s="132"/>
      <c r="H1207" s="132"/>
      <c r="I1207" s="132"/>
      <c r="J1207" s="132"/>
      <c r="K1207" s="132"/>
      <c r="L1207" s="132"/>
      <c r="M1207" s="132"/>
      <c r="N1207" s="132"/>
      <c r="O1207" s="132"/>
      <c r="P1207" s="154"/>
    </row>
    <row r="1208" spans="1:16" s="28" customFormat="1" x14ac:dyDescent="0.25">
      <c r="A1208" s="53"/>
      <c r="B1208" s="58"/>
      <c r="C1208" s="58"/>
      <c r="D1208" s="35"/>
      <c r="E1208" s="132"/>
      <c r="F1208" s="132"/>
      <c r="G1208" s="132"/>
      <c r="H1208" s="132"/>
      <c r="I1208" s="132"/>
      <c r="J1208" s="132"/>
      <c r="K1208" s="132"/>
      <c r="L1208" s="132"/>
      <c r="M1208" s="132"/>
      <c r="N1208" s="132"/>
      <c r="O1208" s="132"/>
      <c r="P1208" s="154"/>
    </row>
    <row r="1209" spans="1:16" s="28" customFormat="1" x14ac:dyDescent="0.25">
      <c r="A1209" s="53"/>
      <c r="B1209" s="58"/>
      <c r="C1209" s="58"/>
      <c r="D1209" s="35"/>
      <c r="E1209" s="132"/>
      <c r="F1209" s="132"/>
      <c r="G1209" s="132"/>
      <c r="H1209" s="132"/>
      <c r="I1209" s="132"/>
      <c r="J1209" s="132"/>
      <c r="K1209" s="132"/>
      <c r="L1209" s="132"/>
      <c r="M1209" s="132"/>
      <c r="N1209" s="132"/>
      <c r="O1209" s="132"/>
      <c r="P1209" s="154"/>
    </row>
    <row r="1210" spans="1:16" s="28" customFormat="1" x14ac:dyDescent="0.25">
      <c r="A1210" s="53"/>
      <c r="B1210" s="58"/>
      <c r="C1210" s="58"/>
      <c r="D1210" s="35"/>
      <c r="E1210" s="132"/>
      <c r="F1210" s="132"/>
      <c r="G1210" s="132"/>
      <c r="H1210" s="132"/>
      <c r="I1210" s="132"/>
      <c r="J1210" s="132"/>
      <c r="K1210" s="132"/>
      <c r="L1210" s="132"/>
      <c r="M1210" s="132"/>
      <c r="N1210" s="132"/>
      <c r="O1210" s="132"/>
      <c r="P1210" s="154"/>
    </row>
    <row r="1211" spans="1:16" s="28" customFormat="1" x14ac:dyDescent="0.25">
      <c r="A1211" s="53"/>
      <c r="B1211" s="58"/>
      <c r="C1211" s="58"/>
      <c r="D1211" s="35"/>
      <c r="E1211" s="132"/>
      <c r="F1211" s="132"/>
      <c r="G1211" s="132"/>
      <c r="H1211" s="132"/>
      <c r="I1211" s="132"/>
      <c r="J1211" s="132"/>
      <c r="K1211" s="132"/>
      <c r="L1211" s="132"/>
      <c r="M1211" s="132"/>
      <c r="N1211" s="132"/>
      <c r="O1211" s="132"/>
      <c r="P1211" s="154"/>
    </row>
    <row r="1212" spans="1:16" s="28" customFormat="1" x14ac:dyDescent="0.25">
      <c r="A1212" s="53"/>
      <c r="B1212" s="58"/>
      <c r="C1212" s="58"/>
      <c r="D1212" s="35"/>
      <c r="E1212" s="132"/>
      <c r="F1212" s="132"/>
      <c r="G1212" s="132"/>
      <c r="H1212" s="132"/>
      <c r="I1212" s="132"/>
      <c r="J1212" s="132"/>
      <c r="K1212" s="132"/>
      <c r="L1212" s="132"/>
      <c r="M1212" s="132"/>
      <c r="N1212" s="132"/>
      <c r="O1212" s="132"/>
      <c r="P1212" s="154"/>
    </row>
    <row r="1213" spans="1:16" s="28" customFormat="1" x14ac:dyDescent="0.25">
      <c r="A1213" s="53"/>
      <c r="B1213" s="58"/>
      <c r="C1213" s="58"/>
      <c r="D1213" s="35"/>
      <c r="E1213" s="132"/>
      <c r="F1213" s="132"/>
      <c r="G1213" s="132"/>
      <c r="H1213" s="132"/>
      <c r="I1213" s="132"/>
      <c r="J1213" s="132"/>
      <c r="K1213" s="132"/>
      <c r="L1213" s="132"/>
      <c r="M1213" s="132"/>
      <c r="N1213" s="132"/>
      <c r="O1213" s="132"/>
      <c r="P1213" s="154"/>
    </row>
    <row r="1214" spans="1:16" s="28" customFormat="1" x14ac:dyDescent="0.25">
      <c r="A1214" s="53"/>
      <c r="B1214" s="58"/>
      <c r="C1214" s="58"/>
      <c r="D1214" s="35"/>
      <c r="E1214" s="132"/>
      <c r="F1214" s="132"/>
      <c r="G1214" s="132"/>
      <c r="H1214" s="132"/>
      <c r="I1214" s="132"/>
      <c r="J1214" s="132"/>
      <c r="K1214" s="132"/>
      <c r="L1214" s="132"/>
      <c r="M1214" s="132"/>
      <c r="N1214" s="132"/>
      <c r="O1214" s="132"/>
      <c r="P1214" s="154"/>
    </row>
    <row r="1215" spans="1:16" s="28" customFormat="1" x14ac:dyDescent="0.25">
      <c r="A1215" s="53"/>
      <c r="B1215" s="58"/>
      <c r="C1215" s="58"/>
      <c r="D1215" s="35"/>
      <c r="E1215" s="132"/>
      <c r="F1215" s="132"/>
      <c r="G1215" s="132"/>
      <c r="H1215" s="132"/>
      <c r="I1215" s="132"/>
      <c r="J1215" s="132"/>
      <c r="K1215" s="132"/>
      <c r="L1215" s="132"/>
      <c r="M1215" s="132"/>
      <c r="N1215" s="132"/>
      <c r="O1215" s="132"/>
      <c r="P1215" s="154"/>
    </row>
    <row r="1216" spans="1:16" s="28" customFormat="1" x14ac:dyDescent="0.25">
      <c r="A1216" s="53"/>
      <c r="B1216" s="58"/>
      <c r="C1216" s="58"/>
      <c r="D1216" s="35"/>
      <c r="E1216" s="132"/>
      <c r="F1216" s="132"/>
      <c r="G1216" s="132"/>
      <c r="H1216" s="132"/>
      <c r="I1216" s="132"/>
      <c r="J1216" s="132"/>
      <c r="K1216" s="132"/>
      <c r="L1216" s="132"/>
      <c r="M1216" s="132"/>
      <c r="N1216" s="132"/>
      <c r="O1216" s="132"/>
      <c r="P1216" s="154"/>
    </row>
    <row r="1217" spans="1:16" s="28" customFormat="1" x14ac:dyDescent="0.25">
      <c r="A1217" s="53"/>
      <c r="B1217" s="58"/>
      <c r="C1217" s="58"/>
      <c r="D1217" s="35"/>
      <c r="E1217" s="132"/>
      <c r="F1217" s="132"/>
      <c r="G1217" s="132"/>
      <c r="H1217" s="132"/>
      <c r="I1217" s="132"/>
      <c r="J1217" s="132"/>
      <c r="K1217" s="132"/>
      <c r="L1217" s="132"/>
      <c r="M1217" s="132"/>
      <c r="N1217" s="132"/>
      <c r="O1217" s="132"/>
      <c r="P1217" s="154"/>
    </row>
    <row r="1218" spans="1:16" s="28" customFormat="1" x14ac:dyDescent="0.25">
      <c r="A1218" s="53"/>
      <c r="B1218" s="58"/>
      <c r="C1218" s="58"/>
      <c r="D1218" s="35"/>
      <c r="E1218" s="132"/>
      <c r="F1218" s="132"/>
      <c r="G1218" s="132"/>
      <c r="H1218" s="132"/>
      <c r="I1218" s="132"/>
      <c r="J1218" s="132"/>
      <c r="K1218" s="132"/>
      <c r="L1218" s="132"/>
      <c r="M1218" s="132"/>
      <c r="N1218" s="132"/>
      <c r="O1218" s="132"/>
      <c r="P1218" s="154"/>
    </row>
    <row r="1219" spans="1:16" s="28" customFormat="1" x14ac:dyDescent="0.25">
      <c r="A1219" s="53"/>
      <c r="B1219" s="58"/>
      <c r="C1219" s="58"/>
      <c r="D1219" s="35"/>
      <c r="E1219" s="132"/>
      <c r="F1219" s="132"/>
      <c r="G1219" s="132"/>
      <c r="H1219" s="132"/>
      <c r="I1219" s="132"/>
      <c r="J1219" s="132"/>
      <c r="K1219" s="132"/>
      <c r="L1219" s="132"/>
      <c r="M1219" s="132"/>
      <c r="N1219" s="132"/>
      <c r="O1219" s="132"/>
      <c r="P1219" s="154"/>
    </row>
    <row r="1220" spans="1:16" s="28" customFormat="1" x14ac:dyDescent="0.25">
      <c r="A1220" s="53"/>
      <c r="B1220" s="58"/>
      <c r="C1220" s="58"/>
      <c r="D1220" s="35"/>
      <c r="E1220" s="132"/>
      <c r="F1220" s="132"/>
      <c r="G1220" s="132"/>
      <c r="H1220" s="132"/>
      <c r="I1220" s="132"/>
      <c r="J1220" s="132"/>
      <c r="K1220" s="132"/>
      <c r="L1220" s="132"/>
      <c r="M1220" s="132"/>
      <c r="N1220" s="132"/>
      <c r="O1220" s="132"/>
      <c r="P1220" s="154"/>
    </row>
    <row r="1221" spans="1:16" s="28" customFormat="1" x14ac:dyDescent="0.25">
      <c r="A1221" s="53"/>
      <c r="B1221" s="58"/>
      <c r="C1221" s="58"/>
      <c r="D1221" s="35"/>
      <c r="E1221" s="132"/>
      <c r="F1221" s="132"/>
      <c r="G1221" s="132"/>
      <c r="H1221" s="132"/>
      <c r="I1221" s="132"/>
      <c r="J1221" s="132"/>
      <c r="K1221" s="132"/>
      <c r="L1221" s="132"/>
      <c r="M1221" s="132"/>
      <c r="N1221" s="132"/>
      <c r="O1221" s="132"/>
      <c r="P1221" s="154"/>
    </row>
    <row r="1222" spans="1:16" s="28" customFormat="1" x14ac:dyDescent="0.25">
      <c r="A1222" s="53"/>
      <c r="B1222" s="58"/>
      <c r="C1222" s="58"/>
      <c r="D1222" s="35"/>
      <c r="E1222" s="132"/>
      <c r="F1222" s="132"/>
      <c r="G1222" s="132"/>
      <c r="H1222" s="132"/>
      <c r="I1222" s="132"/>
      <c r="J1222" s="132"/>
      <c r="K1222" s="132"/>
      <c r="L1222" s="132"/>
      <c r="M1222" s="132"/>
      <c r="N1222" s="132"/>
      <c r="O1222" s="132"/>
      <c r="P1222" s="154"/>
    </row>
    <row r="1223" spans="1:16" s="28" customFormat="1" x14ac:dyDescent="0.25">
      <c r="A1223" s="53"/>
      <c r="B1223" s="58"/>
      <c r="C1223" s="58"/>
      <c r="D1223" s="35"/>
      <c r="E1223" s="132"/>
      <c r="F1223" s="132"/>
      <c r="G1223" s="132"/>
      <c r="H1223" s="132"/>
      <c r="I1223" s="132"/>
      <c r="J1223" s="132"/>
      <c r="K1223" s="132"/>
      <c r="L1223" s="132"/>
      <c r="M1223" s="132"/>
      <c r="N1223" s="132"/>
      <c r="O1223" s="132"/>
      <c r="P1223" s="154"/>
    </row>
    <row r="1224" spans="1:16" s="28" customFormat="1" x14ac:dyDescent="0.25">
      <c r="A1224" s="53"/>
      <c r="B1224" s="58"/>
      <c r="C1224" s="58"/>
      <c r="D1224" s="35"/>
      <c r="E1224" s="132"/>
      <c r="F1224" s="132"/>
      <c r="G1224" s="132"/>
      <c r="H1224" s="132"/>
      <c r="I1224" s="132"/>
      <c r="J1224" s="132"/>
      <c r="K1224" s="132"/>
      <c r="L1224" s="132"/>
      <c r="M1224" s="132"/>
      <c r="N1224" s="132"/>
      <c r="O1224" s="132"/>
      <c r="P1224" s="154"/>
    </row>
    <row r="1225" spans="1:16" s="28" customFormat="1" x14ac:dyDescent="0.25">
      <c r="A1225" s="53"/>
      <c r="B1225" s="58"/>
      <c r="C1225" s="58"/>
      <c r="D1225" s="35"/>
      <c r="E1225" s="132"/>
      <c r="F1225" s="132"/>
      <c r="G1225" s="132"/>
      <c r="H1225" s="132"/>
      <c r="I1225" s="132"/>
      <c r="J1225" s="132"/>
      <c r="K1225" s="132"/>
      <c r="L1225" s="132"/>
      <c r="M1225" s="132"/>
      <c r="N1225" s="132"/>
      <c r="O1225" s="132"/>
      <c r="P1225" s="154"/>
    </row>
    <row r="1226" spans="1:16" s="28" customFormat="1" x14ac:dyDescent="0.25">
      <c r="A1226" s="53"/>
      <c r="B1226" s="58"/>
      <c r="C1226" s="58"/>
      <c r="D1226" s="35"/>
      <c r="E1226" s="132"/>
      <c r="F1226" s="132"/>
      <c r="G1226" s="132"/>
      <c r="H1226" s="132"/>
      <c r="I1226" s="132"/>
      <c r="J1226" s="132"/>
      <c r="K1226" s="132"/>
      <c r="L1226" s="132"/>
      <c r="M1226" s="132"/>
      <c r="N1226" s="132"/>
      <c r="O1226" s="132"/>
      <c r="P1226" s="154"/>
    </row>
    <row r="1227" spans="1:16" s="28" customFormat="1" x14ac:dyDescent="0.25">
      <c r="A1227" s="53"/>
      <c r="B1227" s="58"/>
      <c r="C1227" s="58"/>
      <c r="D1227" s="35"/>
      <c r="E1227" s="132"/>
      <c r="F1227" s="132"/>
      <c r="G1227" s="132"/>
      <c r="H1227" s="132"/>
      <c r="I1227" s="132"/>
      <c r="J1227" s="132"/>
      <c r="K1227" s="132"/>
      <c r="L1227" s="132"/>
      <c r="M1227" s="132"/>
      <c r="N1227" s="132"/>
      <c r="O1227" s="132"/>
      <c r="P1227" s="154"/>
    </row>
    <row r="1228" spans="1:16" s="28" customFormat="1" x14ac:dyDescent="0.25">
      <c r="A1228" s="53"/>
      <c r="B1228" s="58"/>
      <c r="C1228" s="58"/>
      <c r="D1228" s="35"/>
      <c r="E1228" s="132"/>
      <c r="F1228" s="132"/>
      <c r="G1228" s="132"/>
      <c r="H1228" s="132"/>
      <c r="I1228" s="132"/>
      <c r="J1228" s="132"/>
      <c r="K1228" s="132"/>
      <c r="L1228" s="132"/>
      <c r="M1228" s="132"/>
      <c r="N1228" s="132"/>
      <c r="O1228" s="132"/>
      <c r="P1228" s="154"/>
    </row>
    <row r="1229" spans="1:16" s="28" customFormat="1" x14ac:dyDescent="0.25">
      <c r="A1229" s="53"/>
      <c r="B1229" s="58"/>
      <c r="C1229" s="58"/>
      <c r="D1229" s="35"/>
      <c r="E1229" s="132"/>
      <c r="F1229" s="132"/>
      <c r="G1229" s="132"/>
      <c r="H1229" s="132"/>
      <c r="I1229" s="132"/>
      <c r="J1229" s="132"/>
      <c r="K1229" s="132"/>
      <c r="L1229" s="132"/>
      <c r="M1229" s="132"/>
      <c r="N1229" s="132"/>
      <c r="O1229" s="132"/>
      <c r="P1229" s="154"/>
    </row>
    <row r="1230" spans="1:16" s="28" customFormat="1" x14ac:dyDescent="0.25">
      <c r="A1230" s="53"/>
      <c r="B1230" s="58"/>
      <c r="C1230" s="58"/>
      <c r="D1230" s="35"/>
      <c r="E1230" s="132"/>
      <c r="F1230" s="132"/>
      <c r="G1230" s="132"/>
      <c r="H1230" s="132"/>
      <c r="I1230" s="132"/>
      <c r="J1230" s="132"/>
      <c r="K1230" s="132"/>
      <c r="L1230" s="132"/>
      <c r="M1230" s="132"/>
      <c r="N1230" s="132"/>
      <c r="O1230" s="132"/>
      <c r="P1230" s="154"/>
    </row>
    <row r="1231" spans="1:16" s="28" customFormat="1" x14ac:dyDescent="0.25">
      <c r="A1231" s="53"/>
      <c r="B1231" s="58"/>
      <c r="C1231" s="58"/>
      <c r="D1231" s="35"/>
      <c r="E1231" s="132"/>
      <c r="F1231" s="132"/>
      <c r="G1231" s="132"/>
      <c r="H1231" s="132"/>
      <c r="I1231" s="132"/>
      <c r="J1231" s="132"/>
      <c r="K1231" s="132"/>
      <c r="L1231" s="132"/>
      <c r="M1231" s="132"/>
      <c r="N1231" s="132"/>
      <c r="O1231" s="132"/>
      <c r="P1231" s="154"/>
    </row>
    <row r="1232" spans="1:16" s="28" customFormat="1" x14ac:dyDescent="0.25">
      <c r="A1232" s="53"/>
      <c r="B1232" s="58"/>
      <c r="C1232" s="58"/>
      <c r="D1232" s="35"/>
      <c r="E1232" s="132"/>
      <c r="F1232" s="132"/>
      <c r="G1232" s="132"/>
      <c r="H1232" s="132"/>
      <c r="I1232" s="132"/>
      <c r="J1232" s="132"/>
      <c r="K1232" s="132"/>
      <c r="L1232" s="132"/>
      <c r="M1232" s="132"/>
      <c r="N1232" s="132"/>
      <c r="O1232" s="132"/>
      <c r="P1232" s="154"/>
    </row>
    <row r="1233" spans="1:16" s="28" customFormat="1" x14ac:dyDescent="0.25">
      <c r="A1233" s="53"/>
      <c r="B1233" s="58"/>
      <c r="C1233" s="58"/>
      <c r="D1233" s="35"/>
      <c r="E1233" s="132"/>
      <c r="F1233" s="132"/>
      <c r="G1233" s="132"/>
      <c r="H1233" s="132"/>
      <c r="I1233" s="132"/>
      <c r="J1233" s="132"/>
      <c r="K1233" s="132"/>
      <c r="L1233" s="132"/>
      <c r="M1233" s="132"/>
      <c r="N1233" s="132"/>
      <c r="O1233" s="132"/>
      <c r="P1233" s="154"/>
    </row>
    <row r="1234" spans="1:16" s="28" customFormat="1" x14ac:dyDescent="0.25">
      <c r="A1234" s="53"/>
      <c r="B1234" s="58"/>
      <c r="C1234" s="58"/>
      <c r="D1234" s="35"/>
      <c r="E1234" s="132"/>
      <c r="F1234" s="132"/>
      <c r="G1234" s="132"/>
      <c r="H1234" s="132"/>
      <c r="I1234" s="132"/>
      <c r="J1234" s="132"/>
      <c r="K1234" s="132"/>
      <c r="L1234" s="132"/>
      <c r="M1234" s="132"/>
      <c r="N1234" s="132"/>
      <c r="O1234" s="132"/>
      <c r="P1234" s="154"/>
    </row>
    <row r="1235" spans="1:16" s="28" customFormat="1" x14ac:dyDescent="0.25">
      <c r="A1235" s="53"/>
      <c r="B1235" s="58"/>
      <c r="C1235" s="58"/>
      <c r="D1235" s="35"/>
      <c r="E1235" s="132"/>
      <c r="F1235" s="132"/>
      <c r="G1235" s="132"/>
      <c r="H1235" s="132"/>
      <c r="I1235" s="132"/>
      <c r="J1235" s="132"/>
      <c r="K1235" s="132"/>
      <c r="L1235" s="132"/>
      <c r="M1235" s="132"/>
      <c r="N1235" s="132"/>
      <c r="O1235" s="132"/>
      <c r="P1235" s="154"/>
    </row>
    <row r="1236" spans="1:16" s="28" customFormat="1" x14ac:dyDescent="0.25">
      <c r="A1236" s="53"/>
      <c r="B1236" s="58"/>
      <c r="C1236" s="58"/>
      <c r="D1236" s="35"/>
      <c r="E1236" s="132"/>
      <c r="F1236" s="132"/>
      <c r="G1236" s="132"/>
      <c r="H1236" s="132"/>
      <c r="I1236" s="132"/>
      <c r="J1236" s="132"/>
      <c r="K1236" s="132"/>
      <c r="L1236" s="132"/>
      <c r="M1236" s="132"/>
      <c r="N1236" s="132"/>
      <c r="O1236" s="132"/>
      <c r="P1236" s="154"/>
    </row>
    <row r="1237" spans="1:16" s="28" customFormat="1" x14ac:dyDescent="0.25">
      <c r="A1237" s="53"/>
      <c r="B1237" s="58"/>
      <c r="C1237" s="58"/>
      <c r="D1237" s="35"/>
      <c r="E1237" s="132"/>
      <c r="F1237" s="132"/>
      <c r="G1237" s="132"/>
      <c r="H1237" s="132"/>
      <c r="I1237" s="132"/>
      <c r="J1237" s="132"/>
      <c r="K1237" s="132"/>
      <c r="L1237" s="132"/>
      <c r="M1237" s="132"/>
      <c r="N1237" s="132"/>
      <c r="O1237" s="132"/>
      <c r="P1237" s="154"/>
    </row>
    <row r="1238" spans="1:16" s="28" customFormat="1" x14ac:dyDescent="0.25">
      <c r="A1238" s="53"/>
      <c r="B1238" s="58"/>
      <c r="C1238" s="58"/>
      <c r="D1238" s="35"/>
      <c r="E1238" s="132"/>
      <c r="F1238" s="132"/>
      <c r="G1238" s="132"/>
      <c r="H1238" s="132"/>
      <c r="I1238" s="132"/>
      <c r="J1238" s="132"/>
      <c r="K1238" s="132"/>
      <c r="L1238" s="132"/>
      <c r="M1238" s="132"/>
      <c r="N1238" s="132"/>
      <c r="O1238" s="132"/>
      <c r="P1238" s="154"/>
    </row>
    <row r="1239" spans="1:16" s="28" customFormat="1" x14ac:dyDescent="0.25">
      <c r="A1239" s="53"/>
      <c r="B1239" s="58"/>
      <c r="C1239" s="58"/>
      <c r="D1239" s="35"/>
      <c r="E1239" s="132"/>
      <c r="F1239" s="132"/>
      <c r="G1239" s="132"/>
      <c r="H1239" s="132"/>
      <c r="I1239" s="132"/>
      <c r="J1239" s="132"/>
      <c r="K1239" s="132"/>
      <c r="L1239" s="132"/>
      <c r="M1239" s="132"/>
      <c r="N1239" s="132"/>
      <c r="O1239" s="132"/>
      <c r="P1239" s="154"/>
    </row>
    <row r="1240" spans="1:16" s="28" customFormat="1" x14ac:dyDescent="0.25">
      <c r="A1240" s="53"/>
      <c r="B1240" s="58"/>
      <c r="C1240" s="58"/>
      <c r="D1240" s="35"/>
      <c r="E1240" s="132"/>
      <c r="F1240" s="132"/>
      <c r="G1240" s="132"/>
      <c r="H1240" s="132"/>
      <c r="I1240" s="132"/>
      <c r="J1240" s="132"/>
      <c r="K1240" s="132"/>
      <c r="L1240" s="132"/>
      <c r="M1240" s="132"/>
      <c r="N1240" s="132"/>
      <c r="O1240" s="132"/>
      <c r="P1240" s="154"/>
    </row>
    <row r="1241" spans="1:16" s="28" customFormat="1" x14ac:dyDescent="0.25">
      <c r="A1241" s="53"/>
      <c r="B1241" s="58"/>
      <c r="C1241" s="58"/>
      <c r="D1241" s="35"/>
      <c r="E1241" s="132"/>
      <c r="F1241" s="132"/>
      <c r="G1241" s="132"/>
      <c r="H1241" s="132"/>
      <c r="I1241" s="132"/>
      <c r="J1241" s="132"/>
      <c r="K1241" s="132"/>
      <c r="L1241" s="132"/>
      <c r="M1241" s="132"/>
      <c r="N1241" s="132"/>
      <c r="O1241" s="132"/>
      <c r="P1241" s="154"/>
    </row>
    <row r="1242" spans="1:16" s="28" customFormat="1" x14ac:dyDescent="0.25">
      <c r="A1242" s="53"/>
      <c r="B1242" s="58"/>
      <c r="C1242" s="58"/>
      <c r="D1242" s="35"/>
      <c r="E1242" s="132"/>
      <c r="F1242" s="132"/>
      <c r="G1242" s="132"/>
      <c r="H1242" s="132"/>
      <c r="I1242" s="132"/>
      <c r="J1242" s="132"/>
      <c r="K1242" s="132"/>
      <c r="L1242" s="132"/>
      <c r="M1242" s="132"/>
      <c r="N1242" s="132"/>
      <c r="O1242" s="132"/>
      <c r="P1242" s="154"/>
    </row>
    <row r="1243" spans="1:16" s="28" customFormat="1" x14ac:dyDescent="0.25">
      <c r="A1243" s="53"/>
      <c r="B1243" s="58"/>
      <c r="C1243" s="58"/>
      <c r="D1243" s="35"/>
      <c r="E1243" s="132"/>
      <c r="F1243" s="132"/>
      <c r="G1243" s="132"/>
      <c r="H1243" s="132"/>
      <c r="I1243" s="132"/>
      <c r="J1243" s="132"/>
      <c r="K1243" s="132"/>
      <c r="L1243" s="132"/>
      <c r="M1243" s="132"/>
      <c r="N1243" s="132"/>
      <c r="O1243" s="132"/>
      <c r="P1243" s="154"/>
    </row>
    <row r="1244" spans="1:16" s="28" customFormat="1" x14ac:dyDescent="0.25">
      <c r="A1244" s="53"/>
      <c r="B1244" s="58"/>
      <c r="C1244" s="58"/>
      <c r="D1244" s="35"/>
      <c r="E1244" s="132"/>
      <c r="F1244" s="132"/>
      <c r="G1244" s="132"/>
      <c r="H1244" s="132"/>
      <c r="I1244" s="132"/>
      <c r="J1244" s="132"/>
      <c r="K1244" s="132"/>
      <c r="L1244" s="132"/>
      <c r="M1244" s="132"/>
      <c r="N1244" s="132"/>
      <c r="O1244" s="132"/>
      <c r="P1244" s="154"/>
    </row>
    <row r="1245" spans="1:16" s="28" customFormat="1" x14ac:dyDescent="0.25">
      <c r="A1245" s="53"/>
      <c r="B1245" s="58"/>
      <c r="C1245" s="58"/>
      <c r="D1245" s="35"/>
      <c r="E1245" s="132"/>
      <c r="F1245" s="132"/>
      <c r="G1245" s="132"/>
      <c r="H1245" s="132"/>
      <c r="I1245" s="132"/>
      <c r="J1245" s="132"/>
      <c r="K1245" s="132"/>
      <c r="L1245" s="132"/>
      <c r="M1245" s="132"/>
      <c r="N1245" s="132"/>
      <c r="O1245" s="132"/>
      <c r="P1245" s="154"/>
    </row>
    <row r="1246" spans="1:16" s="28" customFormat="1" x14ac:dyDescent="0.25">
      <c r="A1246" s="53"/>
      <c r="B1246" s="58"/>
      <c r="C1246" s="58"/>
      <c r="D1246" s="35"/>
      <c r="E1246" s="132"/>
      <c r="F1246" s="132"/>
      <c r="G1246" s="132"/>
      <c r="H1246" s="132"/>
      <c r="I1246" s="132"/>
      <c r="J1246" s="132"/>
      <c r="K1246" s="132"/>
      <c r="L1246" s="132"/>
      <c r="M1246" s="132"/>
      <c r="N1246" s="132"/>
      <c r="O1246" s="132"/>
      <c r="P1246" s="154"/>
    </row>
    <row r="1247" spans="1:16" s="28" customFormat="1" x14ac:dyDescent="0.25">
      <c r="A1247" s="53"/>
      <c r="B1247" s="58"/>
      <c r="C1247" s="58"/>
      <c r="D1247" s="35"/>
      <c r="E1247" s="132"/>
      <c r="F1247" s="132"/>
      <c r="G1247" s="132"/>
      <c r="H1247" s="132"/>
      <c r="I1247" s="132"/>
      <c r="J1247" s="132"/>
      <c r="K1247" s="132"/>
      <c r="L1247" s="132"/>
      <c r="M1247" s="132"/>
      <c r="N1247" s="132"/>
      <c r="O1247" s="132"/>
      <c r="P1247" s="154"/>
    </row>
    <row r="1248" spans="1:16" s="28" customFormat="1" x14ac:dyDescent="0.25">
      <c r="A1248" s="53"/>
      <c r="B1248" s="58"/>
      <c r="C1248" s="58"/>
      <c r="D1248" s="35"/>
      <c r="E1248" s="132"/>
      <c r="F1248" s="132"/>
      <c r="G1248" s="132"/>
      <c r="H1248" s="132"/>
      <c r="I1248" s="132"/>
      <c r="J1248" s="132"/>
      <c r="K1248" s="132"/>
      <c r="L1248" s="132"/>
      <c r="M1248" s="132"/>
      <c r="N1248" s="132"/>
      <c r="O1248" s="132"/>
      <c r="P1248" s="154"/>
    </row>
    <row r="1249" spans="1:16" s="28" customFormat="1" x14ac:dyDescent="0.25">
      <c r="A1249" s="53"/>
      <c r="B1249" s="58"/>
      <c r="C1249" s="58"/>
      <c r="D1249" s="35"/>
      <c r="E1249" s="132"/>
      <c r="F1249" s="132"/>
      <c r="G1249" s="132"/>
      <c r="H1249" s="132"/>
      <c r="I1249" s="132"/>
      <c r="J1249" s="132"/>
      <c r="K1249" s="132"/>
      <c r="L1249" s="132"/>
      <c r="M1249" s="132"/>
      <c r="N1249" s="132"/>
      <c r="O1249" s="132"/>
      <c r="P1249" s="154"/>
    </row>
    <row r="1250" spans="1:16" s="28" customFormat="1" x14ac:dyDescent="0.25">
      <c r="A1250" s="53"/>
      <c r="B1250" s="58"/>
      <c r="C1250" s="58"/>
      <c r="D1250" s="35"/>
      <c r="E1250" s="132"/>
      <c r="F1250" s="132"/>
      <c r="G1250" s="132"/>
      <c r="H1250" s="132"/>
      <c r="I1250" s="132"/>
      <c r="J1250" s="132"/>
      <c r="K1250" s="132"/>
      <c r="L1250" s="132"/>
      <c r="M1250" s="132"/>
      <c r="N1250" s="132"/>
      <c r="O1250" s="132"/>
      <c r="P1250" s="154"/>
    </row>
    <row r="1251" spans="1:16" s="28" customFormat="1" x14ac:dyDescent="0.25">
      <c r="A1251" s="53"/>
      <c r="B1251" s="58"/>
      <c r="C1251" s="58"/>
      <c r="D1251" s="35"/>
      <c r="E1251" s="132"/>
      <c r="F1251" s="132"/>
      <c r="G1251" s="132"/>
      <c r="H1251" s="132"/>
      <c r="I1251" s="132"/>
      <c r="J1251" s="132"/>
      <c r="K1251" s="132"/>
      <c r="L1251" s="132"/>
      <c r="M1251" s="132"/>
      <c r="N1251" s="132"/>
      <c r="O1251" s="132"/>
      <c r="P1251" s="154"/>
    </row>
    <row r="1252" spans="1:16" s="28" customFormat="1" x14ac:dyDescent="0.25">
      <c r="A1252" s="53"/>
      <c r="B1252" s="58"/>
      <c r="C1252" s="58"/>
      <c r="D1252" s="35"/>
      <c r="E1252" s="132"/>
      <c r="F1252" s="132"/>
      <c r="G1252" s="132"/>
      <c r="H1252" s="132"/>
      <c r="I1252" s="132"/>
      <c r="J1252" s="132"/>
      <c r="K1252" s="132"/>
      <c r="L1252" s="132"/>
      <c r="M1252" s="132"/>
      <c r="N1252" s="132"/>
      <c r="O1252" s="132"/>
      <c r="P1252" s="154"/>
    </row>
    <row r="1253" spans="1:16" s="28" customFormat="1" x14ac:dyDescent="0.25">
      <c r="A1253" s="53"/>
      <c r="B1253" s="58"/>
      <c r="C1253" s="58"/>
      <c r="D1253" s="35"/>
      <c r="E1253" s="132"/>
      <c r="F1253" s="132"/>
      <c r="G1253" s="132"/>
      <c r="H1253" s="132"/>
      <c r="I1253" s="132"/>
      <c r="J1253" s="132"/>
      <c r="K1253" s="132"/>
      <c r="L1253" s="132"/>
      <c r="M1253" s="132"/>
      <c r="N1253" s="132"/>
      <c r="O1253" s="132"/>
      <c r="P1253" s="154"/>
    </row>
    <row r="1254" spans="1:16" s="28" customFormat="1" x14ac:dyDescent="0.25">
      <c r="A1254" s="53"/>
      <c r="B1254" s="58"/>
      <c r="C1254" s="58"/>
      <c r="D1254" s="35"/>
      <c r="E1254" s="132"/>
      <c r="F1254" s="132"/>
      <c r="G1254" s="132"/>
      <c r="H1254" s="132"/>
      <c r="I1254" s="132"/>
      <c r="J1254" s="132"/>
      <c r="K1254" s="132"/>
      <c r="L1254" s="132"/>
      <c r="M1254" s="132"/>
      <c r="N1254" s="132"/>
      <c r="O1254" s="132"/>
      <c r="P1254" s="154"/>
    </row>
    <row r="1255" spans="1:16" s="28" customFormat="1" x14ac:dyDescent="0.25">
      <c r="A1255" s="53"/>
      <c r="B1255" s="58"/>
      <c r="C1255" s="58"/>
      <c r="D1255" s="35"/>
      <c r="E1255" s="132"/>
      <c r="F1255" s="132"/>
      <c r="G1255" s="132"/>
      <c r="H1255" s="132"/>
      <c r="I1255" s="132"/>
      <c r="J1255" s="132"/>
      <c r="K1255" s="132"/>
      <c r="L1255" s="132"/>
      <c r="M1255" s="132"/>
      <c r="N1255" s="132"/>
      <c r="O1255" s="132"/>
      <c r="P1255" s="154"/>
    </row>
    <row r="1256" spans="1:16" s="28" customFormat="1" x14ac:dyDescent="0.25">
      <c r="A1256" s="53"/>
      <c r="B1256" s="58"/>
      <c r="C1256" s="58"/>
      <c r="D1256" s="35"/>
      <c r="E1256" s="132"/>
      <c r="F1256" s="132"/>
      <c r="G1256" s="132"/>
      <c r="H1256" s="132"/>
      <c r="I1256" s="132"/>
      <c r="J1256" s="132"/>
      <c r="K1256" s="132"/>
      <c r="L1256" s="132"/>
      <c r="M1256" s="132"/>
      <c r="N1256" s="132"/>
      <c r="O1256" s="132"/>
      <c r="P1256" s="154"/>
    </row>
    <row r="1257" spans="1:16" s="28" customFormat="1" x14ac:dyDescent="0.25">
      <c r="A1257" s="53"/>
      <c r="B1257" s="58"/>
      <c r="C1257" s="58"/>
      <c r="D1257" s="35"/>
      <c r="E1257" s="132"/>
      <c r="F1257" s="132"/>
      <c r="G1257" s="132"/>
      <c r="H1257" s="132"/>
      <c r="I1257" s="132"/>
      <c r="J1257" s="132"/>
      <c r="K1257" s="132"/>
      <c r="L1257" s="132"/>
      <c r="M1257" s="132"/>
      <c r="N1257" s="132"/>
      <c r="O1257" s="132"/>
      <c r="P1257" s="154"/>
    </row>
    <row r="1258" spans="1:16" s="28" customFormat="1" x14ac:dyDescent="0.25">
      <c r="A1258" s="53"/>
      <c r="B1258" s="58"/>
      <c r="C1258" s="58"/>
      <c r="D1258" s="35"/>
      <c r="E1258" s="132"/>
      <c r="F1258" s="132"/>
      <c r="G1258" s="132"/>
      <c r="H1258" s="132"/>
      <c r="I1258" s="132"/>
      <c r="J1258" s="132"/>
      <c r="K1258" s="132"/>
      <c r="L1258" s="132"/>
      <c r="M1258" s="132"/>
      <c r="N1258" s="132"/>
      <c r="O1258" s="132"/>
      <c r="P1258" s="154"/>
    </row>
    <row r="1259" spans="1:16" s="28" customFormat="1" x14ac:dyDescent="0.25">
      <c r="A1259" s="53"/>
      <c r="B1259" s="58"/>
      <c r="C1259" s="58"/>
      <c r="D1259" s="35"/>
      <c r="E1259" s="132"/>
      <c r="F1259" s="132"/>
      <c r="G1259" s="132"/>
      <c r="H1259" s="132"/>
      <c r="I1259" s="132"/>
      <c r="J1259" s="132"/>
      <c r="K1259" s="132"/>
      <c r="L1259" s="132"/>
      <c r="M1259" s="132"/>
      <c r="N1259" s="132"/>
      <c r="O1259" s="132"/>
      <c r="P1259" s="154"/>
    </row>
    <row r="1260" spans="1:16" s="28" customFormat="1" x14ac:dyDescent="0.25">
      <c r="A1260" s="53"/>
      <c r="B1260" s="58"/>
      <c r="C1260" s="58"/>
      <c r="D1260" s="35"/>
      <c r="E1260" s="132"/>
      <c r="F1260" s="132"/>
      <c r="G1260" s="132"/>
      <c r="H1260" s="132"/>
      <c r="I1260" s="132"/>
      <c r="J1260" s="132"/>
      <c r="K1260" s="132"/>
      <c r="L1260" s="132"/>
      <c r="M1260" s="132"/>
      <c r="N1260" s="132"/>
      <c r="O1260" s="132"/>
      <c r="P1260" s="154"/>
    </row>
    <row r="1261" spans="1:16" s="28" customFormat="1" x14ac:dyDescent="0.25">
      <c r="A1261" s="53"/>
      <c r="B1261" s="58"/>
      <c r="C1261" s="58"/>
      <c r="D1261" s="35"/>
      <c r="E1261" s="132"/>
      <c r="F1261" s="132"/>
      <c r="G1261" s="132"/>
      <c r="H1261" s="132"/>
      <c r="I1261" s="132"/>
      <c r="J1261" s="132"/>
      <c r="K1261" s="132"/>
      <c r="L1261" s="132"/>
      <c r="M1261" s="132"/>
      <c r="N1261" s="132"/>
      <c r="O1261" s="132"/>
      <c r="P1261" s="154"/>
    </row>
    <row r="1262" spans="1:16" s="28" customFormat="1" x14ac:dyDescent="0.25">
      <c r="A1262" s="53"/>
      <c r="B1262" s="58"/>
      <c r="C1262" s="58"/>
      <c r="D1262" s="35"/>
      <c r="E1262" s="132"/>
      <c r="F1262" s="132"/>
      <c r="G1262" s="132"/>
      <c r="H1262" s="132"/>
      <c r="I1262" s="132"/>
      <c r="J1262" s="132"/>
      <c r="K1262" s="132"/>
      <c r="L1262" s="132"/>
      <c r="M1262" s="132"/>
      <c r="N1262" s="132"/>
      <c r="O1262" s="132"/>
      <c r="P1262" s="154"/>
    </row>
    <row r="1263" spans="1:16" s="28" customFormat="1" x14ac:dyDescent="0.25">
      <c r="A1263" s="53"/>
      <c r="B1263" s="58"/>
      <c r="C1263" s="58"/>
      <c r="D1263" s="35"/>
      <c r="E1263" s="132"/>
      <c r="F1263" s="132"/>
      <c r="G1263" s="132"/>
      <c r="H1263" s="132"/>
      <c r="I1263" s="132"/>
      <c r="J1263" s="132"/>
      <c r="K1263" s="132"/>
      <c r="L1263" s="132"/>
      <c r="M1263" s="132"/>
      <c r="N1263" s="132"/>
      <c r="O1263" s="132"/>
      <c r="P1263" s="154"/>
    </row>
    <row r="1264" spans="1:16" s="28" customFormat="1" x14ac:dyDescent="0.25">
      <c r="A1264" s="53"/>
      <c r="B1264" s="58"/>
      <c r="C1264" s="58"/>
      <c r="D1264" s="35"/>
      <c r="E1264" s="132"/>
      <c r="F1264" s="132"/>
      <c r="G1264" s="132"/>
      <c r="H1264" s="132"/>
      <c r="I1264" s="132"/>
      <c r="J1264" s="132"/>
      <c r="K1264" s="132"/>
      <c r="L1264" s="132"/>
      <c r="M1264" s="132"/>
      <c r="N1264" s="132"/>
      <c r="O1264" s="132"/>
      <c r="P1264" s="154"/>
    </row>
    <row r="1265" spans="1:16" s="28" customFormat="1" x14ac:dyDescent="0.25">
      <c r="A1265" s="53"/>
      <c r="B1265" s="58"/>
      <c r="C1265" s="58"/>
      <c r="D1265" s="35"/>
      <c r="E1265" s="132"/>
      <c r="F1265" s="132"/>
      <c r="G1265" s="132"/>
      <c r="H1265" s="132"/>
      <c r="I1265" s="132"/>
      <c r="J1265" s="132"/>
      <c r="K1265" s="132"/>
      <c r="L1265" s="132"/>
      <c r="M1265" s="132"/>
      <c r="N1265" s="132"/>
      <c r="O1265" s="132"/>
      <c r="P1265" s="154"/>
    </row>
    <row r="1266" spans="1:16" s="28" customFormat="1" x14ac:dyDescent="0.25">
      <c r="A1266" s="53"/>
      <c r="B1266" s="58"/>
      <c r="C1266" s="58"/>
      <c r="D1266" s="35"/>
      <c r="E1266" s="132"/>
      <c r="F1266" s="132"/>
      <c r="G1266" s="132"/>
      <c r="H1266" s="132"/>
      <c r="I1266" s="132"/>
      <c r="J1266" s="132"/>
      <c r="K1266" s="132"/>
      <c r="L1266" s="132"/>
      <c r="M1266" s="132"/>
      <c r="N1266" s="132"/>
      <c r="O1266" s="132"/>
      <c r="P1266" s="154"/>
    </row>
    <row r="1267" spans="1:16" s="28" customFormat="1" x14ac:dyDescent="0.25">
      <c r="A1267" s="53"/>
      <c r="B1267" s="58"/>
      <c r="C1267" s="58"/>
      <c r="D1267" s="35"/>
      <c r="E1267" s="132"/>
      <c r="F1267" s="132"/>
      <c r="G1267" s="132"/>
      <c r="H1267" s="132"/>
      <c r="I1267" s="132"/>
      <c r="J1267" s="132"/>
      <c r="K1267" s="132"/>
      <c r="L1267" s="132"/>
      <c r="M1267" s="132"/>
      <c r="N1267" s="132"/>
      <c r="O1267" s="132"/>
      <c r="P1267" s="154"/>
    </row>
    <row r="1268" spans="1:16" s="28" customFormat="1" x14ac:dyDescent="0.25">
      <c r="A1268" s="53"/>
      <c r="B1268" s="58"/>
      <c r="C1268" s="58"/>
      <c r="D1268" s="35"/>
      <c r="E1268" s="132"/>
      <c r="F1268" s="132"/>
      <c r="G1268" s="132"/>
      <c r="H1268" s="132"/>
      <c r="I1268" s="132"/>
      <c r="J1268" s="132"/>
      <c r="K1268" s="132"/>
      <c r="L1268" s="132"/>
      <c r="M1268" s="132"/>
      <c r="N1268" s="132"/>
      <c r="O1268" s="132"/>
      <c r="P1268" s="154"/>
    </row>
    <row r="1269" spans="1:16" s="28" customFormat="1" x14ac:dyDescent="0.25">
      <c r="A1269" s="53"/>
      <c r="B1269" s="58"/>
      <c r="C1269" s="58"/>
      <c r="D1269" s="35"/>
      <c r="E1269" s="132"/>
      <c r="F1269" s="132"/>
      <c r="G1269" s="132"/>
      <c r="H1269" s="132"/>
      <c r="I1269" s="132"/>
      <c r="J1269" s="132"/>
      <c r="K1269" s="132"/>
      <c r="L1269" s="132"/>
      <c r="M1269" s="132"/>
      <c r="N1269" s="132"/>
      <c r="O1269" s="132"/>
      <c r="P1269" s="154"/>
    </row>
    <row r="1270" spans="1:16" s="28" customFormat="1" x14ac:dyDescent="0.25">
      <c r="A1270" s="53"/>
      <c r="B1270" s="58"/>
      <c r="C1270" s="58"/>
      <c r="D1270" s="35"/>
      <c r="E1270" s="132"/>
      <c r="F1270" s="132"/>
      <c r="G1270" s="132"/>
      <c r="H1270" s="132"/>
      <c r="I1270" s="132"/>
      <c r="J1270" s="132"/>
      <c r="K1270" s="132"/>
      <c r="L1270" s="132"/>
      <c r="M1270" s="132"/>
      <c r="N1270" s="132"/>
      <c r="O1270" s="132"/>
      <c r="P1270" s="154"/>
    </row>
    <row r="1271" spans="1:16" s="28" customFormat="1" x14ac:dyDescent="0.25">
      <c r="A1271" s="53"/>
      <c r="B1271" s="58"/>
      <c r="C1271" s="58"/>
      <c r="D1271" s="35"/>
      <c r="E1271" s="132"/>
      <c r="F1271" s="132"/>
      <c r="G1271" s="132"/>
      <c r="H1271" s="132"/>
      <c r="I1271" s="132"/>
      <c r="J1271" s="132"/>
      <c r="K1271" s="132"/>
      <c r="L1271" s="132"/>
      <c r="M1271" s="132"/>
      <c r="N1271" s="132"/>
      <c r="O1271" s="132"/>
      <c r="P1271" s="154"/>
    </row>
    <row r="1272" spans="1:16" s="28" customFormat="1" x14ac:dyDescent="0.25">
      <c r="A1272" s="53"/>
      <c r="B1272" s="58"/>
      <c r="C1272" s="58"/>
      <c r="D1272" s="35"/>
      <c r="E1272" s="132"/>
      <c r="F1272" s="132"/>
      <c r="G1272" s="132"/>
      <c r="H1272" s="132"/>
      <c r="I1272" s="132"/>
      <c r="J1272" s="132"/>
      <c r="K1272" s="132"/>
      <c r="L1272" s="132"/>
      <c r="M1272" s="132"/>
      <c r="N1272" s="132"/>
      <c r="O1272" s="132"/>
      <c r="P1272" s="154"/>
    </row>
    <row r="1273" spans="1:16" s="28" customFormat="1" x14ac:dyDescent="0.25">
      <c r="A1273" s="53"/>
      <c r="B1273" s="58"/>
      <c r="C1273" s="58"/>
      <c r="D1273" s="35"/>
      <c r="E1273" s="132"/>
      <c r="F1273" s="132"/>
      <c r="G1273" s="132"/>
      <c r="H1273" s="132"/>
      <c r="I1273" s="132"/>
      <c r="J1273" s="132"/>
      <c r="K1273" s="132"/>
      <c r="L1273" s="132"/>
      <c r="M1273" s="132"/>
      <c r="N1273" s="132"/>
      <c r="O1273" s="132"/>
      <c r="P1273" s="154"/>
    </row>
    <row r="1274" spans="1:16" s="28" customFormat="1" x14ac:dyDescent="0.25">
      <c r="A1274" s="53"/>
      <c r="B1274" s="58"/>
      <c r="C1274" s="58"/>
      <c r="D1274" s="35"/>
      <c r="E1274" s="132"/>
      <c r="F1274" s="132"/>
      <c r="G1274" s="132"/>
      <c r="H1274" s="132"/>
      <c r="I1274" s="132"/>
      <c r="J1274" s="132"/>
      <c r="K1274" s="132"/>
      <c r="L1274" s="132"/>
      <c r="M1274" s="132"/>
      <c r="N1274" s="132"/>
      <c r="O1274" s="132"/>
      <c r="P1274" s="154"/>
    </row>
    <row r="1275" spans="1:16" s="28" customFormat="1" x14ac:dyDescent="0.25">
      <c r="A1275" s="53"/>
      <c r="B1275" s="58"/>
      <c r="C1275" s="58"/>
      <c r="D1275" s="35"/>
      <c r="E1275" s="132"/>
      <c r="F1275" s="132"/>
      <c r="G1275" s="132"/>
      <c r="H1275" s="132"/>
      <c r="I1275" s="132"/>
      <c r="J1275" s="132"/>
      <c r="K1275" s="132"/>
      <c r="L1275" s="132"/>
      <c r="M1275" s="132"/>
      <c r="N1275" s="132"/>
      <c r="O1275" s="132"/>
      <c r="P1275" s="154"/>
    </row>
    <row r="1276" spans="1:16" s="28" customFormat="1" x14ac:dyDescent="0.25">
      <c r="A1276" s="53"/>
      <c r="B1276" s="58"/>
      <c r="C1276" s="58"/>
      <c r="D1276" s="35"/>
      <c r="E1276" s="132"/>
      <c r="F1276" s="132"/>
      <c r="G1276" s="132"/>
      <c r="H1276" s="132"/>
      <c r="I1276" s="132"/>
      <c r="J1276" s="132"/>
      <c r="K1276" s="132"/>
      <c r="L1276" s="132"/>
      <c r="M1276" s="132"/>
      <c r="N1276" s="132"/>
      <c r="O1276" s="132"/>
      <c r="P1276" s="154"/>
    </row>
    <row r="1277" spans="1:16" s="28" customFormat="1" x14ac:dyDescent="0.25">
      <c r="A1277" s="53"/>
      <c r="B1277" s="58"/>
      <c r="C1277" s="58"/>
      <c r="D1277" s="35"/>
      <c r="E1277" s="132"/>
      <c r="F1277" s="132"/>
      <c r="G1277" s="132"/>
      <c r="H1277" s="132"/>
      <c r="I1277" s="132"/>
      <c r="J1277" s="132"/>
      <c r="K1277" s="132"/>
      <c r="L1277" s="132"/>
      <c r="M1277" s="132"/>
      <c r="N1277" s="132"/>
      <c r="O1277" s="132"/>
      <c r="P1277" s="154"/>
    </row>
    <row r="1278" spans="1:16" s="28" customFormat="1" x14ac:dyDescent="0.25">
      <c r="A1278" s="53"/>
      <c r="B1278" s="58"/>
      <c r="C1278" s="58"/>
      <c r="D1278" s="35"/>
      <c r="E1278" s="132"/>
      <c r="F1278" s="132"/>
      <c r="G1278" s="132"/>
      <c r="H1278" s="132"/>
      <c r="I1278" s="132"/>
      <c r="J1278" s="132"/>
      <c r="K1278" s="132"/>
      <c r="L1278" s="132"/>
      <c r="M1278" s="132"/>
      <c r="N1278" s="132"/>
      <c r="O1278" s="132"/>
      <c r="P1278" s="154"/>
    </row>
    <row r="1279" spans="1:16" s="28" customFormat="1" x14ac:dyDescent="0.25">
      <c r="A1279" s="53"/>
      <c r="B1279" s="58"/>
      <c r="C1279" s="58"/>
      <c r="D1279" s="35"/>
      <c r="E1279" s="132"/>
      <c r="F1279" s="132"/>
      <c r="G1279" s="132"/>
      <c r="H1279" s="132"/>
      <c r="I1279" s="132"/>
      <c r="J1279" s="132"/>
      <c r="K1279" s="132"/>
      <c r="L1279" s="132"/>
      <c r="M1279" s="132"/>
      <c r="N1279" s="132"/>
      <c r="O1279" s="132"/>
      <c r="P1279" s="154"/>
    </row>
    <row r="1280" spans="1:16" s="28" customFormat="1" x14ac:dyDescent="0.25">
      <c r="A1280" s="53"/>
      <c r="B1280" s="58"/>
      <c r="C1280" s="58"/>
      <c r="D1280" s="35"/>
      <c r="E1280" s="132"/>
      <c r="F1280" s="132"/>
      <c r="G1280" s="132"/>
      <c r="H1280" s="132"/>
      <c r="I1280" s="132"/>
      <c r="J1280" s="132"/>
      <c r="K1280" s="132"/>
      <c r="L1280" s="132"/>
      <c r="M1280" s="132"/>
      <c r="N1280" s="132"/>
      <c r="O1280" s="132"/>
      <c r="P1280" s="154"/>
    </row>
    <row r="1281" spans="1:16" s="28" customFormat="1" x14ac:dyDescent="0.25">
      <c r="A1281" s="53"/>
      <c r="B1281" s="58"/>
      <c r="C1281" s="58"/>
      <c r="D1281" s="35"/>
      <c r="E1281" s="132"/>
      <c r="F1281" s="132"/>
      <c r="G1281" s="132"/>
      <c r="H1281" s="132"/>
      <c r="I1281" s="132"/>
      <c r="J1281" s="132"/>
      <c r="K1281" s="132"/>
      <c r="L1281" s="132"/>
      <c r="M1281" s="132"/>
      <c r="N1281" s="132"/>
      <c r="O1281" s="132"/>
      <c r="P1281" s="154"/>
    </row>
    <row r="1282" spans="1:16" s="28" customFormat="1" x14ac:dyDescent="0.25">
      <c r="A1282" s="53"/>
      <c r="B1282" s="58"/>
      <c r="C1282" s="58"/>
      <c r="D1282" s="35"/>
      <c r="E1282" s="132"/>
      <c r="F1282" s="132"/>
      <c r="G1282" s="132"/>
      <c r="H1282" s="132"/>
      <c r="I1282" s="132"/>
      <c r="J1282" s="132"/>
      <c r="K1282" s="132"/>
      <c r="L1282" s="132"/>
      <c r="M1282" s="132"/>
      <c r="N1282" s="132"/>
      <c r="O1282" s="132"/>
      <c r="P1282" s="154"/>
    </row>
    <row r="1283" spans="1:16" s="28" customFormat="1" x14ac:dyDescent="0.25">
      <c r="A1283" s="53"/>
      <c r="B1283" s="58"/>
      <c r="C1283" s="58"/>
      <c r="D1283" s="35"/>
      <c r="E1283" s="132"/>
      <c r="F1283" s="132"/>
      <c r="G1283" s="132"/>
      <c r="H1283" s="132"/>
      <c r="I1283" s="132"/>
      <c r="J1283" s="132"/>
      <c r="K1283" s="132"/>
      <c r="L1283" s="132"/>
      <c r="M1283" s="132"/>
      <c r="N1283" s="132"/>
      <c r="O1283" s="132"/>
      <c r="P1283" s="154"/>
    </row>
    <row r="1284" spans="1:16" s="28" customFormat="1" x14ac:dyDescent="0.25">
      <c r="A1284" s="53"/>
      <c r="B1284" s="58"/>
      <c r="C1284" s="58"/>
      <c r="D1284" s="35"/>
      <c r="E1284" s="132"/>
      <c r="F1284" s="132"/>
      <c r="G1284" s="132"/>
      <c r="H1284" s="132"/>
      <c r="I1284" s="132"/>
      <c r="J1284" s="132"/>
      <c r="K1284" s="132"/>
      <c r="L1284" s="132"/>
      <c r="M1284" s="132"/>
      <c r="N1284" s="132"/>
      <c r="O1284" s="132"/>
      <c r="P1284" s="154"/>
    </row>
    <row r="1285" spans="1:16" s="28" customFormat="1" x14ac:dyDescent="0.25">
      <c r="A1285" s="53"/>
      <c r="B1285" s="58"/>
      <c r="C1285" s="58"/>
      <c r="D1285" s="35"/>
      <c r="E1285" s="132"/>
      <c r="F1285" s="132"/>
      <c r="G1285" s="132"/>
      <c r="H1285" s="132"/>
      <c r="I1285" s="132"/>
      <c r="J1285" s="132"/>
      <c r="K1285" s="132"/>
      <c r="L1285" s="132"/>
      <c r="M1285" s="132"/>
      <c r="N1285" s="132"/>
      <c r="O1285" s="132"/>
      <c r="P1285" s="154"/>
    </row>
    <row r="1286" spans="1:16" s="28" customFormat="1" x14ac:dyDescent="0.25">
      <c r="A1286" s="53"/>
      <c r="B1286" s="58"/>
      <c r="C1286" s="58"/>
      <c r="D1286" s="35"/>
      <c r="E1286" s="132"/>
      <c r="F1286" s="132"/>
      <c r="G1286" s="132"/>
      <c r="H1286" s="132"/>
      <c r="I1286" s="132"/>
      <c r="J1286" s="132"/>
      <c r="K1286" s="132"/>
      <c r="L1286" s="132"/>
      <c r="M1286" s="132"/>
      <c r="N1286" s="132"/>
      <c r="O1286" s="132"/>
      <c r="P1286" s="154"/>
    </row>
    <row r="1287" spans="1:16" s="28" customFormat="1" x14ac:dyDescent="0.25">
      <c r="A1287" s="53"/>
      <c r="B1287" s="58"/>
      <c r="C1287" s="58"/>
      <c r="D1287" s="35"/>
      <c r="E1287" s="132"/>
      <c r="F1287" s="132"/>
      <c r="G1287" s="132"/>
      <c r="H1287" s="132"/>
      <c r="I1287" s="132"/>
      <c r="J1287" s="132"/>
      <c r="K1287" s="132"/>
      <c r="L1287" s="132"/>
      <c r="M1287" s="132"/>
      <c r="N1287" s="132"/>
      <c r="O1287" s="132"/>
      <c r="P1287" s="154"/>
    </row>
    <row r="1288" spans="1:16" s="28" customFormat="1" x14ac:dyDescent="0.25">
      <c r="A1288" s="53"/>
      <c r="B1288" s="58"/>
      <c r="C1288" s="58"/>
      <c r="D1288" s="35"/>
      <c r="E1288" s="132"/>
      <c r="F1288" s="132"/>
      <c r="G1288" s="132"/>
      <c r="H1288" s="132"/>
      <c r="I1288" s="132"/>
      <c r="J1288" s="132"/>
      <c r="K1288" s="132"/>
      <c r="L1288" s="132"/>
      <c r="M1288" s="132"/>
      <c r="N1288" s="132"/>
      <c r="O1288" s="132"/>
      <c r="P1288" s="154"/>
    </row>
    <row r="1289" spans="1:16" s="28" customFormat="1" x14ac:dyDescent="0.25">
      <c r="A1289" s="53"/>
      <c r="B1289" s="58"/>
      <c r="C1289" s="58"/>
      <c r="D1289" s="35"/>
      <c r="E1289" s="132"/>
      <c r="F1289" s="132"/>
      <c r="G1289" s="132"/>
      <c r="H1289" s="132"/>
      <c r="I1289" s="132"/>
      <c r="J1289" s="132"/>
      <c r="K1289" s="132"/>
      <c r="L1289" s="132"/>
      <c r="M1289" s="132"/>
      <c r="N1289" s="132"/>
      <c r="O1289" s="132"/>
      <c r="P1289" s="154"/>
    </row>
    <row r="1290" spans="1:16" s="28" customFormat="1" x14ac:dyDescent="0.25">
      <c r="A1290" s="53"/>
      <c r="B1290" s="58"/>
      <c r="C1290" s="58"/>
      <c r="D1290" s="35"/>
      <c r="E1290" s="132"/>
      <c r="F1290" s="132"/>
      <c r="G1290" s="132"/>
      <c r="H1290" s="132"/>
      <c r="I1290" s="132"/>
      <c r="J1290" s="132"/>
      <c r="K1290" s="132"/>
      <c r="L1290" s="132"/>
      <c r="M1290" s="132"/>
      <c r="N1290" s="132"/>
      <c r="O1290" s="132"/>
      <c r="P1290" s="154"/>
    </row>
    <row r="1291" spans="1:16" s="28" customFormat="1" x14ac:dyDescent="0.25">
      <c r="A1291" s="53"/>
      <c r="B1291" s="58"/>
      <c r="C1291" s="58"/>
      <c r="D1291" s="35"/>
      <c r="E1291" s="132"/>
      <c r="F1291" s="132"/>
      <c r="G1291" s="132"/>
      <c r="H1291" s="132"/>
      <c r="I1291" s="132"/>
      <c r="J1291" s="132"/>
      <c r="K1291" s="132"/>
      <c r="L1291" s="132"/>
      <c r="M1291" s="132"/>
      <c r="N1291" s="132"/>
      <c r="O1291" s="132"/>
      <c r="P1291" s="154"/>
    </row>
    <row r="1292" spans="1:16" s="28" customFormat="1" x14ac:dyDescent="0.25">
      <c r="A1292" s="53"/>
      <c r="B1292" s="58"/>
      <c r="C1292" s="58"/>
      <c r="D1292" s="35"/>
      <c r="E1292" s="132"/>
      <c r="F1292" s="132"/>
      <c r="G1292" s="132"/>
      <c r="H1292" s="132"/>
      <c r="I1292" s="132"/>
      <c r="J1292" s="132"/>
      <c r="K1292" s="132"/>
      <c r="L1292" s="132"/>
      <c r="M1292" s="132"/>
      <c r="N1292" s="132"/>
      <c r="O1292" s="132"/>
      <c r="P1292" s="154"/>
    </row>
    <row r="1293" spans="1:16" s="28" customFormat="1" x14ac:dyDescent="0.25">
      <c r="A1293" s="53"/>
      <c r="B1293" s="58"/>
      <c r="C1293" s="58"/>
      <c r="D1293" s="35"/>
      <c r="E1293" s="132"/>
      <c r="F1293" s="132"/>
      <c r="G1293" s="132"/>
      <c r="H1293" s="132"/>
      <c r="I1293" s="132"/>
      <c r="J1293" s="132"/>
      <c r="K1293" s="132"/>
      <c r="L1293" s="132"/>
      <c r="M1293" s="132"/>
      <c r="N1293" s="132"/>
      <c r="O1293" s="132"/>
      <c r="P1293" s="154"/>
    </row>
    <row r="1294" spans="1:16" s="28" customFormat="1" x14ac:dyDescent="0.25">
      <c r="A1294" s="53"/>
      <c r="B1294" s="58"/>
      <c r="C1294" s="58"/>
      <c r="D1294" s="35"/>
      <c r="E1294" s="132"/>
      <c r="F1294" s="132"/>
      <c r="G1294" s="132"/>
      <c r="H1294" s="132"/>
      <c r="I1294" s="132"/>
      <c r="J1294" s="132"/>
      <c r="K1294" s="132"/>
      <c r="L1294" s="132"/>
      <c r="M1294" s="132"/>
      <c r="N1294" s="132"/>
      <c r="O1294" s="132"/>
      <c r="P1294" s="154"/>
    </row>
    <row r="1295" spans="1:16" s="28" customFormat="1" x14ac:dyDescent="0.25">
      <c r="A1295" s="53"/>
      <c r="B1295" s="58"/>
      <c r="C1295" s="58"/>
      <c r="D1295" s="35"/>
      <c r="E1295" s="132"/>
      <c r="F1295" s="132"/>
      <c r="G1295" s="132"/>
      <c r="H1295" s="132"/>
      <c r="I1295" s="132"/>
      <c r="J1295" s="132"/>
      <c r="K1295" s="132"/>
      <c r="L1295" s="132"/>
      <c r="M1295" s="132"/>
      <c r="N1295" s="132"/>
      <c r="O1295" s="132"/>
      <c r="P1295" s="154"/>
    </row>
    <row r="1296" spans="1:16" s="28" customFormat="1" x14ac:dyDescent="0.25">
      <c r="A1296" s="53"/>
      <c r="B1296" s="58"/>
      <c r="C1296" s="58"/>
      <c r="D1296" s="35"/>
      <c r="E1296" s="132"/>
      <c r="F1296" s="132"/>
      <c r="G1296" s="132"/>
      <c r="H1296" s="132"/>
      <c r="I1296" s="132"/>
      <c r="J1296" s="132"/>
      <c r="K1296" s="132"/>
      <c r="L1296" s="132"/>
      <c r="M1296" s="132"/>
      <c r="N1296" s="132"/>
      <c r="O1296" s="132"/>
      <c r="P1296" s="154"/>
    </row>
    <row r="1297" spans="1:16" s="28" customFormat="1" x14ac:dyDescent="0.25">
      <c r="A1297" s="53"/>
      <c r="B1297" s="58"/>
      <c r="C1297" s="58"/>
      <c r="D1297" s="35"/>
      <c r="E1297" s="132"/>
      <c r="F1297" s="132"/>
      <c r="G1297" s="132"/>
      <c r="H1297" s="132"/>
      <c r="I1297" s="132"/>
      <c r="J1297" s="132"/>
      <c r="K1297" s="132"/>
      <c r="L1297" s="132"/>
      <c r="M1297" s="132"/>
      <c r="N1297" s="132"/>
      <c r="O1297" s="132"/>
      <c r="P1297" s="154"/>
    </row>
    <row r="1298" spans="1:16" s="28" customFormat="1" x14ac:dyDescent="0.25">
      <c r="A1298" s="53"/>
      <c r="B1298" s="58"/>
      <c r="C1298" s="58"/>
      <c r="D1298" s="35"/>
      <c r="E1298" s="132"/>
      <c r="F1298" s="132"/>
      <c r="G1298" s="132"/>
      <c r="H1298" s="132"/>
      <c r="I1298" s="132"/>
      <c r="J1298" s="132"/>
      <c r="K1298" s="132"/>
      <c r="L1298" s="132"/>
      <c r="M1298" s="132"/>
      <c r="N1298" s="132"/>
      <c r="O1298" s="132"/>
      <c r="P1298" s="154"/>
    </row>
    <row r="1299" spans="1:16" s="28" customFormat="1" x14ac:dyDescent="0.25">
      <c r="A1299" s="53"/>
      <c r="B1299" s="58"/>
      <c r="C1299" s="58"/>
      <c r="D1299" s="35"/>
      <c r="E1299" s="132"/>
      <c r="F1299" s="132"/>
      <c r="G1299" s="132"/>
      <c r="H1299" s="132"/>
      <c r="I1299" s="132"/>
      <c r="J1299" s="132"/>
      <c r="K1299" s="132"/>
      <c r="L1299" s="132"/>
      <c r="M1299" s="132"/>
      <c r="N1299" s="132"/>
      <c r="O1299" s="132"/>
      <c r="P1299" s="154"/>
    </row>
    <row r="1300" spans="1:16" s="28" customFormat="1" x14ac:dyDescent="0.25">
      <c r="A1300" s="53"/>
      <c r="B1300" s="58"/>
      <c r="C1300" s="58"/>
      <c r="D1300" s="35"/>
      <c r="E1300" s="132"/>
      <c r="F1300" s="132"/>
      <c r="G1300" s="132"/>
      <c r="H1300" s="132"/>
      <c r="I1300" s="132"/>
      <c r="J1300" s="132"/>
      <c r="K1300" s="132"/>
      <c r="L1300" s="132"/>
      <c r="M1300" s="132"/>
      <c r="N1300" s="132"/>
      <c r="O1300" s="132"/>
      <c r="P1300" s="154"/>
    </row>
    <row r="1301" spans="1:16" s="28" customFormat="1" x14ac:dyDescent="0.25">
      <c r="A1301" s="53"/>
      <c r="B1301" s="58"/>
      <c r="C1301" s="58"/>
      <c r="D1301" s="35"/>
      <c r="E1301" s="132"/>
      <c r="F1301" s="132"/>
      <c r="G1301" s="132"/>
      <c r="H1301" s="132"/>
      <c r="I1301" s="132"/>
      <c r="J1301" s="132"/>
      <c r="K1301" s="132"/>
      <c r="L1301" s="132"/>
      <c r="M1301" s="132"/>
      <c r="N1301" s="132"/>
      <c r="O1301" s="132"/>
      <c r="P1301" s="154"/>
    </row>
    <row r="1302" spans="1:16" s="28" customFormat="1" x14ac:dyDescent="0.25">
      <c r="A1302" s="53"/>
      <c r="B1302" s="58"/>
      <c r="C1302" s="58"/>
      <c r="D1302" s="35"/>
      <c r="E1302" s="132"/>
      <c r="F1302" s="132"/>
      <c r="G1302" s="132"/>
      <c r="H1302" s="132"/>
      <c r="I1302" s="132"/>
      <c r="J1302" s="132"/>
      <c r="K1302" s="132"/>
      <c r="L1302" s="132"/>
      <c r="M1302" s="132"/>
      <c r="N1302" s="132"/>
      <c r="O1302" s="132"/>
      <c r="P1302" s="154"/>
    </row>
    <row r="1303" spans="1:16" s="28" customFormat="1" x14ac:dyDescent="0.25">
      <c r="A1303" s="53"/>
      <c r="B1303" s="58"/>
      <c r="C1303" s="58"/>
      <c r="D1303" s="35"/>
      <c r="E1303" s="132"/>
      <c r="F1303" s="132"/>
      <c r="G1303" s="132"/>
      <c r="H1303" s="132"/>
      <c r="I1303" s="132"/>
      <c r="J1303" s="132"/>
      <c r="K1303" s="132"/>
      <c r="L1303" s="132"/>
      <c r="M1303" s="132"/>
      <c r="N1303" s="132"/>
      <c r="O1303" s="132"/>
      <c r="P1303" s="154"/>
    </row>
    <row r="1304" spans="1:16" s="28" customFormat="1" x14ac:dyDescent="0.25">
      <c r="A1304" s="53"/>
      <c r="B1304" s="58"/>
      <c r="C1304" s="58"/>
      <c r="D1304" s="35"/>
      <c r="E1304" s="132"/>
      <c r="F1304" s="132"/>
      <c r="G1304" s="132"/>
      <c r="H1304" s="132"/>
      <c r="I1304" s="132"/>
      <c r="J1304" s="132"/>
      <c r="K1304" s="132"/>
      <c r="L1304" s="132"/>
      <c r="M1304" s="132"/>
      <c r="N1304" s="132"/>
      <c r="O1304" s="132"/>
      <c r="P1304" s="154"/>
    </row>
    <row r="1305" spans="1:16" s="28" customFormat="1" x14ac:dyDescent="0.25">
      <c r="A1305" s="53"/>
      <c r="B1305" s="58"/>
      <c r="C1305" s="58"/>
      <c r="D1305" s="35"/>
      <c r="E1305" s="132"/>
      <c r="F1305" s="132"/>
      <c r="G1305" s="132"/>
      <c r="H1305" s="132"/>
      <c r="I1305" s="132"/>
      <c r="J1305" s="132"/>
      <c r="K1305" s="132"/>
      <c r="L1305" s="132"/>
      <c r="M1305" s="132"/>
      <c r="N1305" s="132"/>
      <c r="O1305" s="132"/>
      <c r="P1305" s="154"/>
    </row>
    <row r="1306" spans="1:16" s="28" customFormat="1" x14ac:dyDescent="0.25">
      <c r="A1306" s="53"/>
      <c r="B1306" s="58"/>
      <c r="C1306" s="58"/>
      <c r="D1306" s="35"/>
      <c r="E1306" s="132"/>
      <c r="F1306" s="132"/>
      <c r="G1306" s="132"/>
      <c r="H1306" s="132"/>
      <c r="I1306" s="132"/>
      <c r="J1306" s="132"/>
      <c r="K1306" s="132"/>
      <c r="L1306" s="132"/>
      <c r="M1306" s="132"/>
      <c r="N1306" s="132"/>
      <c r="O1306" s="132"/>
      <c r="P1306" s="154"/>
    </row>
    <row r="1307" spans="1:16" s="28" customFormat="1" x14ac:dyDescent="0.25">
      <c r="A1307" s="53"/>
      <c r="B1307" s="58"/>
      <c r="C1307" s="58"/>
      <c r="D1307" s="35"/>
      <c r="E1307" s="132"/>
      <c r="F1307" s="132"/>
      <c r="G1307" s="132"/>
      <c r="H1307" s="132"/>
      <c r="I1307" s="132"/>
      <c r="J1307" s="132"/>
      <c r="K1307" s="132"/>
      <c r="L1307" s="132"/>
      <c r="M1307" s="132"/>
      <c r="N1307" s="132"/>
      <c r="O1307" s="132"/>
      <c r="P1307" s="154"/>
    </row>
    <row r="1308" spans="1:16" s="28" customFormat="1" x14ac:dyDescent="0.25">
      <c r="A1308" s="53"/>
      <c r="B1308" s="58"/>
      <c r="C1308" s="58"/>
      <c r="D1308" s="35"/>
      <c r="E1308" s="132"/>
      <c r="F1308" s="132"/>
      <c r="G1308" s="132"/>
      <c r="H1308" s="132"/>
      <c r="I1308" s="132"/>
      <c r="J1308" s="132"/>
      <c r="K1308" s="132"/>
      <c r="L1308" s="132"/>
      <c r="M1308" s="132"/>
      <c r="N1308" s="132"/>
      <c r="O1308" s="132"/>
      <c r="P1308" s="154"/>
    </row>
    <row r="1309" spans="1:16" s="28" customFormat="1" x14ac:dyDescent="0.25">
      <c r="A1309" s="53"/>
      <c r="B1309" s="58"/>
      <c r="C1309" s="58"/>
      <c r="D1309" s="35"/>
      <c r="E1309" s="132"/>
      <c r="F1309" s="132"/>
      <c r="G1309" s="132"/>
      <c r="H1309" s="132"/>
      <c r="I1309" s="132"/>
      <c r="J1309" s="132"/>
      <c r="K1309" s="132"/>
      <c r="L1309" s="132"/>
      <c r="M1309" s="132"/>
      <c r="N1309" s="132"/>
      <c r="O1309" s="132"/>
      <c r="P1309" s="154"/>
    </row>
    <row r="1310" spans="1:16" s="28" customFormat="1" x14ac:dyDescent="0.25">
      <c r="A1310" s="53"/>
      <c r="B1310" s="58"/>
      <c r="C1310" s="58"/>
      <c r="D1310" s="35"/>
      <c r="E1310" s="132"/>
      <c r="F1310" s="132"/>
      <c r="G1310" s="132"/>
      <c r="H1310" s="132"/>
      <c r="I1310" s="132"/>
      <c r="J1310" s="132"/>
      <c r="K1310" s="132"/>
      <c r="L1310" s="132"/>
      <c r="M1310" s="132"/>
      <c r="N1310" s="132"/>
      <c r="O1310" s="132"/>
      <c r="P1310" s="154"/>
    </row>
    <row r="1311" spans="1:16" s="28" customFormat="1" x14ac:dyDescent="0.25">
      <c r="A1311" s="53"/>
      <c r="B1311" s="58"/>
      <c r="C1311" s="58"/>
      <c r="D1311" s="35"/>
      <c r="E1311" s="132"/>
      <c r="F1311" s="132"/>
      <c r="G1311" s="132"/>
      <c r="H1311" s="132"/>
      <c r="I1311" s="132"/>
      <c r="J1311" s="132"/>
      <c r="K1311" s="132"/>
      <c r="L1311" s="132"/>
      <c r="M1311" s="132"/>
      <c r="N1311" s="132"/>
      <c r="O1311" s="132"/>
      <c r="P1311" s="154"/>
    </row>
    <row r="1312" spans="1:16" s="28" customFormat="1" x14ac:dyDescent="0.25">
      <c r="A1312" s="53"/>
      <c r="B1312" s="58"/>
      <c r="C1312" s="58"/>
      <c r="D1312" s="35"/>
      <c r="E1312" s="132"/>
      <c r="F1312" s="132"/>
      <c r="G1312" s="132"/>
      <c r="H1312" s="132"/>
      <c r="I1312" s="132"/>
      <c r="J1312" s="132"/>
      <c r="K1312" s="132"/>
      <c r="L1312" s="132"/>
      <c r="M1312" s="132"/>
      <c r="N1312" s="132"/>
      <c r="O1312" s="132"/>
      <c r="P1312" s="154"/>
    </row>
    <row r="1313" spans="1:16" s="28" customFormat="1" x14ac:dyDescent="0.25">
      <c r="A1313" s="53"/>
      <c r="B1313" s="58"/>
      <c r="C1313" s="58"/>
      <c r="D1313" s="35"/>
      <c r="E1313" s="132"/>
      <c r="F1313" s="132"/>
      <c r="G1313" s="132"/>
      <c r="H1313" s="132"/>
      <c r="I1313" s="132"/>
      <c r="J1313" s="132"/>
      <c r="K1313" s="132"/>
      <c r="L1313" s="132"/>
      <c r="M1313" s="132"/>
      <c r="N1313" s="132"/>
      <c r="O1313" s="132"/>
      <c r="P1313" s="154"/>
    </row>
    <row r="1314" spans="1:16" s="28" customFormat="1" x14ac:dyDescent="0.25">
      <c r="A1314" s="53"/>
      <c r="B1314" s="58"/>
      <c r="C1314" s="58"/>
      <c r="D1314" s="35"/>
      <c r="E1314" s="132"/>
      <c r="F1314" s="132"/>
      <c r="G1314" s="132"/>
      <c r="H1314" s="132"/>
      <c r="I1314" s="132"/>
      <c r="J1314" s="132"/>
      <c r="K1314" s="132"/>
      <c r="L1314" s="132"/>
      <c r="M1314" s="132"/>
      <c r="N1314" s="132"/>
      <c r="O1314" s="132"/>
      <c r="P1314" s="154"/>
    </row>
    <row r="1315" spans="1:16" s="28" customFormat="1" x14ac:dyDescent="0.25">
      <c r="A1315" s="53"/>
      <c r="B1315" s="58"/>
      <c r="C1315" s="58"/>
      <c r="D1315" s="35"/>
      <c r="E1315" s="132"/>
      <c r="F1315" s="132"/>
      <c r="G1315" s="132"/>
      <c r="H1315" s="132"/>
      <c r="I1315" s="132"/>
      <c r="J1315" s="132"/>
      <c r="K1315" s="132"/>
      <c r="L1315" s="132"/>
      <c r="M1315" s="132"/>
      <c r="N1315" s="132"/>
      <c r="O1315" s="132"/>
      <c r="P1315" s="154"/>
    </row>
    <row r="1316" spans="1:16" s="28" customFormat="1" x14ac:dyDescent="0.25">
      <c r="A1316" s="53"/>
      <c r="B1316" s="58"/>
      <c r="C1316" s="58"/>
      <c r="D1316" s="35"/>
      <c r="E1316" s="132"/>
      <c r="F1316" s="132"/>
      <c r="G1316" s="132"/>
      <c r="H1316" s="132"/>
      <c r="I1316" s="132"/>
      <c r="J1316" s="132"/>
      <c r="K1316" s="132"/>
      <c r="L1316" s="132"/>
      <c r="M1316" s="132"/>
      <c r="N1316" s="132"/>
      <c r="O1316" s="132"/>
      <c r="P1316" s="154"/>
    </row>
    <row r="1317" spans="1:16" s="28" customFormat="1" x14ac:dyDescent="0.25">
      <c r="A1317" s="53"/>
      <c r="B1317" s="58"/>
      <c r="C1317" s="58"/>
      <c r="D1317" s="35"/>
      <c r="E1317" s="132"/>
      <c r="F1317" s="132"/>
      <c r="G1317" s="132"/>
      <c r="H1317" s="132"/>
      <c r="I1317" s="132"/>
      <c r="J1317" s="132"/>
      <c r="K1317" s="132"/>
      <c r="L1317" s="132"/>
      <c r="M1317" s="132"/>
      <c r="N1317" s="132"/>
      <c r="O1317" s="132"/>
      <c r="P1317" s="154"/>
    </row>
    <row r="1318" spans="1:16" s="28" customFormat="1" x14ac:dyDescent="0.25">
      <c r="A1318" s="53"/>
      <c r="B1318" s="58"/>
      <c r="C1318" s="58"/>
      <c r="D1318" s="35"/>
      <c r="E1318" s="132"/>
      <c r="F1318" s="132"/>
      <c r="G1318" s="132"/>
      <c r="H1318" s="132"/>
      <c r="I1318" s="132"/>
      <c r="J1318" s="132"/>
      <c r="K1318" s="132"/>
      <c r="L1318" s="132"/>
      <c r="M1318" s="132"/>
      <c r="N1318" s="132"/>
      <c r="O1318" s="132"/>
      <c r="P1318" s="154"/>
    </row>
    <row r="1319" spans="1:16" s="28" customFormat="1" x14ac:dyDescent="0.25">
      <c r="A1319" s="53"/>
      <c r="B1319" s="58"/>
      <c r="C1319" s="58"/>
      <c r="D1319" s="35"/>
      <c r="E1319" s="132"/>
      <c r="F1319" s="132"/>
      <c r="G1319" s="132"/>
      <c r="H1319" s="132"/>
      <c r="I1319" s="132"/>
      <c r="J1319" s="132"/>
      <c r="K1319" s="132"/>
      <c r="L1319" s="132"/>
      <c r="M1319" s="132"/>
      <c r="N1319" s="132"/>
      <c r="O1319" s="132"/>
      <c r="P1319" s="154"/>
    </row>
    <row r="1320" spans="1:16" s="28" customFormat="1" x14ac:dyDescent="0.25">
      <c r="A1320" s="53"/>
      <c r="B1320" s="58"/>
      <c r="C1320" s="58"/>
      <c r="D1320" s="35"/>
      <c r="E1320" s="132"/>
      <c r="F1320" s="132"/>
      <c r="G1320" s="132"/>
      <c r="H1320" s="132"/>
      <c r="I1320" s="132"/>
      <c r="J1320" s="132"/>
      <c r="K1320" s="132"/>
      <c r="L1320" s="132"/>
      <c r="M1320" s="132"/>
      <c r="N1320" s="132"/>
      <c r="O1320" s="132"/>
      <c r="P1320" s="154"/>
    </row>
    <row r="1321" spans="1:16" s="28" customFormat="1" x14ac:dyDescent="0.25">
      <c r="A1321" s="53"/>
      <c r="B1321" s="58"/>
      <c r="C1321" s="58"/>
      <c r="D1321" s="35"/>
      <c r="E1321" s="132"/>
      <c r="F1321" s="132"/>
      <c r="G1321" s="132"/>
      <c r="H1321" s="132"/>
      <c r="I1321" s="132"/>
      <c r="J1321" s="132"/>
      <c r="K1321" s="132"/>
      <c r="L1321" s="132"/>
      <c r="M1321" s="132"/>
      <c r="N1321" s="132"/>
      <c r="O1321" s="132"/>
      <c r="P1321" s="154"/>
    </row>
    <row r="1322" spans="1:16" s="28" customFormat="1" x14ac:dyDescent="0.25">
      <c r="A1322" s="53"/>
      <c r="B1322" s="58"/>
      <c r="C1322" s="58"/>
      <c r="D1322" s="35"/>
      <c r="E1322" s="132"/>
      <c r="F1322" s="132"/>
      <c r="G1322" s="132"/>
      <c r="H1322" s="132"/>
      <c r="I1322" s="132"/>
      <c r="J1322" s="132"/>
      <c r="K1322" s="132"/>
      <c r="L1322" s="132"/>
      <c r="M1322" s="132"/>
      <c r="N1322" s="132"/>
      <c r="O1322" s="132"/>
      <c r="P1322" s="154"/>
    </row>
    <row r="1323" spans="1:16" s="28" customFormat="1" x14ac:dyDescent="0.25">
      <c r="A1323" s="53"/>
      <c r="B1323" s="58"/>
      <c r="C1323" s="58"/>
      <c r="D1323" s="35"/>
      <c r="E1323" s="132"/>
      <c r="F1323" s="132"/>
      <c r="G1323" s="132"/>
      <c r="H1323" s="132"/>
      <c r="I1323" s="132"/>
      <c r="J1323" s="132"/>
      <c r="K1323" s="132"/>
      <c r="L1323" s="132"/>
      <c r="M1323" s="132"/>
      <c r="N1323" s="132"/>
      <c r="O1323" s="132"/>
      <c r="P1323" s="154"/>
    </row>
    <row r="1324" spans="1:16" s="28" customFormat="1" x14ac:dyDescent="0.25">
      <c r="A1324" s="53"/>
      <c r="B1324" s="58"/>
      <c r="C1324" s="58"/>
      <c r="D1324" s="35"/>
      <c r="E1324" s="132"/>
      <c r="F1324" s="132"/>
      <c r="G1324" s="132"/>
      <c r="H1324" s="132"/>
      <c r="I1324" s="132"/>
      <c r="J1324" s="132"/>
      <c r="K1324" s="132"/>
      <c r="L1324" s="132"/>
      <c r="M1324" s="132"/>
      <c r="N1324" s="132"/>
      <c r="O1324" s="132"/>
      <c r="P1324" s="154"/>
    </row>
    <row r="1325" spans="1:16" s="28" customFormat="1" x14ac:dyDescent="0.25">
      <c r="A1325" s="53"/>
      <c r="B1325" s="58"/>
      <c r="C1325" s="58"/>
      <c r="D1325" s="35"/>
      <c r="E1325" s="132"/>
      <c r="F1325" s="132"/>
      <c r="G1325" s="132"/>
      <c r="H1325" s="132"/>
      <c r="I1325" s="132"/>
      <c r="J1325" s="132"/>
      <c r="K1325" s="132"/>
      <c r="L1325" s="132"/>
      <c r="M1325" s="132"/>
      <c r="N1325" s="132"/>
      <c r="O1325" s="132"/>
      <c r="P1325" s="154"/>
    </row>
    <row r="1326" spans="1:16" s="28" customFormat="1" x14ac:dyDescent="0.25">
      <c r="A1326" s="53"/>
      <c r="B1326" s="58"/>
      <c r="C1326" s="58"/>
      <c r="D1326" s="35"/>
      <c r="E1326" s="132"/>
      <c r="F1326" s="132"/>
      <c r="G1326" s="132"/>
      <c r="H1326" s="132"/>
      <c r="I1326" s="132"/>
      <c r="J1326" s="132"/>
      <c r="K1326" s="132"/>
      <c r="L1326" s="132"/>
      <c r="M1326" s="132"/>
      <c r="N1326" s="132"/>
      <c r="O1326" s="132"/>
      <c r="P1326" s="154"/>
    </row>
    <row r="1327" spans="1:16" s="28" customFormat="1" x14ac:dyDescent="0.25">
      <c r="A1327" s="53"/>
      <c r="B1327" s="58"/>
      <c r="C1327" s="58"/>
      <c r="D1327" s="35"/>
      <c r="E1327" s="132"/>
      <c r="F1327" s="132"/>
      <c r="G1327" s="132"/>
      <c r="H1327" s="132"/>
      <c r="I1327" s="132"/>
      <c r="J1327" s="132"/>
      <c r="K1327" s="132"/>
      <c r="L1327" s="132"/>
      <c r="M1327" s="132"/>
      <c r="N1327" s="132"/>
      <c r="O1327" s="132"/>
      <c r="P1327" s="154"/>
    </row>
    <row r="1328" spans="1:16" s="28" customFormat="1" x14ac:dyDescent="0.25">
      <c r="A1328" s="53"/>
      <c r="B1328" s="58"/>
      <c r="C1328" s="58"/>
      <c r="D1328" s="35"/>
      <c r="E1328" s="132"/>
      <c r="F1328" s="132"/>
      <c r="G1328" s="132"/>
      <c r="H1328" s="132"/>
      <c r="I1328" s="132"/>
      <c r="J1328" s="132"/>
      <c r="K1328" s="132"/>
      <c r="L1328" s="132"/>
      <c r="M1328" s="132"/>
      <c r="N1328" s="132"/>
      <c r="O1328" s="132"/>
      <c r="P1328" s="154"/>
    </row>
    <row r="1329" spans="1:16" s="28" customFormat="1" x14ac:dyDescent="0.25">
      <c r="A1329" s="53"/>
      <c r="B1329" s="58"/>
      <c r="C1329" s="58"/>
      <c r="D1329" s="35"/>
      <c r="E1329" s="132"/>
      <c r="F1329" s="132"/>
      <c r="G1329" s="132"/>
      <c r="H1329" s="132"/>
      <c r="I1329" s="132"/>
      <c r="J1329" s="132"/>
      <c r="K1329" s="132"/>
      <c r="L1329" s="132"/>
      <c r="M1329" s="132"/>
      <c r="N1329" s="132"/>
      <c r="O1329" s="132"/>
      <c r="P1329" s="154"/>
    </row>
    <row r="1330" spans="1:16" s="28" customFormat="1" x14ac:dyDescent="0.25">
      <c r="A1330" s="53"/>
      <c r="B1330" s="58"/>
      <c r="C1330" s="58"/>
      <c r="D1330" s="35"/>
      <c r="E1330" s="132"/>
      <c r="F1330" s="132"/>
      <c r="G1330" s="132"/>
      <c r="H1330" s="132"/>
      <c r="I1330" s="132"/>
      <c r="J1330" s="132"/>
      <c r="K1330" s="132"/>
      <c r="L1330" s="132"/>
      <c r="M1330" s="132"/>
      <c r="N1330" s="132"/>
      <c r="O1330" s="132"/>
      <c r="P1330" s="154"/>
    </row>
    <row r="1331" spans="1:16" s="28" customFormat="1" x14ac:dyDescent="0.25">
      <c r="A1331" s="53"/>
      <c r="B1331" s="58"/>
      <c r="C1331" s="58"/>
      <c r="D1331" s="35"/>
      <c r="E1331" s="132"/>
      <c r="F1331" s="132"/>
      <c r="G1331" s="132"/>
      <c r="H1331" s="132"/>
      <c r="I1331" s="132"/>
      <c r="J1331" s="132"/>
      <c r="K1331" s="132"/>
      <c r="L1331" s="132"/>
      <c r="M1331" s="132"/>
      <c r="N1331" s="132"/>
      <c r="O1331" s="132"/>
      <c r="P1331" s="154"/>
    </row>
    <row r="1332" spans="1:16" s="28" customFormat="1" x14ac:dyDescent="0.25">
      <c r="A1332" s="53"/>
      <c r="B1332" s="58"/>
      <c r="C1332" s="58"/>
      <c r="D1332" s="35"/>
      <c r="E1332" s="132"/>
      <c r="F1332" s="132"/>
      <c r="G1332" s="132"/>
      <c r="H1332" s="132"/>
      <c r="I1332" s="132"/>
      <c r="J1332" s="132"/>
      <c r="K1332" s="132"/>
      <c r="L1332" s="132"/>
      <c r="M1332" s="132"/>
      <c r="N1332" s="132"/>
      <c r="O1332" s="132"/>
      <c r="P1332" s="154"/>
    </row>
    <row r="1333" spans="1:16" s="28" customFormat="1" x14ac:dyDescent="0.25">
      <c r="A1333" s="53"/>
      <c r="B1333" s="58"/>
      <c r="C1333" s="58"/>
      <c r="D1333" s="35"/>
      <c r="E1333" s="132"/>
      <c r="F1333" s="132"/>
      <c r="G1333" s="132"/>
      <c r="H1333" s="132"/>
      <c r="I1333" s="132"/>
      <c r="J1333" s="132"/>
      <c r="K1333" s="132"/>
      <c r="L1333" s="132"/>
      <c r="M1333" s="132"/>
      <c r="N1333" s="132"/>
      <c r="O1333" s="132"/>
      <c r="P1333" s="154"/>
    </row>
    <row r="1334" spans="1:16" s="28" customFormat="1" x14ac:dyDescent="0.25">
      <c r="A1334" s="53"/>
      <c r="B1334" s="58"/>
      <c r="C1334" s="58"/>
      <c r="D1334" s="35"/>
      <c r="E1334" s="132"/>
      <c r="F1334" s="132"/>
      <c r="G1334" s="132"/>
      <c r="H1334" s="132"/>
      <c r="I1334" s="132"/>
      <c r="J1334" s="132"/>
      <c r="K1334" s="132"/>
      <c r="L1334" s="132"/>
      <c r="M1334" s="132"/>
      <c r="N1334" s="132"/>
      <c r="O1334" s="132"/>
      <c r="P1334" s="154"/>
    </row>
    <row r="1335" spans="1:16" s="28" customFormat="1" x14ac:dyDescent="0.25">
      <c r="A1335" s="53"/>
      <c r="B1335" s="58"/>
      <c r="C1335" s="58"/>
      <c r="D1335" s="35"/>
      <c r="E1335" s="132"/>
      <c r="F1335" s="132"/>
      <c r="G1335" s="132"/>
      <c r="H1335" s="132"/>
      <c r="I1335" s="132"/>
      <c r="J1335" s="132"/>
      <c r="K1335" s="132"/>
      <c r="L1335" s="132"/>
      <c r="M1335" s="132"/>
      <c r="N1335" s="132"/>
      <c r="O1335" s="132"/>
      <c r="P1335" s="154"/>
    </row>
    <row r="1336" spans="1:16" s="28" customFormat="1" x14ac:dyDescent="0.25">
      <c r="A1336" s="53"/>
      <c r="B1336" s="58"/>
      <c r="C1336" s="58"/>
      <c r="D1336" s="35"/>
      <c r="E1336" s="132"/>
      <c r="F1336" s="132"/>
      <c r="G1336" s="132"/>
      <c r="H1336" s="132"/>
      <c r="I1336" s="132"/>
      <c r="J1336" s="132"/>
      <c r="K1336" s="132"/>
      <c r="L1336" s="132"/>
      <c r="M1336" s="132"/>
      <c r="N1336" s="132"/>
      <c r="O1336" s="132"/>
      <c r="P1336" s="154"/>
    </row>
    <row r="1337" spans="1:16" s="28" customFormat="1" x14ac:dyDescent="0.25">
      <c r="A1337" s="53"/>
      <c r="B1337" s="58"/>
      <c r="C1337" s="58"/>
      <c r="D1337" s="35"/>
      <c r="E1337" s="132"/>
      <c r="F1337" s="132"/>
      <c r="G1337" s="132"/>
      <c r="H1337" s="132"/>
      <c r="I1337" s="132"/>
      <c r="J1337" s="132"/>
      <c r="K1337" s="132"/>
      <c r="L1337" s="132"/>
      <c r="M1337" s="132"/>
      <c r="N1337" s="132"/>
      <c r="O1337" s="132"/>
      <c r="P1337" s="154"/>
    </row>
    <row r="1338" spans="1:16" s="28" customFormat="1" x14ac:dyDescent="0.25">
      <c r="A1338" s="53"/>
      <c r="B1338" s="58"/>
      <c r="C1338" s="58"/>
      <c r="D1338" s="35"/>
      <c r="E1338" s="132"/>
      <c r="F1338" s="132"/>
      <c r="G1338" s="132"/>
      <c r="H1338" s="132"/>
      <c r="I1338" s="132"/>
      <c r="J1338" s="132"/>
      <c r="K1338" s="132"/>
      <c r="L1338" s="132"/>
      <c r="M1338" s="132"/>
      <c r="N1338" s="132"/>
      <c r="O1338" s="132"/>
      <c r="P1338" s="154"/>
    </row>
    <row r="1339" spans="1:16" s="28" customFormat="1" x14ac:dyDescent="0.25">
      <c r="A1339" s="53"/>
      <c r="B1339" s="58"/>
      <c r="C1339" s="58"/>
      <c r="D1339" s="35"/>
      <c r="E1339" s="132"/>
      <c r="F1339" s="132"/>
      <c r="G1339" s="132"/>
      <c r="H1339" s="132"/>
      <c r="I1339" s="132"/>
      <c r="J1339" s="132"/>
      <c r="K1339" s="132"/>
      <c r="L1339" s="132"/>
      <c r="M1339" s="132"/>
      <c r="N1339" s="132"/>
      <c r="O1339" s="132"/>
      <c r="P1339" s="154"/>
    </row>
    <row r="1340" spans="1:16" s="28" customFormat="1" x14ac:dyDescent="0.25">
      <c r="A1340" s="53"/>
      <c r="B1340" s="58"/>
      <c r="C1340" s="58"/>
      <c r="D1340" s="35"/>
      <c r="E1340" s="132"/>
      <c r="F1340" s="132"/>
      <c r="G1340" s="132"/>
      <c r="H1340" s="132"/>
      <c r="I1340" s="132"/>
      <c r="J1340" s="132"/>
      <c r="K1340" s="132"/>
      <c r="L1340" s="132"/>
      <c r="M1340" s="132"/>
      <c r="N1340" s="132"/>
      <c r="O1340" s="132"/>
      <c r="P1340" s="154"/>
    </row>
    <row r="1341" spans="1:16" s="28" customFormat="1" x14ac:dyDescent="0.25">
      <c r="A1341" s="53"/>
      <c r="B1341" s="58"/>
      <c r="C1341" s="58"/>
      <c r="D1341" s="35"/>
      <c r="E1341" s="132"/>
      <c r="F1341" s="132"/>
      <c r="G1341" s="132"/>
      <c r="H1341" s="132"/>
      <c r="I1341" s="132"/>
      <c r="J1341" s="132"/>
      <c r="K1341" s="132"/>
      <c r="L1341" s="132"/>
      <c r="M1341" s="132"/>
      <c r="N1341" s="132"/>
      <c r="O1341" s="132"/>
      <c r="P1341" s="154"/>
    </row>
    <row r="1342" spans="1:16" s="28" customFormat="1" x14ac:dyDescent="0.25">
      <c r="A1342" s="53"/>
      <c r="B1342" s="58"/>
      <c r="C1342" s="58"/>
      <c r="D1342" s="35"/>
      <c r="E1342" s="132"/>
      <c r="F1342" s="132"/>
      <c r="G1342" s="132"/>
      <c r="H1342" s="132"/>
      <c r="I1342" s="132"/>
      <c r="J1342" s="132"/>
      <c r="K1342" s="132"/>
      <c r="L1342" s="132"/>
      <c r="M1342" s="132"/>
      <c r="N1342" s="132"/>
      <c r="O1342" s="132"/>
      <c r="P1342" s="154"/>
    </row>
    <row r="1343" spans="1:16" s="28" customFormat="1" x14ac:dyDescent="0.25">
      <c r="A1343" s="53"/>
      <c r="B1343" s="58"/>
      <c r="C1343" s="58"/>
      <c r="D1343" s="35"/>
      <c r="E1343" s="132"/>
      <c r="F1343" s="132"/>
      <c r="G1343" s="132"/>
      <c r="H1343" s="132"/>
      <c r="I1343" s="132"/>
      <c r="J1343" s="132"/>
      <c r="K1343" s="132"/>
      <c r="L1343" s="132"/>
      <c r="M1343" s="132"/>
      <c r="N1343" s="132"/>
      <c r="O1343" s="132"/>
      <c r="P1343" s="154"/>
    </row>
    <row r="1344" spans="1:16" s="28" customFormat="1" x14ac:dyDescent="0.25">
      <c r="A1344" s="53"/>
      <c r="B1344" s="58"/>
      <c r="C1344" s="58"/>
      <c r="D1344" s="35"/>
      <c r="E1344" s="132"/>
      <c r="F1344" s="132"/>
      <c r="G1344" s="132"/>
      <c r="H1344" s="132"/>
      <c r="I1344" s="132"/>
      <c r="J1344" s="132"/>
      <c r="K1344" s="132"/>
      <c r="L1344" s="132"/>
      <c r="M1344" s="132"/>
      <c r="N1344" s="132"/>
      <c r="O1344" s="132"/>
      <c r="P1344" s="154"/>
    </row>
    <row r="1345" spans="1:16" s="28" customFormat="1" x14ac:dyDescent="0.25">
      <c r="A1345" s="53"/>
      <c r="B1345" s="58"/>
      <c r="C1345" s="58"/>
      <c r="D1345" s="35"/>
      <c r="E1345" s="132"/>
      <c r="F1345" s="132"/>
      <c r="G1345" s="132"/>
      <c r="H1345" s="132"/>
      <c r="I1345" s="132"/>
      <c r="J1345" s="132"/>
      <c r="K1345" s="132"/>
      <c r="L1345" s="132"/>
      <c r="M1345" s="132"/>
      <c r="N1345" s="132"/>
      <c r="O1345" s="132"/>
      <c r="P1345" s="154"/>
    </row>
    <row r="1346" spans="1:16" s="28" customFormat="1" x14ac:dyDescent="0.25">
      <c r="A1346" s="53"/>
      <c r="B1346" s="58"/>
      <c r="C1346" s="58"/>
      <c r="D1346" s="35"/>
      <c r="E1346" s="132"/>
      <c r="F1346" s="132"/>
      <c r="G1346" s="132"/>
      <c r="H1346" s="132"/>
      <c r="I1346" s="132"/>
      <c r="J1346" s="132"/>
      <c r="K1346" s="132"/>
      <c r="L1346" s="132"/>
      <c r="M1346" s="132"/>
      <c r="N1346" s="132"/>
      <c r="O1346" s="132"/>
      <c r="P1346" s="154"/>
    </row>
    <row r="1347" spans="1:16" s="28" customFormat="1" x14ac:dyDescent="0.25">
      <c r="A1347" s="53"/>
      <c r="B1347" s="58"/>
      <c r="C1347" s="58"/>
      <c r="D1347" s="35"/>
      <c r="E1347" s="132"/>
      <c r="F1347" s="132"/>
      <c r="G1347" s="132"/>
      <c r="H1347" s="132"/>
      <c r="I1347" s="132"/>
      <c r="J1347" s="132"/>
      <c r="K1347" s="132"/>
      <c r="L1347" s="132"/>
      <c r="M1347" s="132"/>
      <c r="N1347" s="132"/>
      <c r="O1347" s="132"/>
      <c r="P1347" s="154"/>
    </row>
    <row r="1348" spans="1:16" s="28" customFormat="1" x14ac:dyDescent="0.25">
      <c r="A1348" s="53"/>
      <c r="B1348" s="58"/>
      <c r="C1348" s="58"/>
      <c r="D1348" s="35"/>
      <c r="E1348" s="132"/>
      <c r="F1348" s="132"/>
      <c r="G1348" s="132"/>
      <c r="H1348" s="132"/>
      <c r="I1348" s="132"/>
      <c r="J1348" s="132"/>
      <c r="K1348" s="132"/>
      <c r="L1348" s="132"/>
      <c r="M1348" s="132"/>
      <c r="N1348" s="132"/>
      <c r="O1348" s="132"/>
      <c r="P1348" s="154"/>
    </row>
    <row r="1349" spans="1:16" s="28" customFormat="1" x14ac:dyDescent="0.25">
      <c r="A1349" s="53"/>
      <c r="B1349" s="58"/>
      <c r="C1349" s="58"/>
      <c r="D1349" s="35"/>
      <c r="E1349" s="132"/>
      <c r="F1349" s="132"/>
      <c r="G1349" s="132"/>
      <c r="H1349" s="132"/>
      <c r="I1349" s="132"/>
      <c r="J1349" s="132"/>
      <c r="K1349" s="132"/>
      <c r="L1349" s="132"/>
      <c r="M1349" s="132"/>
      <c r="N1349" s="132"/>
      <c r="O1349" s="132"/>
      <c r="P1349" s="154"/>
    </row>
    <row r="1350" spans="1:16" s="28" customFormat="1" x14ac:dyDescent="0.25">
      <c r="A1350" s="53"/>
      <c r="B1350" s="58"/>
      <c r="C1350" s="58"/>
      <c r="D1350" s="35"/>
      <c r="E1350" s="132"/>
      <c r="F1350" s="132"/>
      <c r="G1350" s="132"/>
      <c r="H1350" s="132"/>
      <c r="I1350" s="132"/>
      <c r="J1350" s="132"/>
      <c r="K1350" s="132"/>
      <c r="L1350" s="132"/>
      <c r="M1350" s="132"/>
      <c r="N1350" s="132"/>
      <c r="O1350" s="132"/>
      <c r="P1350" s="154"/>
    </row>
    <row r="1351" spans="1:16" s="28" customFormat="1" x14ac:dyDescent="0.25">
      <c r="A1351" s="53"/>
      <c r="B1351" s="58"/>
      <c r="C1351" s="58"/>
      <c r="D1351" s="35"/>
      <c r="E1351" s="132"/>
      <c r="F1351" s="132"/>
      <c r="G1351" s="132"/>
      <c r="H1351" s="132"/>
      <c r="I1351" s="132"/>
      <c r="J1351" s="132"/>
      <c r="K1351" s="132"/>
      <c r="L1351" s="132"/>
      <c r="M1351" s="132"/>
      <c r="N1351" s="132"/>
      <c r="O1351" s="132"/>
      <c r="P1351" s="154"/>
    </row>
    <row r="1352" spans="1:16" s="28" customFormat="1" x14ac:dyDescent="0.25">
      <c r="A1352" s="53"/>
      <c r="B1352" s="58"/>
      <c r="C1352" s="58"/>
      <c r="D1352" s="35"/>
      <c r="E1352" s="132"/>
      <c r="F1352" s="132"/>
      <c r="G1352" s="132"/>
      <c r="H1352" s="132"/>
      <c r="I1352" s="132"/>
      <c r="J1352" s="132"/>
      <c r="K1352" s="132"/>
      <c r="L1352" s="132"/>
      <c r="M1352" s="132"/>
      <c r="N1352" s="132"/>
      <c r="O1352" s="132"/>
      <c r="P1352" s="154"/>
    </row>
    <row r="1353" spans="1:16" s="28" customFormat="1" x14ac:dyDescent="0.25">
      <c r="A1353" s="53"/>
      <c r="B1353" s="58"/>
      <c r="C1353" s="58"/>
      <c r="D1353" s="35"/>
      <c r="E1353" s="132"/>
      <c r="F1353" s="132"/>
      <c r="G1353" s="132"/>
      <c r="H1353" s="132"/>
      <c r="I1353" s="132"/>
      <c r="J1353" s="132"/>
      <c r="K1353" s="132"/>
      <c r="L1353" s="132"/>
      <c r="M1353" s="132"/>
      <c r="N1353" s="132"/>
      <c r="O1353" s="132"/>
      <c r="P1353" s="154"/>
    </row>
    <row r="1354" spans="1:16" s="28" customFormat="1" x14ac:dyDescent="0.25">
      <c r="A1354" s="53"/>
      <c r="B1354" s="58"/>
      <c r="C1354" s="58"/>
      <c r="D1354" s="35"/>
      <c r="E1354" s="132"/>
      <c r="F1354" s="132"/>
      <c r="G1354" s="132"/>
      <c r="H1354" s="132"/>
      <c r="I1354" s="132"/>
      <c r="J1354" s="132"/>
      <c r="K1354" s="132"/>
      <c r="L1354" s="132"/>
      <c r="M1354" s="132"/>
      <c r="N1354" s="132"/>
      <c r="O1354" s="132"/>
      <c r="P1354" s="154"/>
    </row>
    <row r="1355" spans="1:16" s="28" customFormat="1" x14ac:dyDescent="0.25">
      <c r="A1355" s="53"/>
      <c r="B1355" s="58"/>
      <c r="C1355" s="58"/>
      <c r="D1355" s="35"/>
      <c r="E1355" s="132"/>
      <c r="F1355" s="132"/>
      <c r="G1355" s="132"/>
      <c r="H1355" s="132"/>
      <c r="I1355" s="132"/>
      <c r="J1355" s="132"/>
      <c r="K1355" s="132"/>
      <c r="L1355" s="132"/>
      <c r="M1355" s="132"/>
      <c r="N1355" s="132"/>
      <c r="O1355" s="132"/>
      <c r="P1355" s="154"/>
    </row>
    <row r="1356" spans="1:16" s="28" customFormat="1" x14ac:dyDescent="0.25">
      <c r="A1356" s="53"/>
      <c r="B1356" s="58"/>
      <c r="C1356" s="58"/>
      <c r="D1356" s="35"/>
      <c r="E1356" s="132"/>
      <c r="F1356" s="132"/>
      <c r="G1356" s="132"/>
      <c r="H1356" s="132"/>
      <c r="I1356" s="132"/>
      <c r="J1356" s="132"/>
      <c r="K1356" s="132"/>
      <c r="L1356" s="132"/>
      <c r="M1356" s="132"/>
      <c r="N1356" s="132"/>
      <c r="O1356" s="132"/>
      <c r="P1356" s="154"/>
    </row>
    <row r="1357" spans="1:16" s="28" customFormat="1" x14ac:dyDescent="0.25">
      <c r="A1357" s="53"/>
      <c r="B1357" s="58"/>
      <c r="C1357" s="58"/>
      <c r="D1357" s="35"/>
      <c r="E1357" s="132"/>
      <c r="F1357" s="132"/>
      <c r="G1357" s="132"/>
      <c r="H1357" s="132"/>
      <c r="I1357" s="132"/>
      <c r="J1357" s="132"/>
      <c r="K1357" s="132"/>
      <c r="L1357" s="132"/>
      <c r="M1357" s="132"/>
      <c r="N1357" s="132"/>
      <c r="O1357" s="132"/>
      <c r="P1357" s="154"/>
    </row>
    <row r="1358" spans="1:16" s="28" customFormat="1" x14ac:dyDescent="0.25">
      <c r="A1358" s="53"/>
      <c r="B1358" s="58"/>
      <c r="C1358" s="58"/>
      <c r="D1358" s="35"/>
      <c r="E1358" s="132"/>
      <c r="F1358" s="132"/>
      <c r="G1358" s="132"/>
      <c r="H1358" s="132"/>
      <c r="I1358" s="132"/>
      <c r="J1358" s="132"/>
      <c r="K1358" s="132"/>
      <c r="L1358" s="132"/>
      <c r="M1358" s="132"/>
      <c r="N1358" s="132"/>
      <c r="O1358" s="132"/>
      <c r="P1358" s="154"/>
    </row>
    <row r="1359" spans="1:16" s="28" customFormat="1" x14ac:dyDescent="0.25">
      <c r="A1359" s="53"/>
      <c r="B1359" s="58"/>
      <c r="C1359" s="58"/>
      <c r="D1359" s="35"/>
      <c r="E1359" s="132"/>
      <c r="F1359" s="132"/>
      <c r="G1359" s="132"/>
      <c r="H1359" s="132"/>
      <c r="I1359" s="132"/>
      <c r="J1359" s="132"/>
      <c r="K1359" s="132"/>
      <c r="L1359" s="132"/>
      <c r="M1359" s="132"/>
      <c r="N1359" s="132"/>
      <c r="O1359" s="132"/>
      <c r="P1359" s="154"/>
    </row>
    <row r="1360" spans="1:16" s="28" customFormat="1" x14ac:dyDescent="0.25">
      <c r="A1360" s="53"/>
      <c r="B1360" s="58"/>
      <c r="C1360" s="58"/>
      <c r="D1360" s="35"/>
      <c r="E1360" s="132"/>
      <c r="F1360" s="132"/>
      <c r="G1360" s="132"/>
      <c r="H1360" s="132"/>
      <c r="I1360" s="132"/>
      <c r="J1360" s="132"/>
      <c r="K1360" s="132"/>
      <c r="L1360" s="132"/>
      <c r="M1360" s="132"/>
      <c r="N1360" s="132"/>
      <c r="O1360" s="132"/>
      <c r="P1360" s="154"/>
    </row>
    <row r="1361" spans="1:16" s="28" customFormat="1" x14ac:dyDescent="0.25">
      <c r="A1361" s="53"/>
      <c r="B1361" s="58"/>
      <c r="C1361" s="58"/>
      <c r="D1361" s="35"/>
      <c r="E1361" s="132"/>
      <c r="F1361" s="132"/>
      <c r="G1361" s="132"/>
      <c r="H1361" s="132"/>
      <c r="I1361" s="132"/>
      <c r="J1361" s="132"/>
      <c r="K1361" s="132"/>
      <c r="L1361" s="132"/>
      <c r="M1361" s="132"/>
      <c r="N1361" s="132"/>
      <c r="O1361" s="132"/>
      <c r="P1361" s="154"/>
    </row>
    <row r="1362" spans="1:16" s="28" customFormat="1" x14ac:dyDescent="0.25">
      <c r="A1362" s="53"/>
      <c r="B1362" s="58"/>
      <c r="C1362" s="58"/>
      <c r="D1362" s="35"/>
      <c r="E1362" s="132"/>
      <c r="F1362" s="132"/>
      <c r="G1362" s="132"/>
      <c r="H1362" s="132"/>
      <c r="I1362" s="132"/>
      <c r="J1362" s="132"/>
      <c r="K1362" s="132"/>
      <c r="L1362" s="132"/>
      <c r="M1362" s="132"/>
      <c r="N1362" s="132"/>
      <c r="O1362" s="132"/>
      <c r="P1362" s="154"/>
    </row>
    <row r="1363" spans="1:16" s="28" customFormat="1" x14ac:dyDescent="0.25">
      <c r="A1363" s="53"/>
      <c r="B1363" s="58"/>
      <c r="C1363" s="58"/>
      <c r="D1363" s="35"/>
      <c r="E1363" s="132"/>
      <c r="F1363" s="132"/>
      <c r="G1363" s="132"/>
      <c r="H1363" s="132"/>
      <c r="I1363" s="132"/>
      <c r="J1363" s="132"/>
      <c r="K1363" s="132"/>
      <c r="L1363" s="132"/>
      <c r="M1363" s="132"/>
      <c r="N1363" s="132"/>
      <c r="O1363" s="132"/>
      <c r="P1363" s="154"/>
    </row>
    <row r="1364" spans="1:16" s="28" customFormat="1" x14ac:dyDescent="0.25">
      <c r="A1364" s="53"/>
      <c r="B1364" s="58"/>
      <c r="C1364" s="58"/>
      <c r="D1364" s="35"/>
      <c r="E1364" s="132"/>
      <c r="F1364" s="132"/>
      <c r="G1364" s="132"/>
      <c r="H1364" s="132"/>
      <c r="I1364" s="132"/>
      <c r="J1364" s="132"/>
      <c r="K1364" s="132"/>
      <c r="L1364" s="132"/>
      <c r="M1364" s="132"/>
      <c r="N1364" s="132"/>
      <c r="O1364" s="132"/>
      <c r="P1364" s="154"/>
    </row>
    <row r="1365" spans="1:16" s="28" customFormat="1" x14ac:dyDescent="0.25">
      <c r="A1365" s="53"/>
      <c r="B1365" s="58"/>
      <c r="C1365" s="58"/>
      <c r="D1365" s="35"/>
      <c r="E1365" s="132"/>
      <c r="F1365" s="132"/>
      <c r="G1365" s="132"/>
      <c r="H1365" s="132"/>
      <c r="I1365" s="132"/>
      <c r="J1365" s="132"/>
      <c r="K1365" s="132"/>
      <c r="L1365" s="132"/>
      <c r="M1365" s="132"/>
      <c r="N1365" s="132"/>
      <c r="O1365" s="132"/>
      <c r="P1365" s="154"/>
    </row>
    <row r="1366" spans="1:16" s="28" customFormat="1" x14ac:dyDescent="0.25">
      <c r="A1366" s="53"/>
      <c r="B1366" s="58"/>
      <c r="C1366" s="58"/>
      <c r="D1366" s="35"/>
      <c r="E1366" s="132"/>
      <c r="F1366" s="132"/>
      <c r="G1366" s="132"/>
      <c r="H1366" s="132"/>
      <c r="I1366" s="132"/>
      <c r="J1366" s="132"/>
      <c r="K1366" s="132"/>
      <c r="L1366" s="132"/>
      <c r="M1366" s="132"/>
      <c r="N1366" s="132"/>
      <c r="O1366" s="132"/>
      <c r="P1366" s="154"/>
    </row>
    <row r="1367" spans="1:16" s="28" customFormat="1" x14ac:dyDescent="0.25">
      <c r="A1367" s="53"/>
      <c r="B1367" s="58"/>
      <c r="C1367" s="58"/>
      <c r="D1367" s="35"/>
      <c r="E1367" s="132"/>
      <c r="F1367" s="132"/>
      <c r="G1367" s="132"/>
      <c r="H1367" s="132"/>
      <c r="I1367" s="132"/>
      <c r="J1367" s="132"/>
      <c r="K1367" s="132"/>
      <c r="L1367" s="132"/>
      <c r="M1367" s="132"/>
      <c r="N1367" s="132"/>
      <c r="O1367" s="132"/>
      <c r="P1367" s="154"/>
    </row>
    <row r="1368" spans="1:16" s="28" customFormat="1" x14ac:dyDescent="0.25">
      <c r="A1368" s="53"/>
      <c r="B1368" s="58"/>
      <c r="C1368" s="58"/>
      <c r="D1368" s="35"/>
      <c r="E1368" s="132"/>
      <c r="F1368" s="132"/>
      <c r="G1368" s="132"/>
      <c r="H1368" s="132"/>
      <c r="I1368" s="132"/>
      <c r="J1368" s="132"/>
      <c r="K1368" s="132"/>
      <c r="L1368" s="132"/>
      <c r="M1368" s="132"/>
      <c r="N1368" s="132"/>
      <c r="O1368" s="132"/>
      <c r="P1368" s="154"/>
    </row>
    <row r="1369" spans="1:16" s="28" customFormat="1" x14ac:dyDescent="0.25">
      <c r="A1369" s="53"/>
      <c r="B1369" s="58"/>
      <c r="C1369" s="58"/>
      <c r="D1369" s="35"/>
      <c r="E1369" s="132"/>
      <c r="F1369" s="132"/>
      <c r="G1369" s="132"/>
      <c r="H1369" s="132"/>
      <c r="I1369" s="132"/>
      <c r="J1369" s="132"/>
      <c r="K1369" s="132"/>
      <c r="L1369" s="132"/>
      <c r="M1369" s="132"/>
      <c r="N1369" s="132"/>
      <c r="O1369" s="132"/>
      <c r="P1369" s="154"/>
    </row>
    <row r="1370" spans="1:16" s="28" customFormat="1" x14ac:dyDescent="0.25">
      <c r="A1370" s="53"/>
      <c r="B1370" s="58"/>
      <c r="C1370" s="58"/>
      <c r="D1370" s="35"/>
      <c r="E1370" s="132"/>
      <c r="F1370" s="132"/>
      <c r="G1370" s="132"/>
      <c r="H1370" s="132"/>
      <c r="I1370" s="132"/>
      <c r="J1370" s="132"/>
      <c r="K1370" s="132"/>
      <c r="L1370" s="132"/>
      <c r="M1370" s="132"/>
      <c r="N1370" s="132"/>
      <c r="O1370" s="132"/>
      <c r="P1370" s="154"/>
    </row>
    <row r="1371" spans="1:16" s="28" customFormat="1" x14ac:dyDescent="0.25">
      <c r="A1371" s="53"/>
      <c r="B1371" s="58"/>
      <c r="C1371" s="58"/>
      <c r="D1371" s="35"/>
      <c r="E1371" s="132"/>
      <c r="F1371" s="132"/>
      <c r="G1371" s="132"/>
      <c r="H1371" s="132"/>
      <c r="I1371" s="132"/>
      <c r="J1371" s="132"/>
      <c r="K1371" s="132"/>
      <c r="L1371" s="132"/>
      <c r="M1371" s="132"/>
      <c r="N1371" s="132"/>
      <c r="O1371" s="132"/>
      <c r="P1371" s="154"/>
    </row>
    <row r="1372" spans="1:16" s="28" customFormat="1" x14ac:dyDescent="0.25">
      <c r="A1372" s="53"/>
      <c r="B1372" s="58"/>
      <c r="C1372" s="58"/>
      <c r="D1372" s="35"/>
      <c r="E1372" s="132"/>
      <c r="F1372" s="132"/>
      <c r="G1372" s="132"/>
      <c r="H1372" s="132"/>
      <c r="I1372" s="132"/>
      <c r="J1372" s="132"/>
      <c r="K1372" s="132"/>
      <c r="L1372" s="132"/>
      <c r="M1372" s="132"/>
      <c r="N1372" s="132"/>
      <c r="O1372" s="132"/>
      <c r="P1372" s="154"/>
    </row>
    <row r="1373" spans="1:16" s="28" customFormat="1" x14ac:dyDescent="0.25">
      <c r="A1373" s="53"/>
      <c r="B1373" s="58"/>
      <c r="C1373" s="58"/>
      <c r="D1373" s="35"/>
      <c r="E1373" s="132"/>
      <c r="F1373" s="132"/>
      <c r="G1373" s="132"/>
      <c r="H1373" s="132"/>
      <c r="I1373" s="132"/>
      <c r="J1373" s="132"/>
      <c r="K1373" s="132"/>
      <c r="L1373" s="132"/>
      <c r="M1373" s="132"/>
      <c r="N1373" s="132"/>
      <c r="O1373" s="132"/>
      <c r="P1373" s="154"/>
    </row>
    <row r="1374" spans="1:16" s="28" customFormat="1" x14ac:dyDescent="0.25">
      <c r="A1374" s="53"/>
      <c r="B1374" s="58"/>
      <c r="C1374" s="58"/>
      <c r="D1374" s="35"/>
      <c r="E1374" s="132"/>
      <c r="F1374" s="132"/>
      <c r="G1374" s="132"/>
      <c r="H1374" s="132"/>
      <c r="I1374" s="132"/>
      <c r="J1374" s="132"/>
      <c r="K1374" s="132"/>
      <c r="L1374" s="132"/>
      <c r="M1374" s="132"/>
      <c r="N1374" s="132"/>
      <c r="O1374" s="132"/>
      <c r="P1374" s="154"/>
    </row>
    <row r="1375" spans="1:16" s="28" customFormat="1" x14ac:dyDescent="0.25">
      <c r="A1375" s="53"/>
      <c r="B1375" s="58"/>
      <c r="C1375" s="58"/>
      <c r="D1375" s="35"/>
      <c r="E1375" s="132"/>
      <c r="F1375" s="132"/>
      <c r="G1375" s="132"/>
      <c r="H1375" s="132"/>
      <c r="I1375" s="132"/>
      <c r="J1375" s="132"/>
      <c r="K1375" s="132"/>
      <c r="L1375" s="132"/>
      <c r="M1375" s="132"/>
      <c r="N1375" s="132"/>
      <c r="O1375" s="132"/>
      <c r="P1375" s="154"/>
    </row>
    <row r="1376" spans="1:16" s="28" customFormat="1" x14ac:dyDescent="0.25">
      <c r="A1376" s="53"/>
      <c r="B1376" s="58"/>
      <c r="C1376" s="58"/>
      <c r="D1376" s="35"/>
      <c r="E1376" s="132"/>
      <c r="F1376" s="132"/>
      <c r="G1376" s="132"/>
      <c r="H1376" s="132"/>
      <c r="I1376" s="132"/>
      <c r="J1376" s="132"/>
      <c r="K1376" s="132"/>
      <c r="L1376" s="132"/>
      <c r="M1376" s="132"/>
      <c r="N1376" s="132"/>
      <c r="O1376" s="132"/>
      <c r="P1376" s="154"/>
    </row>
    <row r="1377" spans="1:16" s="28" customFormat="1" x14ac:dyDescent="0.25">
      <c r="A1377" s="53"/>
      <c r="B1377" s="58"/>
      <c r="C1377" s="58"/>
      <c r="D1377" s="35"/>
      <c r="E1377" s="132"/>
      <c r="F1377" s="132"/>
      <c r="G1377" s="132"/>
      <c r="H1377" s="132"/>
      <c r="I1377" s="132"/>
      <c r="J1377" s="132"/>
      <c r="K1377" s="132"/>
      <c r="L1377" s="132"/>
      <c r="M1377" s="132"/>
      <c r="N1377" s="132"/>
      <c r="O1377" s="132"/>
      <c r="P1377" s="154"/>
    </row>
    <row r="1378" spans="1:16" s="28" customFormat="1" x14ac:dyDescent="0.25">
      <c r="A1378" s="53"/>
      <c r="B1378" s="58"/>
      <c r="C1378" s="58"/>
      <c r="D1378" s="35"/>
      <c r="E1378" s="132"/>
      <c r="F1378" s="132"/>
      <c r="G1378" s="132"/>
      <c r="H1378" s="132"/>
      <c r="I1378" s="132"/>
      <c r="J1378" s="132"/>
      <c r="K1378" s="132"/>
      <c r="L1378" s="132"/>
      <c r="M1378" s="132"/>
      <c r="N1378" s="132"/>
      <c r="O1378" s="132"/>
      <c r="P1378" s="154"/>
    </row>
    <row r="1379" spans="1:16" s="28" customFormat="1" x14ac:dyDescent="0.25">
      <c r="A1379" s="53"/>
      <c r="B1379" s="58"/>
      <c r="C1379" s="58"/>
      <c r="D1379" s="35"/>
      <c r="E1379" s="132"/>
      <c r="F1379" s="132"/>
      <c r="G1379" s="132"/>
      <c r="H1379" s="132"/>
      <c r="I1379" s="132"/>
      <c r="J1379" s="132"/>
      <c r="K1379" s="132"/>
      <c r="L1379" s="132"/>
      <c r="M1379" s="132"/>
      <c r="N1379" s="132"/>
      <c r="O1379" s="132"/>
      <c r="P1379" s="154"/>
    </row>
    <row r="1380" spans="1:16" s="28" customFormat="1" x14ac:dyDescent="0.25">
      <c r="A1380" s="53"/>
      <c r="B1380" s="58"/>
      <c r="C1380" s="58"/>
      <c r="D1380" s="35"/>
      <c r="E1380" s="132"/>
      <c r="F1380" s="132"/>
      <c r="G1380" s="132"/>
      <c r="H1380" s="132"/>
      <c r="I1380" s="132"/>
      <c r="J1380" s="132"/>
      <c r="K1380" s="132"/>
      <c r="L1380" s="132"/>
      <c r="M1380" s="132"/>
      <c r="N1380" s="132"/>
      <c r="O1380" s="132"/>
      <c r="P1380" s="154"/>
    </row>
    <row r="1381" spans="1:16" s="28" customFormat="1" x14ac:dyDescent="0.25">
      <c r="A1381" s="53"/>
      <c r="B1381" s="58"/>
      <c r="C1381" s="58"/>
      <c r="D1381" s="35"/>
      <c r="E1381" s="132"/>
      <c r="F1381" s="132"/>
      <c r="G1381" s="132"/>
      <c r="H1381" s="132"/>
      <c r="I1381" s="132"/>
      <c r="J1381" s="132"/>
      <c r="K1381" s="132"/>
      <c r="L1381" s="132"/>
      <c r="M1381" s="132"/>
      <c r="N1381" s="132"/>
      <c r="O1381" s="132"/>
      <c r="P1381" s="154"/>
    </row>
    <row r="1382" spans="1:16" s="28" customFormat="1" x14ac:dyDescent="0.25">
      <c r="A1382" s="53"/>
      <c r="B1382" s="58"/>
      <c r="C1382" s="58"/>
      <c r="D1382" s="35"/>
      <c r="E1382" s="132"/>
      <c r="F1382" s="132"/>
      <c r="G1382" s="132"/>
      <c r="H1382" s="132"/>
      <c r="I1382" s="132"/>
      <c r="J1382" s="132"/>
      <c r="K1382" s="132"/>
      <c r="L1382" s="132"/>
      <c r="M1382" s="132"/>
      <c r="N1382" s="132"/>
      <c r="O1382" s="132"/>
      <c r="P1382" s="154"/>
    </row>
    <row r="1383" spans="1:16" s="28" customFormat="1" x14ac:dyDescent="0.25">
      <c r="A1383" s="53"/>
      <c r="B1383" s="58"/>
      <c r="C1383" s="58"/>
      <c r="D1383" s="35"/>
      <c r="E1383" s="132"/>
      <c r="F1383" s="132"/>
      <c r="G1383" s="132"/>
      <c r="H1383" s="132"/>
      <c r="I1383" s="132"/>
      <c r="J1383" s="132"/>
      <c r="K1383" s="132"/>
      <c r="L1383" s="132"/>
      <c r="M1383" s="132"/>
      <c r="N1383" s="132"/>
      <c r="O1383" s="132"/>
      <c r="P1383" s="154"/>
    </row>
    <row r="1384" spans="1:16" s="28" customFormat="1" x14ac:dyDescent="0.25">
      <c r="A1384" s="53"/>
      <c r="B1384" s="58"/>
      <c r="C1384" s="58"/>
      <c r="D1384" s="35"/>
      <c r="E1384" s="132"/>
      <c r="F1384" s="132"/>
      <c r="G1384" s="132"/>
      <c r="H1384" s="132"/>
      <c r="I1384" s="132"/>
      <c r="J1384" s="132"/>
      <c r="K1384" s="132"/>
      <c r="L1384" s="132"/>
      <c r="M1384" s="132"/>
      <c r="N1384" s="132"/>
      <c r="O1384" s="132"/>
      <c r="P1384" s="154"/>
    </row>
    <row r="1385" spans="1:16" s="28" customFormat="1" x14ac:dyDescent="0.25">
      <c r="A1385" s="53"/>
      <c r="B1385" s="58"/>
      <c r="C1385" s="58"/>
      <c r="D1385" s="35"/>
      <c r="E1385" s="132"/>
      <c r="F1385" s="132"/>
      <c r="G1385" s="132"/>
      <c r="H1385" s="132"/>
      <c r="I1385" s="132"/>
      <c r="J1385" s="132"/>
      <c r="K1385" s="132"/>
      <c r="L1385" s="132"/>
      <c r="M1385" s="132"/>
      <c r="N1385" s="132"/>
      <c r="O1385" s="132"/>
      <c r="P1385" s="154"/>
    </row>
    <row r="1386" spans="1:16" s="28" customFormat="1" x14ac:dyDescent="0.25">
      <c r="A1386" s="53"/>
      <c r="B1386" s="58"/>
      <c r="C1386" s="58"/>
      <c r="D1386" s="35"/>
      <c r="E1386" s="132"/>
      <c r="F1386" s="132"/>
      <c r="G1386" s="132"/>
      <c r="H1386" s="132"/>
      <c r="I1386" s="132"/>
      <c r="J1386" s="132"/>
      <c r="K1386" s="132"/>
      <c r="L1386" s="132"/>
      <c r="M1386" s="132"/>
      <c r="N1386" s="132"/>
      <c r="O1386" s="132"/>
      <c r="P1386" s="154"/>
    </row>
    <row r="1387" spans="1:16" s="28" customFormat="1" x14ac:dyDescent="0.25">
      <c r="A1387" s="53"/>
      <c r="B1387" s="58"/>
      <c r="C1387" s="58"/>
      <c r="D1387" s="35"/>
      <c r="E1387" s="132"/>
      <c r="F1387" s="132"/>
      <c r="G1387" s="132"/>
      <c r="H1387" s="132"/>
      <c r="I1387" s="132"/>
      <c r="J1387" s="132"/>
      <c r="K1387" s="132"/>
      <c r="L1387" s="132"/>
      <c r="M1387" s="132"/>
      <c r="N1387" s="132"/>
      <c r="O1387" s="132"/>
      <c r="P1387" s="154"/>
    </row>
    <row r="1388" spans="1:16" s="28" customFormat="1" x14ac:dyDescent="0.25">
      <c r="A1388" s="53"/>
      <c r="B1388" s="58"/>
      <c r="C1388" s="58"/>
      <c r="D1388" s="35"/>
      <c r="E1388" s="132"/>
      <c r="F1388" s="132"/>
      <c r="G1388" s="132"/>
      <c r="H1388" s="132"/>
      <c r="I1388" s="132"/>
      <c r="J1388" s="132"/>
      <c r="K1388" s="132"/>
      <c r="L1388" s="132"/>
      <c r="M1388" s="132"/>
      <c r="N1388" s="132"/>
      <c r="O1388" s="132"/>
      <c r="P1388" s="154"/>
    </row>
    <row r="1389" spans="1:16" s="28" customFormat="1" x14ac:dyDescent="0.25">
      <c r="A1389" s="53"/>
      <c r="B1389" s="58"/>
      <c r="C1389" s="58"/>
      <c r="D1389" s="35"/>
      <c r="E1389" s="132"/>
      <c r="F1389" s="132"/>
      <c r="G1389" s="132"/>
      <c r="H1389" s="132"/>
      <c r="I1389" s="132"/>
      <c r="J1389" s="132"/>
      <c r="K1389" s="132"/>
      <c r="L1389" s="132"/>
      <c r="M1389" s="132"/>
      <c r="N1389" s="132"/>
      <c r="O1389" s="132"/>
      <c r="P1389" s="154"/>
    </row>
    <row r="1390" spans="1:16" s="28" customFormat="1" x14ac:dyDescent="0.25">
      <c r="A1390" s="53"/>
      <c r="B1390" s="58"/>
      <c r="C1390" s="58"/>
      <c r="D1390" s="35"/>
      <c r="E1390" s="132"/>
      <c r="F1390" s="132"/>
      <c r="G1390" s="132"/>
      <c r="H1390" s="132"/>
      <c r="I1390" s="132"/>
      <c r="J1390" s="132"/>
      <c r="K1390" s="132"/>
      <c r="L1390" s="132"/>
      <c r="M1390" s="132"/>
      <c r="N1390" s="132"/>
      <c r="O1390" s="132"/>
      <c r="P1390" s="154"/>
    </row>
    <row r="1391" spans="1:16" s="28" customFormat="1" x14ac:dyDescent="0.25">
      <c r="A1391" s="53"/>
      <c r="B1391" s="58"/>
      <c r="C1391" s="58"/>
      <c r="D1391" s="35"/>
      <c r="E1391" s="132"/>
      <c r="F1391" s="132"/>
      <c r="G1391" s="132"/>
      <c r="H1391" s="132"/>
      <c r="I1391" s="132"/>
      <c r="J1391" s="132"/>
      <c r="K1391" s="132"/>
      <c r="L1391" s="132"/>
      <c r="M1391" s="132"/>
      <c r="N1391" s="132"/>
      <c r="O1391" s="132"/>
      <c r="P1391" s="154"/>
    </row>
    <row r="1392" spans="1:16" s="28" customFormat="1" x14ac:dyDescent="0.25">
      <c r="A1392" s="53"/>
      <c r="B1392" s="58"/>
      <c r="C1392" s="58"/>
      <c r="D1392" s="35"/>
      <c r="E1392" s="132"/>
      <c r="F1392" s="132"/>
      <c r="G1392" s="132"/>
      <c r="H1392" s="132"/>
      <c r="I1392" s="132"/>
      <c r="J1392" s="132"/>
      <c r="K1392" s="132"/>
      <c r="L1392" s="132"/>
      <c r="M1392" s="132"/>
      <c r="N1392" s="132"/>
      <c r="O1392" s="132"/>
      <c r="P1392" s="154"/>
    </row>
    <row r="1393" spans="1:16" s="28" customFormat="1" x14ac:dyDescent="0.25">
      <c r="A1393" s="53"/>
      <c r="B1393" s="58"/>
      <c r="C1393" s="58"/>
      <c r="D1393" s="35"/>
      <c r="E1393" s="132"/>
      <c r="F1393" s="132"/>
      <c r="G1393" s="132"/>
      <c r="H1393" s="132"/>
      <c r="I1393" s="132"/>
      <c r="J1393" s="132"/>
      <c r="K1393" s="132"/>
      <c r="L1393" s="132"/>
      <c r="M1393" s="132"/>
      <c r="N1393" s="132"/>
      <c r="O1393" s="132"/>
      <c r="P1393" s="154"/>
    </row>
    <row r="1394" spans="1:16" s="28" customFormat="1" x14ac:dyDescent="0.25">
      <c r="A1394" s="53"/>
      <c r="B1394" s="58"/>
      <c r="C1394" s="58"/>
      <c r="D1394" s="35"/>
      <c r="E1394" s="132"/>
      <c r="F1394" s="132"/>
      <c r="G1394" s="132"/>
      <c r="H1394" s="132"/>
      <c r="I1394" s="132"/>
      <c r="J1394" s="132"/>
      <c r="K1394" s="132"/>
      <c r="L1394" s="132"/>
      <c r="M1394" s="132"/>
      <c r="N1394" s="132"/>
      <c r="O1394" s="132"/>
      <c r="P1394" s="154"/>
    </row>
    <row r="1395" spans="1:16" s="28" customFormat="1" x14ac:dyDescent="0.25">
      <c r="A1395" s="53"/>
      <c r="B1395" s="58"/>
      <c r="C1395" s="58"/>
      <c r="D1395" s="35"/>
      <c r="E1395" s="132"/>
      <c r="F1395" s="132"/>
      <c r="G1395" s="132"/>
      <c r="H1395" s="132"/>
      <c r="I1395" s="132"/>
      <c r="J1395" s="132"/>
      <c r="K1395" s="132"/>
      <c r="L1395" s="132"/>
      <c r="M1395" s="132"/>
      <c r="N1395" s="132"/>
      <c r="O1395" s="132"/>
      <c r="P1395" s="154"/>
    </row>
    <row r="1396" spans="1:16" s="28" customFormat="1" x14ac:dyDescent="0.25">
      <c r="A1396" s="53"/>
      <c r="B1396" s="58"/>
      <c r="C1396" s="58"/>
      <c r="D1396" s="35"/>
      <c r="E1396" s="132"/>
      <c r="F1396" s="132"/>
      <c r="G1396" s="132"/>
      <c r="H1396" s="132"/>
      <c r="I1396" s="132"/>
      <c r="J1396" s="132"/>
      <c r="K1396" s="132"/>
      <c r="L1396" s="132"/>
      <c r="M1396" s="132"/>
      <c r="N1396" s="132"/>
      <c r="O1396" s="132"/>
      <c r="P1396" s="154"/>
    </row>
    <row r="1397" spans="1:16" s="28" customFormat="1" x14ac:dyDescent="0.25">
      <c r="A1397" s="53"/>
      <c r="B1397" s="58"/>
      <c r="C1397" s="58"/>
      <c r="D1397" s="35"/>
      <c r="E1397" s="132"/>
      <c r="F1397" s="132"/>
      <c r="G1397" s="132"/>
      <c r="H1397" s="132"/>
      <c r="I1397" s="132"/>
      <c r="J1397" s="132"/>
      <c r="K1397" s="132"/>
      <c r="L1397" s="132"/>
      <c r="M1397" s="132"/>
      <c r="N1397" s="132"/>
      <c r="O1397" s="132"/>
      <c r="P1397" s="154"/>
    </row>
    <row r="1398" spans="1:16" s="28" customFormat="1" x14ac:dyDescent="0.25">
      <c r="A1398" s="53"/>
      <c r="B1398" s="58"/>
      <c r="C1398" s="58"/>
      <c r="D1398" s="35"/>
      <c r="E1398" s="132"/>
      <c r="F1398" s="132"/>
      <c r="G1398" s="132"/>
      <c r="H1398" s="132"/>
      <c r="I1398" s="132"/>
      <c r="J1398" s="132"/>
      <c r="K1398" s="132"/>
      <c r="L1398" s="132"/>
      <c r="M1398" s="132"/>
      <c r="N1398" s="132"/>
      <c r="O1398" s="132"/>
      <c r="P1398" s="154"/>
    </row>
    <row r="1399" spans="1:16" s="28" customFormat="1" x14ac:dyDescent="0.25">
      <c r="A1399" s="53"/>
      <c r="B1399" s="58"/>
      <c r="C1399" s="58"/>
      <c r="D1399" s="35"/>
      <c r="E1399" s="132"/>
      <c r="F1399" s="132"/>
      <c r="G1399" s="132"/>
      <c r="H1399" s="132"/>
      <c r="I1399" s="132"/>
      <c r="J1399" s="132"/>
      <c r="K1399" s="132"/>
      <c r="L1399" s="132"/>
      <c r="M1399" s="132"/>
      <c r="N1399" s="132"/>
      <c r="O1399" s="132"/>
      <c r="P1399" s="154"/>
    </row>
    <row r="1400" spans="1:16" s="28" customFormat="1" x14ac:dyDescent="0.25">
      <c r="A1400" s="53"/>
      <c r="B1400" s="58"/>
      <c r="C1400" s="58"/>
      <c r="D1400" s="35"/>
      <c r="E1400" s="132"/>
      <c r="F1400" s="132"/>
      <c r="G1400" s="132"/>
      <c r="H1400" s="132"/>
      <c r="I1400" s="132"/>
      <c r="J1400" s="132"/>
      <c r="K1400" s="132"/>
      <c r="L1400" s="132"/>
      <c r="M1400" s="132"/>
      <c r="N1400" s="132"/>
      <c r="O1400" s="132"/>
      <c r="P1400" s="154"/>
    </row>
    <row r="1401" spans="1:16" s="28" customFormat="1" x14ac:dyDescent="0.25">
      <c r="A1401" s="53"/>
      <c r="B1401" s="58"/>
      <c r="C1401" s="58"/>
      <c r="D1401" s="35"/>
      <c r="E1401" s="132"/>
      <c r="F1401" s="132"/>
      <c r="G1401" s="132"/>
      <c r="H1401" s="132"/>
      <c r="I1401" s="132"/>
      <c r="J1401" s="132"/>
      <c r="K1401" s="132"/>
      <c r="L1401" s="132"/>
      <c r="M1401" s="132"/>
      <c r="N1401" s="132"/>
      <c r="O1401" s="132"/>
      <c r="P1401" s="154"/>
    </row>
    <row r="1402" spans="1:16" s="28" customFormat="1" x14ac:dyDescent="0.25">
      <c r="A1402" s="53"/>
      <c r="B1402" s="58"/>
      <c r="C1402" s="58"/>
      <c r="D1402" s="35"/>
      <c r="E1402" s="132"/>
      <c r="F1402" s="132"/>
      <c r="G1402" s="132"/>
      <c r="H1402" s="132"/>
      <c r="I1402" s="132"/>
      <c r="J1402" s="132"/>
      <c r="K1402" s="132"/>
      <c r="L1402" s="132"/>
      <c r="M1402" s="132"/>
      <c r="N1402" s="132"/>
      <c r="O1402" s="132"/>
      <c r="P1402" s="154"/>
    </row>
    <row r="1403" spans="1:16" s="28" customFormat="1" x14ac:dyDescent="0.25">
      <c r="A1403" s="53"/>
      <c r="B1403" s="58"/>
      <c r="C1403" s="58"/>
      <c r="D1403" s="35"/>
      <c r="E1403" s="132"/>
      <c r="F1403" s="132"/>
      <c r="G1403" s="132"/>
      <c r="H1403" s="132"/>
      <c r="I1403" s="132"/>
      <c r="J1403" s="132"/>
      <c r="K1403" s="132"/>
      <c r="L1403" s="132"/>
      <c r="M1403" s="132"/>
      <c r="N1403" s="132"/>
      <c r="O1403" s="132"/>
      <c r="P1403" s="154"/>
    </row>
    <row r="1404" spans="1:16" s="28" customFormat="1" x14ac:dyDescent="0.25">
      <c r="A1404" s="53"/>
      <c r="B1404" s="58"/>
      <c r="C1404" s="58"/>
      <c r="D1404" s="35"/>
      <c r="E1404" s="132"/>
      <c r="F1404" s="132"/>
      <c r="G1404" s="132"/>
      <c r="H1404" s="132"/>
      <c r="I1404" s="132"/>
      <c r="J1404" s="132"/>
      <c r="K1404" s="132"/>
      <c r="L1404" s="132"/>
      <c r="M1404" s="132"/>
      <c r="N1404" s="132"/>
      <c r="O1404" s="132"/>
      <c r="P1404" s="154"/>
    </row>
    <row r="1405" spans="1:16" s="28" customFormat="1" x14ac:dyDescent="0.25">
      <c r="A1405" s="53"/>
      <c r="B1405" s="58"/>
      <c r="C1405" s="58"/>
      <c r="D1405" s="35"/>
      <c r="E1405" s="132"/>
      <c r="F1405" s="132"/>
      <c r="G1405" s="132"/>
      <c r="H1405" s="132"/>
      <c r="I1405" s="132"/>
      <c r="J1405" s="132"/>
      <c r="K1405" s="132"/>
      <c r="L1405" s="132"/>
      <c r="M1405" s="132"/>
      <c r="N1405" s="132"/>
      <c r="O1405" s="132"/>
      <c r="P1405" s="154"/>
    </row>
    <row r="1406" spans="1:16" s="28" customFormat="1" x14ac:dyDescent="0.25">
      <c r="A1406" s="53"/>
      <c r="B1406" s="58"/>
      <c r="C1406" s="58"/>
      <c r="D1406" s="35"/>
      <c r="E1406" s="132"/>
      <c r="F1406" s="132"/>
      <c r="G1406" s="132"/>
      <c r="H1406" s="132"/>
      <c r="I1406" s="132"/>
      <c r="J1406" s="132"/>
      <c r="K1406" s="132"/>
      <c r="L1406" s="132"/>
      <c r="M1406" s="132"/>
      <c r="N1406" s="132"/>
      <c r="O1406" s="132"/>
      <c r="P1406" s="154"/>
    </row>
    <row r="1407" spans="1:16" s="28" customFormat="1" x14ac:dyDescent="0.25">
      <c r="A1407" s="53"/>
      <c r="B1407" s="58"/>
      <c r="C1407" s="58"/>
      <c r="D1407" s="35"/>
      <c r="E1407" s="132"/>
      <c r="F1407" s="132"/>
      <c r="G1407" s="132"/>
      <c r="H1407" s="132"/>
      <c r="I1407" s="132"/>
      <c r="J1407" s="132"/>
      <c r="K1407" s="132"/>
      <c r="L1407" s="132"/>
      <c r="M1407" s="132"/>
      <c r="N1407" s="132"/>
      <c r="O1407" s="132"/>
      <c r="P1407" s="154"/>
    </row>
    <row r="1408" spans="1:16" s="28" customFormat="1" x14ac:dyDescent="0.25">
      <c r="A1408" s="53"/>
      <c r="B1408" s="58"/>
      <c r="C1408" s="58"/>
      <c r="D1408" s="35"/>
      <c r="E1408" s="132"/>
      <c r="F1408" s="132"/>
      <c r="G1408" s="132"/>
      <c r="H1408" s="132"/>
      <c r="I1408" s="132"/>
      <c r="J1408" s="132"/>
      <c r="K1408" s="132"/>
      <c r="L1408" s="132"/>
      <c r="M1408" s="132"/>
      <c r="N1408" s="132"/>
      <c r="O1408" s="132"/>
      <c r="P1408" s="154"/>
    </row>
    <row r="1409" spans="1:16" s="28" customFormat="1" x14ac:dyDescent="0.25">
      <c r="A1409" s="53"/>
      <c r="B1409" s="58"/>
      <c r="C1409" s="58"/>
      <c r="D1409" s="35"/>
      <c r="E1409" s="132"/>
      <c r="F1409" s="132"/>
      <c r="G1409" s="132"/>
      <c r="H1409" s="132"/>
      <c r="I1409" s="132"/>
      <c r="J1409" s="132"/>
      <c r="K1409" s="132"/>
      <c r="L1409" s="132"/>
      <c r="M1409" s="132"/>
      <c r="N1409" s="132"/>
      <c r="O1409" s="132"/>
      <c r="P1409" s="154"/>
    </row>
    <row r="1410" spans="1:16" s="28" customFormat="1" x14ac:dyDescent="0.25">
      <c r="A1410" s="53"/>
      <c r="B1410" s="58"/>
      <c r="C1410" s="58"/>
      <c r="D1410" s="35"/>
      <c r="E1410" s="132"/>
      <c r="F1410" s="132"/>
      <c r="G1410" s="132"/>
      <c r="H1410" s="132"/>
      <c r="I1410" s="132"/>
      <c r="J1410" s="132"/>
      <c r="K1410" s="132"/>
      <c r="L1410" s="132"/>
      <c r="M1410" s="132"/>
      <c r="N1410" s="132"/>
      <c r="O1410" s="132"/>
      <c r="P1410" s="154"/>
    </row>
    <row r="1411" spans="1:16" s="28" customFormat="1" x14ac:dyDescent="0.25">
      <c r="A1411" s="53"/>
      <c r="B1411" s="58"/>
      <c r="C1411" s="58"/>
      <c r="D1411" s="35"/>
      <c r="E1411" s="132"/>
      <c r="F1411" s="132"/>
      <c r="G1411" s="132"/>
      <c r="H1411" s="132"/>
      <c r="I1411" s="132"/>
      <c r="J1411" s="132"/>
      <c r="K1411" s="132"/>
      <c r="L1411" s="132"/>
      <c r="M1411" s="132"/>
      <c r="N1411" s="132"/>
      <c r="O1411" s="132"/>
      <c r="P1411" s="154"/>
    </row>
    <row r="1412" spans="1:16" s="28" customFormat="1" x14ac:dyDescent="0.25">
      <c r="A1412" s="53"/>
      <c r="B1412" s="58"/>
      <c r="C1412" s="58"/>
      <c r="D1412" s="35"/>
      <c r="E1412" s="132"/>
      <c r="F1412" s="132"/>
      <c r="G1412" s="132"/>
      <c r="H1412" s="132"/>
      <c r="I1412" s="132"/>
      <c r="J1412" s="132"/>
      <c r="K1412" s="132"/>
      <c r="L1412" s="132"/>
      <c r="M1412" s="132"/>
      <c r="N1412" s="132"/>
      <c r="O1412" s="132"/>
      <c r="P1412" s="154"/>
    </row>
    <row r="1413" spans="1:16" s="28" customFormat="1" x14ac:dyDescent="0.25">
      <c r="A1413" s="53"/>
      <c r="B1413" s="58"/>
      <c r="C1413" s="58"/>
      <c r="D1413" s="35"/>
      <c r="E1413" s="132"/>
      <c r="F1413" s="132"/>
      <c r="G1413" s="132"/>
      <c r="H1413" s="132"/>
      <c r="I1413" s="132"/>
      <c r="J1413" s="132"/>
      <c r="K1413" s="132"/>
      <c r="L1413" s="132"/>
      <c r="M1413" s="132"/>
      <c r="N1413" s="132"/>
      <c r="O1413" s="132"/>
      <c r="P1413" s="154"/>
    </row>
    <row r="1414" spans="1:16" s="28" customFormat="1" x14ac:dyDescent="0.25">
      <c r="A1414" s="53"/>
      <c r="B1414" s="58"/>
      <c r="C1414" s="58"/>
      <c r="D1414" s="35"/>
      <c r="E1414" s="132"/>
      <c r="F1414" s="132"/>
      <c r="G1414" s="132"/>
      <c r="H1414" s="132"/>
      <c r="I1414" s="132"/>
      <c r="J1414" s="132"/>
      <c r="K1414" s="132"/>
      <c r="L1414" s="132"/>
      <c r="M1414" s="132"/>
      <c r="N1414" s="132"/>
      <c r="O1414" s="132"/>
      <c r="P1414" s="154"/>
    </row>
    <row r="1415" spans="1:16" s="28" customFormat="1" x14ac:dyDescent="0.25">
      <c r="A1415" s="53"/>
      <c r="B1415" s="58"/>
      <c r="C1415" s="58"/>
      <c r="D1415" s="35"/>
      <c r="E1415" s="132"/>
      <c r="F1415" s="132"/>
      <c r="G1415" s="132"/>
      <c r="H1415" s="132"/>
      <c r="I1415" s="132"/>
      <c r="J1415" s="132"/>
      <c r="K1415" s="132"/>
      <c r="L1415" s="132"/>
      <c r="M1415" s="132"/>
      <c r="N1415" s="132"/>
      <c r="O1415" s="132"/>
      <c r="P1415" s="154"/>
    </row>
    <row r="1416" spans="1:16" s="28" customFormat="1" x14ac:dyDescent="0.25">
      <c r="A1416" s="53"/>
      <c r="B1416" s="58"/>
      <c r="C1416" s="58"/>
      <c r="D1416" s="35"/>
      <c r="E1416" s="132"/>
      <c r="F1416" s="132"/>
      <c r="G1416" s="132"/>
      <c r="H1416" s="132"/>
      <c r="I1416" s="132"/>
      <c r="J1416" s="132"/>
      <c r="K1416" s="132"/>
      <c r="L1416" s="132"/>
      <c r="M1416" s="132"/>
      <c r="N1416" s="132"/>
      <c r="O1416" s="132"/>
      <c r="P1416" s="154"/>
    </row>
    <row r="1417" spans="1:16" s="28" customFormat="1" x14ac:dyDescent="0.25">
      <c r="A1417" s="53"/>
      <c r="B1417" s="58"/>
      <c r="C1417" s="58"/>
      <c r="D1417" s="35"/>
      <c r="E1417" s="132"/>
      <c r="F1417" s="132"/>
      <c r="G1417" s="132"/>
      <c r="H1417" s="132"/>
      <c r="I1417" s="132"/>
      <c r="J1417" s="132"/>
      <c r="K1417" s="132"/>
      <c r="L1417" s="132"/>
      <c r="M1417" s="132"/>
      <c r="N1417" s="132"/>
      <c r="O1417" s="132"/>
      <c r="P1417" s="154"/>
    </row>
    <row r="1418" spans="1:16" s="28" customFormat="1" x14ac:dyDescent="0.25">
      <c r="A1418" s="53"/>
      <c r="B1418" s="58"/>
      <c r="C1418" s="58"/>
      <c r="D1418" s="35"/>
      <c r="E1418" s="132"/>
      <c r="F1418" s="132"/>
      <c r="G1418" s="132"/>
      <c r="H1418" s="132"/>
      <c r="I1418" s="132"/>
      <c r="J1418" s="132"/>
      <c r="K1418" s="132"/>
      <c r="L1418" s="132"/>
      <c r="M1418" s="132"/>
      <c r="N1418" s="132"/>
      <c r="O1418" s="132"/>
      <c r="P1418" s="154"/>
    </row>
    <row r="1419" spans="1:16" s="28" customFormat="1" x14ac:dyDescent="0.25">
      <c r="A1419" s="53"/>
      <c r="B1419" s="58"/>
      <c r="C1419" s="58"/>
      <c r="D1419" s="35"/>
      <c r="E1419" s="132"/>
      <c r="F1419" s="132"/>
      <c r="G1419" s="132"/>
      <c r="H1419" s="132"/>
      <c r="I1419" s="132"/>
      <c r="J1419" s="132"/>
      <c r="K1419" s="132"/>
      <c r="L1419" s="132"/>
      <c r="M1419" s="132"/>
      <c r="N1419" s="132"/>
      <c r="O1419" s="132"/>
      <c r="P1419" s="154"/>
    </row>
    <row r="1420" spans="1:16" s="28" customFormat="1" x14ac:dyDescent="0.25">
      <c r="A1420" s="53"/>
      <c r="B1420" s="58"/>
      <c r="C1420" s="58"/>
      <c r="D1420" s="35"/>
      <c r="E1420" s="132"/>
      <c r="F1420" s="132"/>
      <c r="G1420" s="132"/>
      <c r="H1420" s="132"/>
      <c r="I1420" s="132"/>
      <c r="J1420" s="132"/>
      <c r="K1420" s="132"/>
      <c r="L1420" s="132"/>
      <c r="M1420" s="132"/>
      <c r="N1420" s="132"/>
      <c r="O1420" s="132"/>
      <c r="P1420" s="154"/>
    </row>
    <row r="1421" spans="1:16" s="28" customFormat="1" x14ac:dyDescent="0.25">
      <c r="A1421" s="53"/>
      <c r="B1421" s="58"/>
      <c r="C1421" s="58"/>
      <c r="D1421" s="35"/>
      <c r="E1421" s="132"/>
      <c r="F1421" s="132"/>
      <c r="G1421" s="132"/>
      <c r="H1421" s="132"/>
      <c r="I1421" s="132"/>
      <c r="J1421" s="132"/>
      <c r="K1421" s="132"/>
      <c r="L1421" s="132"/>
      <c r="M1421" s="132"/>
      <c r="N1421" s="132"/>
      <c r="O1421" s="132"/>
      <c r="P1421" s="154"/>
    </row>
    <row r="1422" spans="1:16" s="28" customFormat="1" x14ac:dyDescent="0.25">
      <c r="A1422" s="53"/>
      <c r="B1422" s="58"/>
      <c r="C1422" s="58"/>
      <c r="D1422" s="35"/>
      <c r="E1422" s="132"/>
      <c r="F1422" s="132"/>
      <c r="G1422" s="132"/>
      <c r="H1422" s="132"/>
      <c r="I1422" s="132"/>
      <c r="J1422" s="132"/>
      <c r="K1422" s="132"/>
      <c r="L1422" s="132"/>
      <c r="M1422" s="132"/>
      <c r="N1422" s="132"/>
      <c r="O1422" s="132"/>
      <c r="P1422" s="154"/>
    </row>
    <row r="1423" spans="1:16" s="28" customFormat="1" x14ac:dyDescent="0.25">
      <c r="A1423" s="53"/>
      <c r="B1423" s="58"/>
      <c r="C1423" s="58"/>
      <c r="D1423" s="35"/>
      <c r="E1423" s="132"/>
      <c r="F1423" s="132"/>
      <c r="G1423" s="132"/>
      <c r="H1423" s="132"/>
      <c r="I1423" s="132"/>
      <c r="J1423" s="132"/>
      <c r="K1423" s="132"/>
      <c r="L1423" s="132"/>
      <c r="M1423" s="132"/>
      <c r="N1423" s="132"/>
      <c r="O1423" s="132"/>
      <c r="P1423" s="154"/>
    </row>
    <row r="1424" spans="1:16" s="28" customFormat="1" x14ac:dyDescent="0.25">
      <c r="A1424" s="53"/>
      <c r="B1424" s="58"/>
      <c r="C1424" s="58"/>
      <c r="D1424" s="35"/>
      <c r="E1424" s="132"/>
      <c r="F1424" s="132"/>
      <c r="G1424" s="132"/>
      <c r="H1424" s="132"/>
      <c r="I1424" s="132"/>
      <c r="J1424" s="132"/>
      <c r="K1424" s="132"/>
      <c r="L1424" s="132"/>
      <c r="M1424" s="132"/>
      <c r="N1424" s="132"/>
      <c r="O1424" s="132"/>
      <c r="P1424" s="154"/>
    </row>
    <row r="1425" spans="1:16" s="28" customFormat="1" x14ac:dyDescent="0.25">
      <c r="A1425" s="53"/>
      <c r="B1425" s="58"/>
      <c r="C1425" s="58"/>
      <c r="D1425" s="35"/>
      <c r="E1425" s="132"/>
      <c r="F1425" s="132"/>
      <c r="G1425" s="132"/>
      <c r="H1425" s="132"/>
      <c r="I1425" s="132"/>
      <c r="J1425" s="132"/>
      <c r="K1425" s="132"/>
      <c r="L1425" s="132"/>
      <c r="M1425" s="132"/>
      <c r="N1425" s="132"/>
      <c r="O1425" s="132"/>
      <c r="P1425" s="154"/>
    </row>
    <row r="1426" spans="1:16" s="28" customFormat="1" x14ac:dyDescent="0.25">
      <c r="A1426" s="53"/>
      <c r="B1426" s="58"/>
      <c r="C1426" s="58"/>
      <c r="D1426" s="35"/>
      <c r="E1426" s="132"/>
      <c r="F1426" s="132"/>
      <c r="G1426" s="132"/>
      <c r="H1426" s="132"/>
      <c r="I1426" s="132"/>
      <c r="J1426" s="132"/>
      <c r="K1426" s="132"/>
      <c r="L1426" s="132"/>
      <c r="M1426" s="132"/>
      <c r="N1426" s="132"/>
      <c r="O1426" s="132"/>
      <c r="P1426" s="154"/>
    </row>
    <row r="1427" spans="1:16" s="28" customFormat="1" x14ac:dyDescent="0.25">
      <c r="A1427" s="53"/>
      <c r="B1427" s="58"/>
      <c r="C1427" s="58"/>
      <c r="D1427" s="35"/>
      <c r="E1427" s="132"/>
      <c r="F1427" s="132"/>
      <c r="G1427" s="132"/>
      <c r="H1427" s="132"/>
      <c r="I1427" s="132"/>
      <c r="J1427" s="132"/>
      <c r="K1427" s="132"/>
      <c r="L1427" s="132"/>
      <c r="M1427" s="132"/>
      <c r="N1427" s="132"/>
      <c r="O1427" s="132"/>
      <c r="P1427" s="154"/>
    </row>
    <row r="1428" spans="1:16" s="28" customFormat="1" x14ac:dyDescent="0.25">
      <c r="A1428" s="53"/>
      <c r="B1428" s="58"/>
      <c r="C1428" s="58"/>
      <c r="D1428" s="35"/>
      <c r="E1428" s="132"/>
      <c r="F1428" s="132"/>
      <c r="G1428" s="132"/>
      <c r="H1428" s="132"/>
      <c r="I1428" s="132"/>
      <c r="J1428" s="132"/>
      <c r="K1428" s="132"/>
      <c r="L1428" s="132"/>
      <c r="M1428" s="132"/>
      <c r="N1428" s="132"/>
      <c r="O1428" s="132"/>
      <c r="P1428" s="154"/>
    </row>
    <row r="1429" spans="1:16" s="28" customFormat="1" x14ac:dyDescent="0.25">
      <c r="A1429" s="53"/>
      <c r="B1429" s="58"/>
      <c r="C1429" s="58"/>
      <c r="D1429" s="35"/>
      <c r="E1429" s="132"/>
      <c r="F1429" s="132"/>
      <c r="G1429" s="132"/>
      <c r="H1429" s="132"/>
      <c r="I1429" s="132"/>
      <c r="J1429" s="132"/>
      <c r="K1429" s="132"/>
      <c r="L1429" s="132"/>
      <c r="M1429" s="132"/>
      <c r="N1429" s="132"/>
      <c r="O1429" s="132"/>
      <c r="P1429" s="154"/>
    </row>
    <row r="1430" spans="1:16" s="28" customFormat="1" x14ac:dyDescent="0.25">
      <c r="A1430" s="53"/>
      <c r="B1430" s="58"/>
      <c r="C1430" s="58"/>
      <c r="D1430" s="35"/>
      <c r="E1430" s="132"/>
      <c r="F1430" s="132"/>
      <c r="G1430" s="132"/>
      <c r="H1430" s="132"/>
      <c r="I1430" s="132"/>
      <c r="J1430" s="132"/>
      <c r="K1430" s="132"/>
      <c r="L1430" s="132"/>
      <c r="M1430" s="132"/>
      <c r="N1430" s="132"/>
      <c r="O1430" s="132"/>
      <c r="P1430" s="154"/>
    </row>
    <row r="1431" spans="1:16" s="28" customFormat="1" x14ac:dyDescent="0.25">
      <c r="A1431" s="53"/>
      <c r="B1431" s="58"/>
      <c r="C1431" s="58"/>
      <c r="D1431" s="35"/>
      <c r="E1431" s="132"/>
      <c r="F1431" s="132"/>
      <c r="G1431" s="132"/>
      <c r="H1431" s="132"/>
      <c r="I1431" s="132"/>
      <c r="J1431" s="132"/>
      <c r="K1431" s="132"/>
      <c r="L1431" s="132"/>
      <c r="M1431" s="132"/>
      <c r="N1431" s="132"/>
      <c r="O1431" s="132"/>
      <c r="P1431" s="154"/>
    </row>
    <row r="1432" spans="1:16" s="28" customFormat="1" x14ac:dyDescent="0.25">
      <c r="A1432" s="53"/>
      <c r="B1432" s="58"/>
      <c r="C1432" s="58"/>
      <c r="D1432" s="35"/>
      <c r="E1432" s="132"/>
      <c r="F1432" s="132"/>
      <c r="G1432" s="132"/>
      <c r="H1432" s="132"/>
      <c r="I1432" s="132"/>
      <c r="J1432" s="132"/>
      <c r="K1432" s="132"/>
      <c r="L1432" s="132"/>
      <c r="M1432" s="132"/>
      <c r="N1432" s="132"/>
      <c r="O1432" s="132"/>
      <c r="P1432" s="154"/>
    </row>
    <row r="1433" spans="1:16" s="28" customFormat="1" x14ac:dyDescent="0.25">
      <c r="A1433" s="53"/>
      <c r="B1433" s="58"/>
      <c r="C1433" s="58"/>
      <c r="D1433" s="35"/>
      <c r="E1433" s="132"/>
      <c r="F1433" s="132"/>
      <c r="G1433" s="132"/>
      <c r="H1433" s="132"/>
      <c r="I1433" s="132"/>
      <c r="J1433" s="132"/>
      <c r="K1433" s="132"/>
      <c r="L1433" s="132"/>
      <c r="M1433" s="132"/>
      <c r="N1433" s="132"/>
      <c r="O1433" s="132"/>
      <c r="P1433" s="154"/>
    </row>
    <row r="1434" spans="1:16" s="28" customFormat="1" x14ac:dyDescent="0.25">
      <c r="A1434" s="53"/>
      <c r="B1434" s="58"/>
      <c r="C1434" s="58"/>
      <c r="D1434" s="35"/>
      <c r="E1434" s="132"/>
      <c r="F1434" s="132"/>
      <c r="G1434" s="132"/>
      <c r="H1434" s="132"/>
      <c r="I1434" s="132"/>
      <c r="J1434" s="132"/>
      <c r="K1434" s="132"/>
      <c r="L1434" s="132"/>
      <c r="M1434" s="132"/>
      <c r="N1434" s="132"/>
      <c r="O1434" s="132"/>
      <c r="P1434" s="154"/>
    </row>
    <row r="1435" spans="1:16" s="28" customFormat="1" x14ac:dyDescent="0.25">
      <c r="A1435" s="53"/>
      <c r="B1435" s="58"/>
      <c r="C1435" s="58"/>
      <c r="D1435" s="35"/>
      <c r="E1435" s="132"/>
      <c r="F1435" s="132"/>
      <c r="G1435" s="132"/>
      <c r="H1435" s="132"/>
      <c r="I1435" s="132"/>
      <c r="J1435" s="132"/>
      <c r="K1435" s="132"/>
      <c r="L1435" s="132"/>
      <c r="M1435" s="132"/>
      <c r="N1435" s="132"/>
      <c r="O1435" s="132"/>
      <c r="P1435" s="154"/>
    </row>
    <row r="1436" spans="1:16" s="28" customFormat="1" x14ac:dyDescent="0.25">
      <c r="A1436" s="53"/>
      <c r="B1436" s="58"/>
      <c r="C1436" s="58"/>
      <c r="D1436" s="35"/>
      <c r="E1436" s="132"/>
      <c r="F1436" s="132"/>
      <c r="G1436" s="132"/>
      <c r="H1436" s="132"/>
      <c r="I1436" s="132"/>
      <c r="J1436" s="132"/>
      <c r="K1436" s="132"/>
      <c r="L1436" s="132"/>
      <c r="M1436" s="132"/>
      <c r="N1436" s="132"/>
      <c r="O1436" s="132"/>
      <c r="P1436" s="154"/>
    </row>
    <row r="1437" spans="1:16" s="28" customFormat="1" x14ac:dyDescent="0.25">
      <c r="A1437" s="53"/>
      <c r="B1437" s="58"/>
      <c r="C1437" s="58"/>
      <c r="D1437" s="35"/>
      <c r="E1437" s="132"/>
      <c r="F1437" s="132"/>
      <c r="G1437" s="132"/>
      <c r="H1437" s="132"/>
      <c r="I1437" s="132"/>
      <c r="J1437" s="132"/>
      <c r="K1437" s="132"/>
      <c r="L1437" s="132"/>
      <c r="M1437" s="132"/>
      <c r="N1437" s="132"/>
      <c r="O1437" s="132"/>
      <c r="P1437" s="154"/>
    </row>
    <row r="1438" spans="1:16" s="28" customFormat="1" x14ac:dyDescent="0.25">
      <c r="A1438" s="53"/>
      <c r="B1438" s="58"/>
      <c r="C1438" s="58"/>
      <c r="D1438" s="35"/>
      <c r="E1438" s="132"/>
      <c r="F1438" s="132"/>
      <c r="G1438" s="132"/>
      <c r="H1438" s="132"/>
      <c r="I1438" s="132"/>
      <c r="J1438" s="132"/>
      <c r="K1438" s="132"/>
      <c r="L1438" s="132"/>
      <c r="M1438" s="132"/>
      <c r="N1438" s="132"/>
      <c r="O1438" s="132"/>
      <c r="P1438" s="154"/>
    </row>
    <row r="1439" spans="1:16" s="28" customFormat="1" x14ac:dyDescent="0.25">
      <c r="A1439" s="53"/>
      <c r="B1439" s="58"/>
      <c r="C1439" s="58"/>
      <c r="D1439" s="35"/>
      <c r="E1439" s="132"/>
      <c r="F1439" s="132"/>
      <c r="G1439" s="132"/>
      <c r="H1439" s="132"/>
      <c r="I1439" s="132"/>
      <c r="J1439" s="132"/>
      <c r="K1439" s="132"/>
      <c r="L1439" s="132"/>
      <c r="M1439" s="132"/>
      <c r="N1439" s="132"/>
      <c r="O1439" s="132"/>
      <c r="P1439" s="154"/>
    </row>
    <row r="1440" spans="1:16" s="28" customFormat="1" x14ac:dyDescent="0.25">
      <c r="A1440" s="53"/>
      <c r="B1440" s="58"/>
      <c r="C1440" s="58"/>
      <c r="D1440" s="35"/>
      <c r="E1440" s="132"/>
      <c r="F1440" s="132"/>
      <c r="G1440" s="132"/>
      <c r="H1440" s="132"/>
      <c r="I1440" s="132"/>
      <c r="J1440" s="132"/>
      <c r="K1440" s="132"/>
      <c r="L1440" s="132"/>
      <c r="M1440" s="132"/>
      <c r="N1440" s="132"/>
      <c r="O1440" s="132"/>
      <c r="P1440" s="154"/>
    </row>
    <row r="1441" spans="1:16" s="28" customFormat="1" x14ac:dyDescent="0.25">
      <c r="A1441" s="53"/>
      <c r="B1441" s="58"/>
      <c r="C1441" s="58"/>
      <c r="D1441" s="35"/>
      <c r="E1441" s="132"/>
      <c r="F1441" s="132"/>
      <c r="G1441" s="132"/>
      <c r="H1441" s="132"/>
      <c r="I1441" s="132"/>
      <c r="J1441" s="132"/>
      <c r="K1441" s="132"/>
      <c r="L1441" s="132"/>
      <c r="M1441" s="132"/>
      <c r="N1441" s="132"/>
      <c r="O1441" s="132"/>
      <c r="P1441" s="154"/>
    </row>
    <row r="1442" spans="1:16" s="28" customFormat="1" x14ac:dyDescent="0.25">
      <c r="A1442" s="53"/>
      <c r="B1442" s="58"/>
      <c r="C1442" s="58"/>
      <c r="D1442" s="35"/>
      <c r="E1442" s="132"/>
      <c r="F1442" s="132"/>
      <c r="G1442" s="132"/>
      <c r="H1442" s="132"/>
      <c r="I1442" s="132"/>
      <c r="J1442" s="132"/>
      <c r="K1442" s="132"/>
      <c r="L1442" s="132"/>
      <c r="M1442" s="132"/>
      <c r="N1442" s="132"/>
      <c r="O1442" s="132"/>
      <c r="P1442" s="154"/>
    </row>
    <row r="1443" spans="1:16" s="28" customFormat="1" x14ac:dyDescent="0.25">
      <c r="A1443" s="53"/>
      <c r="B1443" s="58"/>
      <c r="C1443" s="58"/>
      <c r="D1443" s="35"/>
      <c r="E1443" s="132"/>
      <c r="F1443" s="132"/>
      <c r="G1443" s="132"/>
      <c r="H1443" s="132"/>
      <c r="I1443" s="132"/>
      <c r="J1443" s="132"/>
      <c r="K1443" s="132"/>
      <c r="L1443" s="132"/>
      <c r="M1443" s="132"/>
      <c r="N1443" s="132"/>
      <c r="O1443" s="132"/>
      <c r="P1443" s="154"/>
    </row>
    <row r="1444" spans="1:16" s="28" customFormat="1" x14ac:dyDescent="0.25">
      <c r="A1444" s="53"/>
      <c r="B1444" s="58"/>
      <c r="C1444" s="58"/>
      <c r="D1444" s="35"/>
      <c r="E1444" s="132"/>
      <c r="F1444" s="132"/>
      <c r="G1444" s="132"/>
      <c r="H1444" s="132"/>
      <c r="I1444" s="132"/>
      <c r="J1444" s="132"/>
      <c r="K1444" s="132"/>
      <c r="L1444" s="132"/>
      <c r="M1444" s="132"/>
      <c r="N1444" s="132"/>
      <c r="O1444" s="132"/>
      <c r="P1444" s="154"/>
    </row>
    <row r="1445" spans="1:16" s="28" customFormat="1" x14ac:dyDescent="0.25">
      <c r="A1445" s="53"/>
      <c r="B1445" s="58"/>
      <c r="C1445" s="58"/>
      <c r="D1445" s="35"/>
      <c r="E1445" s="132"/>
      <c r="F1445" s="132"/>
      <c r="G1445" s="132"/>
      <c r="H1445" s="132"/>
      <c r="I1445" s="132"/>
      <c r="J1445" s="132"/>
      <c r="K1445" s="132"/>
      <c r="L1445" s="132"/>
      <c r="M1445" s="132"/>
      <c r="N1445" s="132"/>
      <c r="O1445" s="132"/>
      <c r="P1445" s="154"/>
    </row>
    <row r="1446" spans="1:16" s="28" customFormat="1" x14ac:dyDescent="0.25">
      <c r="A1446" s="53"/>
      <c r="B1446" s="58"/>
      <c r="C1446" s="58"/>
      <c r="D1446" s="35"/>
      <c r="E1446" s="132"/>
      <c r="F1446" s="132"/>
      <c r="G1446" s="132"/>
      <c r="H1446" s="132"/>
      <c r="I1446" s="132"/>
      <c r="J1446" s="132"/>
      <c r="K1446" s="132"/>
      <c r="L1446" s="132"/>
      <c r="M1446" s="132"/>
      <c r="N1446" s="132"/>
      <c r="O1446" s="132"/>
      <c r="P1446" s="154"/>
    </row>
    <row r="1447" spans="1:16" s="28" customFormat="1" x14ac:dyDescent="0.25">
      <c r="A1447" s="53"/>
      <c r="B1447" s="58"/>
      <c r="C1447" s="58"/>
      <c r="D1447" s="35"/>
      <c r="E1447" s="132"/>
      <c r="F1447" s="132"/>
      <c r="G1447" s="132"/>
      <c r="H1447" s="132"/>
      <c r="I1447" s="132"/>
      <c r="J1447" s="132"/>
      <c r="K1447" s="132"/>
      <c r="L1447" s="132"/>
      <c r="M1447" s="132"/>
      <c r="N1447" s="132"/>
      <c r="O1447" s="132"/>
      <c r="P1447" s="154"/>
    </row>
    <row r="1448" spans="1:16" s="28" customFormat="1" x14ac:dyDescent="0.25">
      <c r="A1448" s="53"/>
      <c r="B1448" s="58"/>
      <c r="C1448" s="58"/>
      <c r="D1448" s="35"/>
      <c r="E1448" s="132"/>
      <c r="F1448" s="132"/>
      <c r="G1448" s="132"/>
      <c r="H1448" s="132"/>
      <c r="I1448" s="132"/>
      <c r="J1448" s="132"/>
      <c r="K1448" s="132"/>
      <c r="L1448" s="132"/>
      <c r="M1448" s="132"/>
      <c r="N1448" s="132"/>
      <c r="O1448" s="132"/>
      <c r="P1448" s="154"/>
    </row>
    <row r="1449" spans="1:16" s="28" customFormat="1" x14ac:dyDescent="0.25">
      <c r="A1449" s="53"/>
      <c r="B1449" s="58"/>
      <c r="C1449" s="58"/>
      <c r="D1449" s="35"/>
      <c r="E1449" s="132"/>
      <c r="F1449" s="132"/>
      <c r="G1449" s="132"/>
      <c r="H1449" s="132"/>
      <c r="I1449" s="132"/>
      <c r="J1449" s="132"/>
      <c r="K1449" s="132"/>
      <c r="L1449" s="132"/>
      <c r="M1449" s="132"/>
      <c r="N1449" s="132"/>
      <c r="O1449" s="132"/>
      <c r="P1449" s="154"/>
    </row>
    <row r="1450" spans="1:16" s="28" customFormat="1" x14ac:dyDescent="0.25">
      <c r="A1450" s="53"/>
      <c r="B1450" s="58"/>
      <c r="C1450" s="58"/>
      <c r="D1450" s="35"/>
      <c r="E1450" s="132"/>
      <c r="F1450" s="132"/>
      <c r="G1450" s="132"/>
      <c r="H1450" s="132"/>
      <c r="I1450" s="132"/>
      <c r="J1450" s="132"/>
      <c r="K1450" s="132"/>
      <c r="L1450" s="132"/>
      <c r="M1450" s="132"/>
      <c r="N1450" s="132"/>
      <c r="O1450" s="132"/>
      <c r="P1450" s="154"/>
    </row>
    <row r="1451" spans="1:16" s="28" customFormat="1" x14ac:dyDescent="0.25">
      <c r="A1451" s="53"/>
      <c r="B1451" s="58"/>
      <c r="C1451" s="58"/>
      <c r="D1451" s="35"/>
      <c r="E1451" s="132"/>
      <c r="F1451" s="132"/>
      <c r="G1451" s="132"/>
      <c r="H1451" s="132"/>
      <c r="I1451" s="132"/>
      <c r="J1451" s="132"/>
      <c r="K1451" s="132"/>
      <c r="L1451" s="132"/>
      <c r="M1451" s="132"/>
      <c r="N1451" s="132"/>
      <c r="O1451" s="132"/>
      <c r="P1451" s="154"/>
    </row>
    <row r="1452" spans="1:16" s="28" customFormat="1" x14ac:dyDescent="0.25">
      <c r="A1452" s="53"/>
      <c r="B1452" s="58"/>
      <c r="C1452" s="58"/>
      <c r="D1452" s="35"/>
      <c r="E1452" s="132"/>
      <c r="F1452" s="132"/>
      <c r="G1452" s="132"/>
      <c r="H1452" s="132"/>
      <c r="I1452" s="132"/>
      <c r="J1452" s="132"/>
      <c r="K1452" s="132"/>
      <c r="L1452" s="132"/>
      <c r="M1452" s="132"/>
      <c r="N1452" s="132"/>
      <c r="O1452" s="132"/>
      <c r="P1452" s="154"/>
    </row>
    <row r="1453" spans="1:16" s="28" customFormat="1" x14ac:dyDescent="0.25">
      <c r="A1453" s="53"/>
      <c r="B1453" s="58"/>
      <c r="C1453" s="58"/>
      <c r="D1453" s="35"/>
      <c r="E1453" s="132"/>
      <c r="F1453" s="132"/>
      <c r="G1453" s="132"/>
      <c r="H1453" s="132"/>
      <c r="I1453" s="132"/>
      <c r="J1453" s="132"/>
      <c r="K1453" s="132"/>
      <c r="L1453" s="132"/>
      <c r="M1453" s="132"/>
      <c r="N1453" s="132"/>
      <c r="O1453" s="132"/>
      <c r="P1453" s="154"/>
    </row>
    <row r="1454" spans="1:16" s="28" customFormat="1" x14ac:dyDescent="0.25">
      <c r="A1454" s="53"/>
      <c r="B1454" s="58"/>
      <c r="C1454" s="58"/>
      <c r="D1454" s="35"/>
      <c r="E1454" s="132"/>
      <c r="F1454" s="132"/>
      <c r="G1454" s="132"/>
      <c r="H1454" s="132"/>
      <c r="I1454" s="132"/>
      <c r="J1454" s="132"/>
      <c r="K1454" s="132"/>
      <c r="L1454" s="132"/>
      <c r="M1454" s="132"/>
      <c r="N1454" s="132"/>
      <c r="O1454" s="132"/>
      <c r="P1454" s="154"/>
    </row>
    <row r="1455" spans="1:16" s="28" customFormat="1" x14ac:dyDescent="0.25">
      <c r="A1455" s="53"/>
      <c r="B1455" s="58"/>
      <c r="C1455" s="58"/>
      <c r="D1455" s="35"/>
      <c r="E1455" s="132"/>
      <c r="F1455" s="132"/>
      <c r="G1455" s="132"/>
      <c r="H1455" s="132"/>
      <c r="I1455" s="132"/>
      <c r="J1455" s="132"/>
      <c r="K1455" s="132"/>
      <c r="L1455" s="132"/>
      <c r="M1455" s="132"/>
      <c r="N1455" s="132"/>
      <c r="O1455" s="132"/>
      <c r="P1455" s="154"/>
    </row>
    <row r="1456" spans="1:16" s="28" customFormat="1" x14ac:dyDescent="0.25">
      <c r="A1456" s="53"/>
      <c r="B1456" s="58"/>
      <c r="C1456" s="58"/>
      <c r="D1456" s="35"/>
      <c r="E1456" s="132"/>
      <c r="F1456" s="132"/>
      <c r="G1456" s="132"/>
      <c r="H1456" s="132"/>
      <c r="I1456" s="132"/>
      <c r="J1456" s="132"/>
      <c r="K1456" s="132"/>
      <c r="L1456" s="132"/>
      <c r="M1456" s="132"/>
      <c r="N1456" s="132"/>
      <c r="O1456" s="132"/>
      <c r="P1456" s="154"/>
    </row>
    <row r="1457" spans="1:16" s="28" customFormat="1" x14ac:dyDescent="0.25">
      <c r="A1457" s="53"/>
      <c r="B1457" s="58"/>
      <c r="C1457" s="58"/>
      <c r="D1457" s="35"/>
      <c r="E1457" s="132"/>
      <c r="F1457" s="132"/>
      <c r="G1457" s="132"/>
      <c r="H1457" s="132"/>
      <c r="I1457" s="132"/>
      <c r="J1457" s="132"/>
      <c r="K1457" s="132"/>
      <c r="L1457" s="132"/>
      <c r="M1457" s="132"/>
      <c r="N1457" s="132"/>
      <c r="O1457" s="132"/>
      <c r="P1457" s="154"/>
    </row>
    <row r="1458" spans="1:16" s="28" customFormat="1" x14ac:dyDescent="0.25">
      <c r="A1458" s="53"/>
      <c r="B1458" s="58"/>
      <c r="C1458" s="58"/>
      <c r="D1458" s="35"/>
      <c r="E1458" s="132"/>
      <c r="F1458" s="132"/>
      <c r="G1458" s="132"/>
      <c r="H1458" s="132"/>
      <c r="I1458" s="132"/>
      <c r="J1458" s="132"/>
      <c r="K1458" s="132"/>
      <c r="L1458" s="132"/>
      <c r="M1458" s="132"/>
      <c r="N1458" s="132"/>
      <c r="O1458" s="132"/>
      <c r="P1458" s="154"/>
    </row>
    <row r="1459" spans="1:16" s="28" customFormat="1" x14ac:dyDescent="0.25">
      <c r="A1459" s="53"/>
      <c r="B1459" s="58"/>
      <c r="C1459" s="58"/>
      <c r="D1459" s="35"/>
      <c r="E1459" s="132"/>
      <c r="F1459" s="132"/>
      <c r="G1459" s="132"/>
      <c r="H1459" s="132"/>
      <c r="I1459" s="132"/>
      <c r="J1459" s="132"/>
      <c r="K1459" s="132"/>
      <c r="L1459" s="132"/>
      <c r="M1459" s="132"/>
      <c r="N1459" s="132"/>
      <c r="O1459" s="132"/>
      <c r="P1459" s="154"/>
    </row>
    <row r="1460" spans="1:16" s="28" customFormat="1" x14ac:dyDescent="0.25">
      <c r="A1460" s="53"/>
      <c r="B1460" s="58"/>
      <c r="C1460" s="58"/>
      <c r="D1460" s="35"/>
      <c r="E1460" s="132"/>
      <c r="F1460" s="132"/>
      <c r="G1460" s="132"/>
      <c r="H1460" s="132"/>
      <c r="I1460" s="132"/>
      <c r="J1460" s="132"/>
      <c r="K1460" s="132"/>
      <c r="L1460" s="132"/>
      <c r="M1460" s="132"/>
      <c r="N1460" s="132"/>
      <c r="O1460" s="132"/>
      <c r="P1460" s="154"/>
    </row>
    <row r="1461" spans="1:16" s="28" customFormat="1" x14ac:dyDescent="0.25">
      <c r="A1461" s="53"/>
      <c r="B1461" s="58"/>
      <c r="C1461" s="58"/>
      <c r="D1461" s="35"/>
      <c r="E1461" s="132"/>
      <c r="F1461" s="132"/>
      <c r="G1461" s="132"/>
      <c r="H1461" s="132"/>
      <c r="I1461" s="132"/>
      <c r="J1461" s="132"/>
      <c r="K1461" s="132"/>
      <c r="L1461" s="132"/>
      <c r="M1461" s="132"/>
      <c r="N1461" s="132"/>
      <c r="O1461" s="132"/>
      <c r="P1461" s="154"/>
    </row>
    <row r="1462" spans="1:16" s="28" customFormat="1" x14ac:dyDescent="0.25">
      <c r="A1462" s="53"/>
      <c r="B1462" s="58"/>
      <c r="C1462" s="58"/>
      <c r="D1462" s="35"/>
      <c r="E1462" s="132"/>
      <c r="F1462" s="132"/>
      <c r="G1462" s="132"/>
      <c r="H1462" s="132"/>
      <c r="I1462" s="132"/>
      <c r="J1462" s="132"/>
      <c r="K1462" s="132"/>
      <c r="L1462" s="132"/>
      <c r="M1462" s="132"/>
      <c r="N1462" s="132"/>
      <c r="O1462" s="132"/>
      <c r="P1462" s="154"/>
    </row>
    <row r="1463" spans="1:16" s="28" customFormat="1" x14ac:dyDescent="0.25">
      <c r="A1463" s="53"/>
      <c r="B1463" s="58"/>
      <c r="C1463" s="58"/>
      <c r="D1463" s="35"/>
      <c r="E1463" s="132"/>
      <c r="F1463" s="132"/>
      <c r="G1463" s="132"/>
      <c r="H1463" s="132"/>
      <c r="I1463" s="132"/>
      <c r="J1463" s="132"/>
      <c r="K1463" s="132"/>
      <c r="L1463" s="132"/>
      <c r="M1463" s="132"/>
      <c r="N1463" s="132"/>
      <c r="O1463" s="132"/>
      <c r="P1463" s="154"/>
    </row>
    <row r="1464" spans="1:16" s="28" customFormat="1" x14ac:dyDescent="0.25">
      <c r="A1464" s="53"/>
      <c r="B1464" s="58"/>
      <c r="C1464" s="58"/>
      <c r="D1464" s="35"/>
      <c r="E1464" s="132"/>
      <c r="F1464" s="132"/>
      <c r="G1464" s="132"/>
      <c r="H1464" s="132"/>
      <c r="I1464" s="132"/>
      <c r="J1464" s="132"/>
      <c r="K1464" s="132"/>
      <c r="L1464" s="132"/>
      <c r="M1464" s="132"/>
      <c r="N1464" s="132"/>
      <c r="O1464" s="132"/>
      <c r="P1464" s="154"/>
    </row>
    <row r="1465" spans="1:16" s="28" customFormat="1" x14ac:dyDescent="0.25">
      <c r="A1465" s="53"/>
      <c r="B1465" s="58"/>
      <c r="C1465" s="58"/>
      <c r="D1465" s="35"/>
      <c r="E1465" s="132"/>
      <c r="F1465" s="132"/>
      <c r="G1465" s="132"/>
      <c r="H1465" s="132"/>
      <c r="I1465" s="132"/>
      <c r="J1465" s="132"/>
      <c r="K1465" s="132"/>
      <c r="L1465" s="132"/>
      <c r="M1465" s="132"/>
      <c r="N1465" s="132"/>
      <c r="O1465" s="132"/>
      <c r="P1465" s="154"/>
    </row>
    <row r="1466" spans="1:16" s="28" customFormat="1" x14ac:dyDescent="0.25">
      <c r="A1466" s="53"/>
      <c r="B1466" s="58"/>
      <c r="C1466" s="58"/>
      <c r="D1466" s="35"/>
      <c r="E1466" s="132"/>
      <c r="F1466" s="132"/>
      <c r="G1466" s="132"/>
      <c r="H1466" s="132"/>
      <c r="I1466" s="132"/>
      <c r="J1466" s="132"/>
      <c r="K1466" s="132"/>
      <c r="L1466" s="132"/>
      <c r="M1466" s="132"/>
      <c r="N1466" s="132"/>
      <c r="O1466" s="132"/>
      <c r="P1466" s="154"/>
    </row>
    <row r="1467" spans="1:16" s="28" customFormat="1" x14ac:dyDescent="0.25">
      <c r="A1467" s="53"/>
      <c r="B1467" s="58"/>
      <c r="C1467" s="58"/>
      <c r="D1467" s="35"/>
      <c r="E1467" s="132"/>
      <c r="F1467" s="132"/>
      <c r="G1467" s="132"/>
      <c r="H1467" s="132"/>
      <c r="I1467" s="132"/>
      <c r="J1467" s="132"/>
      <c r="K1467" s="132"/>
      <c r="L1467" s="132"/>
      <c r="M1467" s="132"/>
      <c r="N1467" s="132"/>
      <c r="O1467" s="132"/>
      <c r="P1467" s="154"/>
    </row>
    <row r="1468" spans="1:16" s="28" customFormat="1" x14ac:dyDescent="0.25">
      <c r="A1468" s="53"/>
      <c r="B1468" s="58"/>
      <c r="C1468" s="58"/>
      <c r="D1468" s="35"/>
      <c r="E1468" s="132"/>
      <c r="F1468" s="132"/>
      <c r="G1468" s="132"/>
      <c r="H1468" s="132"/>
      <c r="I1468" s="132"/>
      <c r="J1468" s="132"/>
      <c r="K1468" s="132"/>
      <c r="L1468" s="132"/>
      <c r="M1468" s="132"/>
      <c r="N1468" s="132"/>
      <c r="O1468" s="132"/>
      <c r="P1468" s="154"/>
    </row>
    <row r="1469" spans="1:16" s="28" customFormat="1" x14ac:dyDescent="0.25">
      <c r="A1469" s="53"/>
      <c r="B1469" s="58"/>
      <c r="C1469" s="58"/>
      <c r="D1469" s="35"/>
      <c r="E1469" s="132"/>
      <c r="F1469" s="132"/>
      <c r="G1469" s="132"/>
      <c r="H1469" s="132"/>
      <c r="I1469" s="132"/>
      <c r="J1469" s="132"/>
      <c r="K1469" s="132"/>
      <c r="L1469" s="132"/>
      <c r="M1469" s="132"/>
      <c r="N1469" s="132"/>
      <c r="O1469" s="132"/>
      <c r="P1469" s="154"/>
    </row>
    <row r="1470" spans="1:16" s="28" customFormat="1" x14ac:dyDescent="0.25">
      <c r="A1470" s="53"/>
      <c r="B1470" s="58"/>
      <c r="C1470" s="58"/>
      <c r="D1470" s="35"/>
      <c r="E1470" s="132"/>
      <c r="F1470" s="132"/>
      <c r="G1470" s="132"/>
      <c r="H1470" s="132"/>
      <c r="I1470" s="132"/>
      <c r="J1470" s="132"/>
      <c r="K1470" s="132"/>
      <c r="L1470" s="132"/>
      <c r="M1470" s="132"/>
      <c r="N1470" s="132"/>
      <c r="O1470" s="132"/>
      <c r="P1470" s="154"/>
    </row>
    <row r="1471" spans="1:16" s="28" customFormat="1" x14ac:dyDescent="0.25">
      <c r="A1471" s="53"/>
      <c r="B1471" s="58"/>
      <c r="C1471" s="58"/>
      <c r="D1471" s="35"/>
      <c r="E1471" s="132"/>
      <c r="F1471" s="132"/>
      <c r="G1471" s="132"/>
      <c r="H1471" s="132"/>
      <c r="I1471" s="132"/>
      <c r="J1471" s="132"/>
      <c r="K1471" s="132"/>
      <c r="L1471" s="132"/>
      <c r="M1471" s="132"/>
      <c r="N1471" s="132"/>
      <c r="O1471" s="132"/>
      <c r="P1471" s="154"/>
    </row>
    <row r="1472" spans="1:16" s="28" customFormat="1" x14ac:dyDescent="0.25">
      <c r="A1472" s="53"/>
      <c r="B1472" s="58"/>
      <c r="C1472" s="58"/>
      <c r="D1472" s="35"/>
      <c r="E1472" s="132"/>
      <c r="F1472" s="132"/>
      <c r="G1472" s="132"/>
      <c r="H1472" s="132"/>
      <c r="I1472" s="132"/>
      <c r="J1472" s="132"/>
      <c r="K1472" s="132"/>
      <c r="L1472" s="132"/>
      <c r="M1472" s="132"/>
      <c r="N1472" s="132"/>
      <c r="O1472" s="132"/>
      <c r="P1472" s="154"/>
    </row>
    <row r="1473" spans="1:16" s="28" customFormat="1" x14ac:dyDescent="0.25">
      <c r="A1473" s="53"/>
      <c r="B1473" s="58"/>
      <c r="C1473" s="58"/>
      <c r="D1473" s="35"/>
      <c r="E1473" s="132"/>
      <c r="F1473" s="132"/>
      <c r="G1473" s="132"/>
      <c r="H1473" s="132"/>
      <c r="I1473" s="132"/>
      <c r="J1473" s="132"/>
      <c r="K1473" s="132"/>
      <c r="L1473" s="132"/>
      <c r="M1473" s="132"/>
      <c r="N1473" s="132"/>
      <c r="O1473" s="132"/>
      <c r="P1473" s="154"/>
    </row>
    <row r="1474" spans="1:16" s="28" customFormat="1" x14ac:dyDescent="0.25">
      <c r="A1474" s="53"/>
      <c r="B1474" s="58"/>
      <c r="C1474" s="58"/>
      <c r="D1474" s="35"/>
      <c r="E1474" s="132"/>
      <c r="F1474" s="132"/>
      <c r="G1474" s="132"/>
      <c r="H1474" s="132"/>
      <c r="I1474" s="132"/>
      <c r="J1474" s="132"/>
      <c r="K1474" s="132"/>
      <c r="L1474" s="132"/>
      <c r="M1474" s="132"/>
      <c r="N1474" s="132"/>
      <c r="O1474" s="132"/>
      <c r="P1474" s="154"/>
    </row>
    <row r="1475" spans="1:16" s="28" customFormat="1" x14ac:dyDescent="0.25">
      <c r="A1475" s="53"/>
      <c r="B1475" s="58"/>
      <c r="C1475" s="58"/>
      <c r="D1475" s="35"/>
      <c r="E1475" s="132"/>
      <c r="F1475" s="132"/>
      <c r="G1475" s="132"/>
      <c r="H1475" s="132"/>
      <c r="I1475" s="132"/>
      <c r="J1475" s="132"/>
      <c r="K1475" s="132"/>
      <c r="L1475" s="132"/>
      <c r="M1475" s="132"/>
      <c r="N1475" s="132"/>
      <c r="O1475" s="132"/>
      <c r="P1475" s="154"/>
    </row>
    <row r="1476" spans="1:16" s="28" customFormat="1" x14ac:dyDescent="0.25">
      <c r="A1476" s="53"/>
      <c r="B1476" s="58"/>
      <c r="C1476" s="58"/>
      <c r="D1476" s="35"/>
      <c r="E1476" s="132"/>
      <c r="F1476" s="132"/>
      <c r="G1476" s="132"/>
      <c r="H1476" s="132"/>
      <c r="I1476" s="132"/>
      <c r="J1476" s="132"/>
      <c r="K1476" s="132"/>
      <c r="L1476" s="132"/>
      <c r="M1476" s="132"/>
      <c r="N1476" s="132"/>
      <c r="O1476" s="132"/>
      <c r="P1476" s="154"/>
    </row>
    <row r="1477" spans="1:16" s="28" customFormat="1" x14ac:dyDescent="0.25">
      <c r="A1477" s="53"/>
      <c r="B1477" s="58"/>
      <c r="C1477" s="58"/>
      <c r="D1477" s="35"/>
      <c r="E1477" s="132"/>
      <c r="F1477" s="132"/>
      <c r="G1477" s="132"/>
      <c r="H1477" s="132"/>
      <c r="I1477" s="132"/>
      <c r="J1477" s="132"/>
      <c r="K1477" s="132"/>
      <c r="L1477" s="132"/>
      <c r="M1477" s="132"/>
      <c r="N1477" s="132"/>
      <c r="O1477" s="132"/>
      <c r="P1477" s="154"/>
    </row>
    <row r="1478" spans="1:16" s="28" customFormat="1" x14ac:dyDescent="0.25">
      <c r="A1478" s="53"/>
      <c r="B1478" s="58"/>
      <c r="C1478" s="58"/>
      <c r="D1478" s="35"/>
      <c r="E1478" s="132"/>
      <c r="F1478" s="132"/>
      <c r="G1478" s="132"/>
      <c r="H1478" s="132"/>
      <c r="I1478" s="132"/>
      <c r="J1478" s="132"/>
      <c r="K1478" s="132"/>
      <c r="L1478" s="132"/>
      <c r="M1478" s="132"/>
      <c r="N1478" s="132"/>
      <c r="O1478" s="132"/>
      <c r="P1478" s="154"/>
    </row>
    <row r="1479" spans="1:16" s="28" customFormat="1" x14ac:dyDescent="0.25">
      <c r="A1479" s="53"/>
      <c r="B1479" s="58"/>
      <c r="C1479" s="58"/>
      <c r="D1479" s="35"/>
      <c r="E1479" s="132"/>
      <c r="F1479" s="132"/>
      <c r="G1479" s="132"/>
      <c r="H1479" s="132"/>
      <c r="I1479" s="132"/>
      <c r="J1479" s="132"/>
      <c r="K1479" s="132"/>
      <c r="L1479" s="132"/>
      <c r="M1479" s="132"/>
      <c r="N1479" s="132"/>
      <c r="O1479" s="132"/>
      <c r="P1479" s="154"/>
    </row>
    <row r="1480" spans="1:16" s="28" customFormat="1" x14ac:dyDescent="0.25">
      <c r="A1480" s="53"/>
      <c r="B1480" s="58"/>
      <c r="C1480" s="58"/>
      <c r="D1480" s="35"/>
      <c r="E1480" s="132"/>
      <c r="F1480" s="132"/>
      <c r="G1480" s="132"/>
      <c r="H1480" s="132"/>
      <c r="I1480" s="132"/>
      <c r="J1480" s="132"/>
      <c r="K1480" s="132"/>
      <c r="L1480" s="132"/>
      <c r="M1480" s="132"/>
      <c r="N1480" s="132"/>
      <c r="O1480" s="132"/>
      <c r="P1480" s="154"/>
    </row>
    <row r="1481" spans="1:16" s="28" customFormat="1" x14ac:dyDescent="0.25">
      <c r="A1481" s="53"/>
      <c r="B1481" s="58"/>
      <c r="C1481" s="58"/>
      <c r="D1481" s="35"/>
      <c r="E1481" s="132"/>
      <c r="F1481" s="132"/>
      <c r="G1481" s="132"/>
      <c r="H1481" s="132"/>
      <c r="I1481" s="132"/>
      <c r="J1481" s="132"/>
      <c r="K1481" s="132"/>
      <c r="L1481" s="132"/>
      <c r="M1481" s="132"/>
      <c r="N1481" s="132"/>
      <c r="O1481" s="132"/>
      <c r="P1481" s="154"/>
    </row>
    <row r="1482" spans="1:16" s="28" customFormat="1" x14ac:dyDescent="0.25">
      <c r="A1482" s="53"/>
      <c r="B1482" s="58"/>
      <c r="C1482" s="58"/>
      <c r="D1482" s="35"/>
      <c r="E1482" s="132"/>
      <c r="F1482" s="132"/>
      <c r="G1482" s="132"/>
      <c r="H1482" s="132"/>
      <c r="I1482" s="132"/>
      <c r="J1482" s="132"/>
      <c r="K1482" s="132"/>
      <c r="L1482" s="132"/>
      <c r="M1482" s="132"/>
      <c r="N1482" s="132"/>
      <c r="O1482" s="132"/>
      <c r="P1482" s="154"/>
    </row>
    <row r="1483" spans="1:16" s="28" customFormat="1" x14ac:dyDescent="0.25">
      <c r="A1483" s="53"/>
      <c r="B1483" s="58"/>
      <c r="C1483" s="58"/>
      <c r="D1483" s="35"/>
      <c r="E1483" s="132"/>
      <c r="F1483" s="132"/>
      <c r="G1483" s="132"/>
      <c r="H1483" s="132"/>
      <c r="I1483" s="132"/>
      <c r="J1483" s="132"/>
      <c r="K1483" s="132"/>
      <c r="L1483" s="132"/>
      <c r="M1483" s="132"/>
      <c r="N1483" s="132"/>
      <c r="O1483" s="132"/>
      <c r="P1483" s="154"/>
    </row>
    <row r="1484" spans="1:16" s="28" customFormat="1" x14ac:dyDescent="0.25">
      <c r="A1484" s="53"/>
      <c r="B1484" s="58"/>
      <c r="C1484" s="58"/>
      <c r="D1484" s="35"/>
      <c r="E1484" s="132"/>
      <c r="F1484" s="132"/>
      <c r="G1484" s="132"/>
      <c r="H1484" s="132"/>
      <c r="I1484" s="132"/>
      <c r="J1484" s="132"/>
      <c r="K1484" s="132"/>
      <c r="L1484" s="132"/>
      <c r="M1484" s="132"/>
      <c r="N1484" s="132"/>
      <c r="O1484" s="132"/>
      <c r="P1484" s="154"/>
    </row>
    <row r="1485" spans="1:16" s="28" customFormat="1" x14ac:dyDescent="0.25">
      <c r="A1485" s="53"/>
      <c r="B1485" s="58"/>
      <c r="C1485" s="58"/>
      <c r="D1485" s="35"/>
      <c r="E1485" s="132"/>
      <c r="F1485" s="132"/>
      <c r="G1485" s="132"/>
      <c r="H1485" s="132"/>
      <c r="I1485" s="132"/>
      <c r="J1485" s="132"/>
      <c r="K1485" s="132"/>
      <c r="L1485" s="132"/>
      <c r="M1485" s="132"/>
      <c r="N1485" s="132"/>
      <c r="O1485" s="132"/>
      <c r="P1485" s="154"/>
    </row>
    <row r="1486" spans="1:16" s="28" customFormat="1" x14ac:dyDescent="0.25">
      <c r="A1486" s="53"/>
      <c r="B1486" s="58"/>
      <c r="C1486" s="58"/>
      <c r="D1486" s="35"/>
      <c r="E1486" s="132"/>
      <c r="F1486" s="132"/>
      <c r="G1486" s="132"/>
      <c r="H1486" s="132"/>
      <c r="I1486" s="132"/>
      <c r="J1486" s="132"/>
      <c r="K1486" s="132"/>
      <c r="L1486" s="132"/>
      <c r="M1486" s="132"/>
      <c r="N1486" s="132"/>
      <c r="O1486" s="132"/>
      <c r="P1486" s="154"/>
    </row>
    <row r="1487" spans="1:16" s="28" customFormat="1" x14ac:dyDescent="0.25">
      <c r="A1487" s="53"/>
      <c r="B1487" s="58"/>
      <c r="C1487" s="58"/>
      <c r="D1487" s="35"/>
      <c r="E1487" s="132"/>
      <c r="F1487" s="132"/>
      <c r="G1487" s="132"/>
      <c r="H1487" s="132"/>
      <c r="I1487" s="132"/>
      <c r="J1487" s="132"/>
      <c r="K1487" s="132"/>
      <c r="L1487" s="132"/>
      <c r="M1487" s="132"/>
      <c r="N1487" s="132"/>
      <c r="O1487" s="132"/>
      <c r="P1487" s="154"/>
    </row>
    <row r="1488" spans="1:16" s="28" customFormat="1" x14ac:dyDescent="0.25">
      <c r="A1488" s="53"/>
      <c r="B1488" s="58"/>
      <c r="C1488" s="58"/>
      <c r="D1488" s="35"/>
      <c r="E1488" s="132"/>
      <c r="F1488" s="132"/>
      <c r="G1488" s="132"/>
      <c r="H1488" s="132"/>
      <c r="I1488" s="132"/>
      <c r="J1488" s="132"/>
      <c r="K1488" s="132"/>
      <c r="L1488" s="132"/>
      <c r="M1488" s="132"/>
      <c r="N1488" s="132"/>
      <c r="O1488" s="132"/>
      <c r="P1488" s="154"/>
    </row>
    <row r="1489" spans="1:16" s="28" customFormat="1" x14ac:dyDescent="0.25">
      <c r="A1489" s="53"/>
      <c r="B1489" s="58"/>
      <c r="C1489" s="58"/>
      <c r="D1489" s="35"/>
      <c r="E1489" s="132"/>
      <c r="F1489" s="132"/>
      <c r="G1489" s="132"/>
      <c r="H1489" s="132"/>
      <c r="I1489" s="132"/>
      <c r="J1489" s="132"/>
      <c r="K1489" s="132"/>
      <c r="L1489" s="132"/>
      <c r="M1489" s="132"/>
      <c r="N1489" s="132"/>
      <c r="O1489" s="132"/>
      <c r="P1489" s="154"/>
    </row>
    <row r="1490" spans="1:16" s="28" customFormat="1" x14ac:dyDescent="0.25">
      <c r="A1490" s="53"/>
      <c r="B1490" s="58"/>
      <c r="C1490" s="58"/>
      <c r="D1490" s="35"/>
      <c r="E1490" s="132"/>
      <c r="F1490" s="132"/>
      <c r="G1490" s="132"/>
      <c r="H1490" s="132"/>
      <c r="I1490" s="132"/>
      <c r="J1490" s="132"/>
      <c r="K1490" s="132"/>
      <c r="L1490" s="132"/>
      <c r="M1490" s="132"/>
      <c r="N1490" s="132"/>
      <c r="O1490" s="132"/>
      <c r="P1490" s="154"/>
    </row>
    <row r="1491" spans="1:16" s="28" customFormat="1" x14ac:dyDescent="0.25">
      <c r="A1491" s="53"/>
      <c r="B1491" s="58"/>
      <c r="C1491" s="58"/>
      <c r="D1491" s="35"/>
      <c r="E1491" s="132"/>
      <c r="F1491" s="132"/>
      <c r="G1491" s="132"/>
      <c r="H1491" s="132"/>
      <c r="I1491" s="132"/>
      <c r="J1491" s="132"/>
      <c r="K1491" s="132"/>
      <c r="L1491" s="132"/>
      <c r="M1491" s="132"/>
      <c r="N1491" s="132"/>
      <c r="O1491" s="132"/>
      <c r="P1491" s="154"/>
    </row>
    <row r="1492" spans="1:16" s="28" customFormat="1" x14ac:dyDescent="0.25">
      <c r="A1492" s="53"/>
      <c r="B1492" s="58"/>
      <c r="C1492" s="58"/>
      <c r="D1492" s="35"/>
      <c r="E1492" s="132"/>
      <c r="F1492" s="132"/>
      <c r="G1492" s="132"/>
      <c r="H1492" s="132"/>
      <c r="I1492" s="132"/>
      <c r="J1492" s="132"/>
      <c r="K1492" s="132"/>
      <c r="L1492" s="132"/>
      <c r="M1492" s="132"/>
      <c r="N1492" s="132"/>
      <c r="O1492" s="132"/>
      <c r="P1492" s="154"/>
    </row>
    <row r="1493" spans="1:16" s="28" customFormat="1" x14ac:dyDescent="0.25">
      <c r="A1493" s="53"/>
      <c r="B1493" s="58"/>
      <c r="C1493" s="58"/>
      <c r="D1493" s="35"/>
      <c r="E1493" s="132"/>
      <c r="F1493" s="132"/>
      <c r="G1493" s="132"/>
      <c r="H1493" s="132"/>
      <c r="I1493" s="132"/>
      <c r="J1493" s="132"/>
      <c r="K1493" s="132"/>
      <c r="L1493" s="132"/>
      <c r="M1493" s="132"/>
      <c r="N1493" s="132"/>
      <c r="O1493" s="132"/>
      <c r="P1493" s="154"/>
    </row>
    <row r="1494" spans="1:16" s="28" customFormat="1" x14ac:dyDescent="0.25">
      <c r="A1494" s="53"/>
      <c r="B1494" s="58"/>
      <c r="C1494" s="58"/>
      <c r="D1494" s="35"/>
      <c r="E1494" s="132"/>
      <c r="F1494" s="132"/>
      <c r="G1494" s="132"/>
      <c r="H1494" s="132"/>
      <c r="I1494" s="132"/>
      <c r="J1494" s="132"/>
      <c r="K1494" s="132"/>
      <c r="L1494" s="132"/>
      <c r="M1494" s="132"/>
      <c r="N1494" s="132"/>
      <c r="O1494" s="132"/>
      <c r="P1494" s="154"/>
    </row>
    <row r="1495" spans="1:16" s="28" customFormat="1" x14ac:dyDescent="0.25">
      <c r="A1495" s="53"/>
      <c r="B1495" s="58"/>
      <c r="C1495" s="58"/>
      <c r="D1495" s="35"/>
      <c r="E1495" s="132"/>
      <c r="F1495" s="132"/>
      <c r="G1495" s="132"/>
      <c r="H1495" s="132"/>
      <c r="I1495" s="132"/>
      <c r="J1495" s="132"/>
      <c r="K1495" s="132"/>
      <c r="L1495" s="132"/>
      <c r="M1495" s="132"/>
      <c r="N1495" s="132"/>
      <c r="O1495" s="132"/>
      <c r="P1495" s="154"/>
    </row>
    <row r="1496" spans="1:16" s="28" customFormat="1" x14ac:dyDescent="0.25">
      <c r="A1496" s="53"/>
      <c r="B1496" s="58"/>
      <c r="C1496" s="58"/>
      <c r="D1496" s="35"/>
      <c r="E1496" s="132"/>
      <c r="F1496" s="132"/>
      <c r="G1496" s="132"/>
      <c r="H1496" s="132"/>
      <c r="I1496" s="132"/>
      <c r="J1496" s="132"/>
      <c r="K1496" s="132"/>
      <c r="L1496" s="132"/>
      <c r="M1496" s="132"/>
      <c r="N1496" s="132"/>
      <c r="O1496" s="132"/>
      <c r="P1496" s="154"/>
    </row>
    <row r="1497" spans="1:16" s="28" customFormat="1" x14ac:dyDescent="0.25">
      <c r="A1497" s="53"/>
      <c r="B1497" s="58"/>
      <c r="C1497" s="58"/>
      <c r="D1497" s="35"/>
      <c r="E1497" s="132"/>
      <c r="F1497" s="132"/>
      <c r="G1497" s="132"/>
      <c r="H1497" s="132"/>
      <c r="I1497" s="132"/>
      <c r="J1497" s="132"/>
      <c r="K1497" s="132"/>
      <c r="L1497" s="132"/>
      <c r="M1497" s="132"/>
      <c r="N1497" s="132"/>
      <c r="O1497" s="132"/>
      <c r="P1497" s="154"/>
    </row>
    <row r="1498" spans="1:16" s="28" customFormat="1" x14ac:dyDescent="0.25">
      <c r="A1498" s="53"/>
      <c r="B1498" s="58"/>
      <c r="C1498" s="58"/>
      <c r="D1498" s="35"/>
      <c r="E1498" s="132"/>
      <c r="F1498" s="132"/>
      <c r="G1498" s="132"/>
      <c r="H1498" s="132"/>
      <c r="I1498" s="132"/>
      <c r="J1498" s="132"/>
      <c r="K1498" s="132"/>
      <c r="L1498" s="132"/>
      <c r="M1498" s="132"/>
      <c r="N1498" s="132"/>
      <c r="O1498" s="132"/>
      <c r="P1498" s="154"/>
    </row>
    <row r="1499" spans="1:16" s="28" customFormat="1" x14ac:dyDescent="0.25">
      <c r="A1499" s="53"/>
      <c r="B1499" s="58"/>
      <c r="C1499" s="58"/>
      <c r="D1499" s="35"/>
      <c r="E1499" s="132"/>
      <c r="F1499" s="132"/>
      <c r="G1499" s="132"/>
      <c r="H1499" s="132"/>
      <c r="I1499" s="132"/>
      <c r="J1499" s="132"/>
      <c r="K1499" s="132"/>
      <c r="L1499" s="132"/>
      <c r="M1499" s="132"/>
      <c r="N1499" s="132"/>
      <c r="O1499" s="132"/>
      <c r="P1499" s="154"/>
    </row>
    <row r="1500" spans="1:16" s="28" customFormat="1" x14ac:dyDescent="0.25">
      <c r="A1500" s="53"/>
      <c r="B1500" s="58"/>
      <c r="C1500" s="58"/>
      <c r="D1500" s="35"/>
      <c r="E1500" s="132"/>
      <c r="F1500" s="132"/>
      <c r="G1500" s="132"/>
      <c r="H1500" s="132"/>
      <c r="I1500" s="132"/>
      <c r="J1500" s="132"/>
      <c r="K1500" s="132"/>
      <c r="L1500" s="132"/>
      <c r="M1500" s="132"/>
      <c r="N1500" s="132"/>
      <c r="O1500" s="132"/>
      <c r="P1500" s="154"/>
    </row>
    <row r="1501" spans="1:16" s="28" customFormat="1" x14ac:dyDescent="0.25">
      <c r="A1501" s="53"/>
      <c r="B1501" s="58"/>
      <c r="C1501" s="58"/>
      <c r="D1501" s="35"/>
      <c r="E1501" s="132"/>
      <c r="F1501" s="132"/>
      <c r="G1501" s="132"/>
      <c r="H1501" s="132"/>
      <c r="I1501" s="132"/>
      <c r="J1501" s="132"/>
      <c r="K1501" s="132"/>
      <c r="L1501" s="132"/>
      <c r="M1501" s="132"/>
      <c r="N1501" s="132"/>
      <c r="O1501" s="132"/>
      <c r="P1501" s="154"/>
    </row>
    <row r="1502" spans="1:16" s="28" customFormat="1" x14ac:dyDescent="0.25">
      <c r="A1502" s="53"/>
      <c r="B1502" s="58"/>
      <c r="C1502" s="58"/>
      <c r="D1502" s="35"/>
      <c r="E1502" s="132"/>
      <c r="F1502" s="132"/>
      <c r="G1502" s="132"/>
      <c r="H1502" s="132"/>
      <c r="I1502" s="132"/>
      <c r="J1502" s="132"/>
      <c r="K1502" s="132"/>
      <c r="L1502" s="132"/>
      <c r="M1502" s="132"/>
      <c r="N1502" s="132"/>
      <c r="O1502" s="132"/>
      <c r="P1502" s="154"/>
    </row>
    <row r="1503" spans="1:16" s="28" customFormat="1" x14ac:dyDescent="0.25">
      <c r="A1503" s="53"/>
      <c r="B1503" s="58"/>
      <c r="C1503" s="58"/>
      <c r="D1503" s="35"/>
      <c r="E1503" s="132"/>
      <c r="F1503" s="132"/>
      <c r="G1503" s="132"/>
      <c r="H1503" s="132"/>
      <c r="I1503" s="132"/>
      <c r="J1503" s="132"/>
      <c r="K1503" s="132"/>
      <c r="L1503" s="132"/>
      <c r="M1503" s="132"/>
      <c r="N1503" s="132"/>
      <c r="O1503" s="132"/>
      <c r="P1503" s="154"/>
    </row>
    <row r="1504" spans="1:16" s="28" customFormat="1" x14ac:dyDescent="0.25">
      <c r="A1504" s="53"/>
      <c r="B1504" s="58"/>
      <c r="C1504" s="58"/>
      <c r="D1504" s="35"/>
      <c r="E1504" s="132"/>
      <c r="F1504" s="132"/>
      <c r="G1504" s="132"/>
      <c r="H1504" s="132"/>
      <c r="I1504" s="132"/>
      <c r="J1504" s="132"/>
      <c r="K1504" s="132"/>
      <c r="L1504" s="132"/>
      <c r="M1504" s="132"/>
      <c r="N1504" s="132"/>
      <c r="O1504" s="132"/>
      <c r="P1504" s="154"/>
    </row>
    <row r="1505" spans="1:16" s="28" customFormat="1" x14ac:dyDescent="0.25">
      <c r="A1505" s="53"/>
      <c r="B1505" s="58"/>
      <c r="C1505" s="58"/>
      <c r="D1505" s="35"/>
      <c r="E1505" s="132"/>
      <c r="F1505" s="132"/>
      <c r="G1505" s="132"/>
      <c r="H1505" s="132"/>
      <c r="I1505" s="132"/>
      <c r="J1505" s="132"/>
      <c r="K1505" s="132"/>
      <c r="L1505" s="132"/>
      <c r="M1505" s="132"/>
      <c r="N1505" s="132"/>
      <c r="O1505" s="132"/>
      <c r="P1505" s="154"/>
    </row>
    <row r="1506" spans="1:16" s="28" customFormat="1" x14ac:dyDescent="0.25">
      <c r="A1506" s="53"/>
      <c r="B1506" s="58"/>
      <c r="C1506" s="58"/>
      <c r="D1506" s="35"/>
      <c r="E1506" s="132"/>
      <c r="F1506" s="132"/>
      <c r="G1506" s="132"/>
      <c r="H1506" s="132"/>
      <c r="I1506" s="132"/>
      <c r="J1506" s="132"/>
      <c r="K1506" s="132"/>
      <c r="L1506" s="132"/>
      <c r="M1506" s="132"/>
      <c r="N1506" s="132"/>
      <c r="O1506" s="132"/>
      <c r="P1506" s="154"/>
    </row>
    <row r="1507" spans="1:16" s="28" customFormat="1" x14ac:dyDescent="0.25">
      <c r="A1507" s="53"/>
      <c r="B1507" s="58"/>
      <c r="C1507" s="58"/>
      <c r="D1507" s="35"/>
      <c r="E1507" s="132"/>
      <c r="F1507" s="132"/>
      <c r="G1507" s="132"/>
      <c r="H1507" s="132"/>
      <c r="I1507" s="132"/>
      <c r="J1507" s="132"/>
      <c r="K1507" s="132"/>
      <c r="L1507" s="132"/>
      <c r="M1507" s="132"/>
      <c r="N1507" s="132"/>
      <c r="O1507" s="132"/>
      <c r="P1507" s="154"/>
    </row>
    <row r="1508" spans="1:16" s="28" customFormat="1" x14ac:dyDescent="0.25">
      <c r="A1508" s="53"/>
      <c r="B1508" s="58"/>
      <c r="C1508" s="58"/>
      <c r="D1508" s="35"/>
      <c r="E1508" s="132"/>
      <c r="F1508" s="132"/>
      <c r="G1508" s="132"/>
      <c r="H1508" s="132"/>
      <c r="I1508" s="132"/>
      <c r="J1508" s="132"/>
      <c r="K1508" s="132"/>
      <c r="L1508" s="132"/>
      <c r="M1508" s="132"/>
      <c r="N1508" s="132"/>
      <c r="O1508" s="132"/>
      <c r="P1508" s="154"/>
    </row>
    <row r="1509" spans="1:16" s="28" customFormat="1" x14ac:dyDescent="0.25">
      <c r="A1509" s="53"/>
      <c r="B1509" s="58"/>
      <c r="C1509" s="58"/>
      <c r="D1509" s="35"/>
      <c r="E1509" s="132"/>
      <c r="F1509" s="132"/>
      <c r="G1509" s="132"/>
      <c r="H1509" s="132"/>
      <c r="I1509" s="132"/>
      <c r="J1509" s="132"/>
      <c r="K1509" s="132"/>
      <c r="L1509" s="132"/>
      <c r="M1509" s="132"/>
      <c r="N1509" s="132"/>
      <c r="O1509" s="132"/>
      <c r="P1509" s="154"/>
    </row>
    <row r="1510" spans="1:16" s="28" customFormat="1" x14ac:dyDescent="0.25">
      <c r="A1510" s="53"/>
      <c r="B1510" s="58"/>
      <c r="C1510" s="58"/>
      <c r="D1510" s="35"/>
      <c r="E1510" s="132"/>
      <c r="F1510" s="132"/>
      <c r="G1510" s="132"/>
      <c r="H1510" s="132"/>
      <c r="I1510" s="132"/>
      <c r="J1510" s="132"/>
      <c r="K1510" s="132"/>
      <c r="L1510" s="132"/>
      <c r="M1510" s="132"/>
      <c r="N1510" s="132"/>
      <c r="O1510" s="132"/>
      <c r="P1510" s="154"/>
    </row>
    <row r="1511" spans="1:16" s="28" customFormat="1" x14ac:dyDescent="0.25">
      <c r="A1511" s="53"/>
      <c r="B1511" s="58"/>
      <c r="C1511" s="58"/>
      <c r="D1511" s="35"/>
      <c r="E1511" s="132"/>
      <c r="F1511" s="132"/>
      <c r="G1511" s="132"/>
      <c r="H1511" s="132"/>
      <c r="I1511" s="132"/>
      <c r="J1511" s="132"/>
      <c r="K1511" s="132"/>
      <c r="L1511" s="132"/>
      <c r="M1511" s="132"/>
      <c r="N1511" s="132"/>
      <c r="O1511" s="132"/>
      <c r="P1511" s="154"/>
    </row>
    <row r="1512" spans="1:16" s="28" customFormat="1" x14ac:dyDescent="0.25">
      <c r="A1512" s="53"/>
      <c r="B1512" s="58"/>
      <c r="C1512" s="58"/>
      <c r="D1512" s="35"/>
      <c r="E1512" s="132"/>
      <c r="F1512" s="132"/>
      <c r="G1512" s="132"/>
      <c r="H1512" s="132"/>
      <c r="I1512" s="132"/>
      <c r="J1512" s="132"/>
      <c r="K1512" s="132"/>
      <c r="L1512" s="132"/>
      <c r="M1512" s="132"/>
      <c r="N1512" s="132"/>
      <c r="O1512" s="132"/>
      <c r="P1512" s="154"/>
    </row>
    <row r="1513" spans="1:16" s="28" customFormat="1" x14ac:dyDescent="0.25">
      <c r="A1513" s="53"/>
      <c r="B1513" s="58"/>
      <c r="C1513" s="58"/>
      <c r="D1513" s="35"/>
      <c r="E1513" s="132"/>
      <c r="F1513" s="132"/>
      <c r="G1513" s="132"/>
      <c r="H1513" s="132"/>
      <c r="I1513" s="132"/>
      <c r="J1513" s="132"/>
      <c r="K1513" s="132"/>
      <c r="L1513" s="132"/>
      <c r="M1513" s="132"/>
      <c r="N1513" s="132"/>
      <c r="O1513" s="132"/>
      <c r="P1513" s="154"/>
    </row>
    <row r="1514" spans="1:16" s="28" customFormat="1" x14ac:dyDescent="0.25">
      <c r="A1514" s="53"/>
      <c r="B1514" s="58"/>
      <c r="C1514" s="58"/>
      <c r="D1514" s="35"/>
      <c r="E1514" s="132"/>
      <c r="F1514" s="132"/>
      <c r="G1514" s="132"/>
      <c r="H1514" s="132"/>
      <c r="I1514" s="132"/>
      <c r="J1514" s="132"/>
      <c r="K1514" s="132"/>
      <c r="L1514" s="132"/>
      <c r="M1514" s="132"/>
      <c r="N1514" s="132"/>
      <c r="O1514" s="132"/>
      <c r="P1514" s="154"/>
    </row>
    <row r="1515" spans="1:16" s="28" customFormat="1" x14ac:dyDescent="0.25">
      <c r="A1515" s="53"/>
      <c r="B1515" s="58"/>
      <c r="C1515" s="58"/>
      <c r="D1515" s="35"/>
      <c r="E1515" s="132"/>
      <c r="F1515" s="132"/>
      <c r="G1515" s="132"/>
      <c r="H1515" s="132"/>
      <c r="I1515" s="132"/>
      <c r="J1515" s="132"/>
      <c r="K1515" s="132"/>
      <c r="L1515" s="132"/>
      <c r="M1515" s="132"/>
      <c r="N1515" s="132"/>
      <c r="O1515" s="132"/>
      <c r="P1515" s="154"/>
    </row>
    <row r="1516" spans="1:16" s="28" customFormat="1" x14ac:dyDescent="0.25">
      <c r="A1516" s="53"/>
      <c r="B1516" s="58"/>
      <c r="C1516" s="58"/>
      <c r="D1516" s="35"/>
      <c r="E1516" s="132"/>
      <c r="F1516" s="132"/>
      <c r="G1516" s="132"/>
      <c r="H1516" s="132"/>
      <c r="I1516" s="132"/>
      <c r="J1516" s="132"/>
      <c r="K1516" s="132"/>
      <c r="L1516" s="132"/>
      <c r="M1516" s="132"/>
      <c r="N1516" s="132"/>
      <c r="O1516" s="132"/>
      <c r="P1516" s="154"/>
    </row>
    <row r="1517" spans="1:16" s="28" customFormat="1" x14ac:dyDescent="0.25">
      <c r="A1517" s="53"/>
      <c r="B1517" s="58"/>
      <c r="C1517" s="58"/>
      <c r="D1517" s="35"/>
      <c r="E1517" s="132"/>
      <c r="F1517" s="132"/>
      <c r="G1517" s="132"/>
      <c r="H1517" s="132"/>
      <c r="I1517" s="132"/>
      <c r="J1517" s="132"/>
      <c r="K1517" s="132"/>
      <c r="L1517" s="132"/>
      <c r="M1517" s="132"/>
      <c r="N1517" s="132"/>
      <c r="O1517" s="132"/>
      <c r="P1517" s="154"/>
    </row>
    <row r="1518" spans="1:16" s="28" customFormat="1" x14ac:dyDescent="0.25">
      <c r="A1518" s="53"/>
      <c r="B1518" s="58"/>
      <c r="C1518" s="58"/>
      <c r="D1518" s="35"/>
      <c r="E1518" s="132"/>
      <c r="F1518" s="132"/>
      <c r="G1518" s="132"/>
      <c r="H1518" s="132"/>
      <c r="I1518" s="132"/>
      <c r="J1518" s="132"/>
      <c r="K1518" s="132"/>
      <c r="L1518" s="132"/>
      <c r="M1518" s="132"/>
      <c r="N1518" s="132"/>
      <c r="O1518" s="132"/>
      <c r="P1518" s="154"/>
    </row>
    <row r="1519" spans="1:16" s="28" customFormat="1" x14ac:dyDescent="0.25">
      <c r="A1519" s="53"/>
      <c r="B1519" s="58"/>
      <c r="C1519" s="58"/>
      <c r="D1519" s="35"/>
      <c r="E1519" s="132"/>
      <c r="F1519" s="132"/>
      <c r="G1519" s="132"/>
      <c r="H1519" s="132"/>
      <c r="I1519" s="132"/>
      <c r="J1519" s="132"/>
      <c r="K1519" s="132"/>
      <c r="L1519" s="132"/>
      <c r="M1519" s="132"/>
      <c r="N1519" s="132"/>
      <c r="O1519" s="132"/>
      <c r="P1519" s="154"/>
    </row>
    <row r="1520" spans="1:16" s="28" customFormat="1" x14ac:dyDescent="0.25">
      <c r="A1520" s="53"/>
      <c r="B1520" s="58"/>
      <c r="C1520" s="58"/>
      <c r="D1520" s="35"/>
      <c r="E1520" s="132"/>
      <c r="F1520" s="132"/>
      <c r="G1520" s="132"/>
      <c r="H1520" s="132"/>
      <c r="I1520" s="132"/>
      <c r="J1520" s="132"/>
      <c r="K1520" s="132"/>
      <c r="L1520" s="132"/>
      <c r="M1520" s="132"/>
      <c r="N1520" s="132"/>
      <c r="O1520" s="132"/>
      <c r="P1520" s="154"/>
    </row>
    <row r="1521" spans="1:16" s="28" customFormat="1" x14ac:dyDescent="0.25">
      <c r="A1521" s="53"/>
      <c r="B1521" s="58"/>
      <c r="C1521" s="58"/>
      <c r="D1521" s="35"/>
      <c r="E1521" s="132"/>
      <c r="F1521" s="132"/>
      <c r="G1521" s="132"/>
      <c r="H1521" s="132"/>
      <c r="I1521" s="132"/>
      <c r="J1521" s="132"/>
      <c r="K1521" s="132"/>
      <c r="L1521" s="132"/>
      <c r="M1521" s="132"/>
      <c r="N1521" s="132"/>
      <c r="O1521" s="132"/>
      <c r="P1521" s="154"/>
    </row>
    <row r="1522" spans="1:16" s="28" customFormat="1" x14ac:dyDescent="0.25">
      <c r="A1522" s="53"/>
      <c r="B1522" s="58"/>
      <c r="C1522" s="58"/>
      <c r="D1522" s="35"/>
      <c r="E1522" s="132"/>
      <c r="F1522" s="132"/>
      <c r="G1522" s="132"/>
      <c r="H1522" s="132"/>
      <c r="I1522" s="132"/>
      <c r="J1522" s="132"/>
      <c r="K1522" s="132"/>
      <c r="L1522" s="132"/>
      <c r="M1522" s="132"/>
      <c r="N1522" s="132"/>
      <c r="O1522" s="132"/>
      <c r="P1522" s="154"/>
    </row>
    <row r="1523" spans="1:16" s="28" customFormat="1" x14ac:dyDescent="0.25">
      <c r="A1523" s="53"/>
      <c r="B1523" s="58"/>
      <c r="C1523" s="58"/>
      <c r="D1523" s="35"/>
      <c r="E1523" s="132"/>
      <c r="F1523" s="132"/>
      <c r="G1523" s="132"/>
      <c r="H1523" s="132"/>
      <c r="I1523" s="132"/>
      <c r="J1523" s="132"/>
      <c r="K1523" s="132"/>
      <c r="L1523" s="132"/>
      <c r="M1523" s="132"/>
      <c r="N1523" s="132"/>
      <c r="O1523" s="132"/>
      <c r="P1523" s="154"/>
    </row>
    <row r="1524" spans="1:16" s="28" customFormat="1" x14ac:dyDescent="0.25">
      <c r="A1524" s="53"/>
      <c r="B1524" s="58"/>
      <c r="C1524" s="58"/>
      <c r="D1524" s="35"/>
      <c r="E1524" s="132"/>
      <c r="F1524" s="132"/>
      <c r="G1524" s="132"/>
      <c r="H1524" s="132"/>
      <c r="I1524" s="132"/>
      <c r="J1524" s="132"/>
      <c r="K1524" s="132"/>
      <c r="L1524" s="132"/>
      <c r="M1524" s="132"/>
      <c r="N1524" s="132"/>
      <c r="O1524" s="132"/>
      <c r="P1524" s="154"/>
    </row>
    <row r="1525" spans="1:16" s="28" customFormat="1" x14ac:dyDescent="0.25">
      <c r="A1525" s="53"/>
      <c r="B1525" s="58"/>
      <c r="C1525" s="58"/>
      <c r="D1525" s="35"/>
      <c r="E1525" s="132"/>
      <c r="F1525" s="132"/>
      <c r="G1525" s="132"/>
      <c r="H1525" s="132"/>
      <c r="I1525" s="132"/>
      <c r="J1525" s="132"/>
      <c r="K1525" s="132"/>
      <c r="L1525" s="132"/>
      <c r="M1525" s="132"/>
      <c r="N1525" s="132"/>
      <c r="O1525" s="132"/>
      <c r="P1525" s="154"/>
    </row>
    <row r="1526" spans="1:16" s="28" customFormat="1" x14ac:dyDescent="0.25">
      <c r="A1526" s="53"/>
      <c r="B1526" s="58"/>
      <c r="C1526" s="58"/>
      <c r="D1526" s="35"/>
      <c r="E1526" s="132"/>
      <c r="F1526" s="132"/>
      <c r="G1526" s="132"/>
      <c r="H1526" s="132"/>
      <c r="I1526" s="132"/>
      <c r="J1526" s="132"/>
      <c r="K1526" s="132"/>
      <c r="L1526" s="132"/>
      <c r="M1526" s="132"/>
      <c r="N1526" s="132"/>
      <c r="O1526" s="132"/>
      <c r="P1526" s="154"/>
    </row>
    <row r="1527" spans="1:16" s="28" customFormat="1" x14ac:dyDescent="0.25">
      <c r="A1527" s="53"/>
      <c r="B1527" s="58"/>
      <c r="C1527" s="58"/>
      <c r="D1527" s="35"/>
      <c r="E1527" s="132"/>
      <c r="F1527" s="132"/>
      <c r="G1527" s="132"/>
      <c r="H1527" s="132"/>
      <c r="I1527" s="132"/>
      <c r="J1527" s="132"/>
      <c r="K1527" s="132"/>
      <c r="L1527" s="132"/>
      <c r="M1527" s="132"/>
      <c r="N1527" s="132"/>
      <c r="O1527" s="132"/>
      <c r="P1527" s="154"/>
    </row>
    <row r="1528" spans="1:16" s="28" customFormat="1" x14ac:dyDescent="0.25">
      <c r="A1528" s="53"/>
      <c r="B1528" s="58"/>
      <c r="C1528" s="58"/>
      <c r="D1528" s="35"/>
      <c r="E1528" s="132"/>
      <c r="F1528" s="132"/>
      <c r="G1528" s="132"/>
      <c r="H1528" s="132"/>
      <c r="I1528" s="132"/>
      <c r="J1528" s="132"/>
      <c r="K1528" s="132"/>
      <c r="L1528" s="132"/>
      <c r="M1528" s="132"/>
      <c r="N1528" s="132"/>
      <c r="O1528" s="132"/>
      <c r="P1528" s="154"/>
    </row>
    <row r="1529" spans="1:16" s="28" customFormat="1" x14ac:dyDescent="0.25">
      <c r="A1529" s="53"/>
      <c r="B1529" s="58"/>
      <c r="C1529" s="58"/>
      <c r="D1529" s="35"/>
      <c r="E1529" s="132"/>
      <c r="F1529" s="132"/>
      <c r="G1529" s="132"/>
      <c r="H1529" s="132"/>
      <c r="I1529" s="132"/>
      <c r="J1529" s="132"/>
      <c r="K1529" s="132"/>
      <c r="L1529" s="132"/>
      <c r="M1529" s="132"/>
      <c r="N1529" s="132"/>
      <c r="O1529" s="132"/>
      <c r="P1529" s="154"/>
    </row>
    <row r="1530" spans="1:16" s="28" customFormat="1" x14ac:dyDescent="0.25">
      <c r="A1530" s="53"/>
      <c r="B1530" s="58"/>
      <c r="C1530" s="58"/>
      <c r="D1530" s="35"/>
      <c r="E1530" s="132"/>
      <c r="F1530" s="132"/>
      <c r="G1530" s="132"/>
      <c r="H1530" s="132"/>
      <c r="I1530" s="132"/>
      <c r="J1530" s="132"/>
      <c r="K1530" s="132"/>
      <c r="L1530" s="132"/>
      <c r="M1530" s="132"/>
      <c r="N1530" s="132"/>
      <c r="O1530" s="132"/>
      <c r="P1530" s="154"/>
    </row>
    <row r="1531" spans="1:16" s="28" customFormat="1" x14ac:dyDescent="0.25">
      <c r="A1531" s="53"/>
      <c r="B1531" s="58"/>
      <c r="C1531" s="58"/>
      <c r="D1531" s="35"/>
      <c r="E1531" s="132"/>
      <c r="F1531" s="132"/>
      <c r="G1531" s="132"/>
      <c r="H1531" s="132"/>
      <c r="I1531" s="132"/>
      <c r="J1531" s="132"/>
      <c r="K1531" s="132"/>
      <c r="L1531" s="132"/>
      <c r="M1531" s="132"/>
      <c r="N1531" s="132"/>
      <c r="O1531" s="132"/>
      <c r="P1531" s="154"/>
    </row>
    <row r="1532" spans="1:16" s="28" customFormat="1" x14ac:dyDescent="0.25">
      <c r="A1532" s="53"/>
      <c r="B1532" s="58"/>
      <c r="C1532" s="58"/>
      <c r="D1532" s="35"/>
      <c r="E1532" s="132"/>
      <c r="F1532" s="132"/>
      <c r="G1532" s="132"/>
      <c r="H1532" s="132"/>
      <c r="I1532" s="132"/>
      <c r="J1532" s="132"/>
      <c r="K1532" s="132"/>
      <c r="L1532" s="132"/>
      <c r="M1532" s="132"/>
      <c r="N1532" s="132"/>
      <c r="O1532" s="132"/>
      <c r="P1532" s="154"/>
    </row>
    <row r="1533" spans="1:16" s="28" customFormat="1" x14ac:dyDescent="0.25">
      <c r="A1533" s="53"/>
      <c r="B1533" s="58"/>
      <c r="C1533" s="58"/>
      <c r="D1533" s="35"/>
      <c r="E1533" s="132"/>
      <c r="F1533" s="132"/>
      <c r="G1533" s="132"/>
      <c r="H1533" s="132"/>
      <c r="I1533" s="132"/>
      <c r="J1533" s="132"/>
      <c r="K1533" s="132"/>
      <c r="L1533" s="132"/>
      <c r="M1533" s="132"/>
      <c r="N1533" s="132"/>
      <c r="O1533" s="132"/>
      <c r="P1533" s="154"/>
    </row>
    <row r="1534" spans="1:16" s="28" customFormat="1" x14ac:dyDescent="0.25">
      <c r="A1534" s="53"/>
      <c r="B1534" s="58"/>
      <c r="C1534" s="58"/>
      <c r="D1534" s="35"/>
      <c r="E1534" s="132"/>
      <c r="F1534" s="132"/>
      <c r="G1534" s="132"/>
      <c r="H1534" s="132"/>
      <c r="I1534" s="132"/>
      <c r="J1534" s="132"/>
      <c r="K1534" s="132"/>
      <c r="L1534" s="132"/>
      <c r="M1534" s="132"/>
      <c r="N1534" s="132"/>
      <c r="O1534" s="132"/>
      <c r="P1534" s="154"/>
    </row>
    <row r="1535" spans="1:16" s="28" customFormat="1" x14ac:dyDescent="0.25">
      <c r="A1535" s="53"/>
      <c r="B1535" s="58"/>
      <c r="C1535" s="58"/>
      <c r="D1535" s="35"/>
      <c r="E1535" s="132"/>
      <c r="F1535" s="132"/>
      <c r="G1535" s="132"/>
      <c r="H1535" s="132"/>
      <c r="I1535" s="132"/>
      <c r="J1535" s="132"/>
      <c r="K1535" s="132"/>
      <c r="L1535" s="132"/>
      <c r="M1535" s="132"/>
      <c r="N1535" s="132"/>
      <c r="O1535" s="132"/>
      <c r="P1535" s="154"/>
    </row>
    <row r="1536" spans="1:16" s="28" customFormat="1" x14ac:dyDescent="0.25">
      <c r="A1536" s="53"/>
      <c r="B1536" s="58"/>
      <c r="C1536" s="58"/>
      <c r="D1536" s="35"/>
      <c r="E1536" s="132"/>
      <c r="F1536" s="132"/>
      <c r="G1536" s="132"/>
      <c r="H1536" s="132"/>
      <c r="I1536" s="132"/>
      <c r="J1536" s="132"/>
      <c r="K1536" s="132"/>
      <c r="L1536" s="132"/>
      <c r="M1536" s="132"/>
      <c r="N1536" s="132"/>
      <c r="O1536" s="132"/>
      <c r="P1536" s="154"/>
    </row>
    <row r="1537" spans="1:16" s="28" customFormat="1" x14ac:dyDescent="0.25">
      <c r="A1537" s="53"/>
      <c r="B1537" s="58"/>
      <c r="C1537" s="58"/>
      <c r="D1537" s="35"/>
      <c r="E1537" s="132"/>
      <c r="F1537" s="132"/>
      <c r="G1537" s="132"/>
      <c r="H1537" s="132"/>
      <c r="I1537" s="132"/>
      <c r="J1537" s="132"/>
      <c r="K1537" s="132"/>
      <c r="L1537" s="132"/>
      <c r="M1537" s="132"/>
      <c r="N1537" s="132"/>
      <c r="O1537" s="132"/>
      <c r="P1537" s="154"/>
    </row>
    <row r="1538" spans="1:16" s="28" customFormat="1" x14ac:dyDescent="0.25">
      <c r="A1538" s="53"/>
      <c r="B1538" s="58"/>
      <c r="C1538" s="58"/>
      <c r="D1538" s="35"/>
      <c r="E1538" s="132"/>
      <c r="F1538" s="132"/>
      <c r="G1538" s="132"/>
      <c r="H1538" s="132"/>
      <c r="I1538" s="132"/>
      <c r="J1538" s="132"/>
      <c r="K1538" s="132"/>
      <c r="L1538" s="132"/>
      <c r="M1538" s="132"/>
      <c r="N1538" s="132"/>
      <c r="O1538" s="132"/>
      <c r="P1538" s="154"/>
    </row>
    <row r="1539" spans="1:16" s="28" customFormat="1" x14ac:dyDescent="0.25">
      <c r="A1539" s="53"/>
      <c r="B1539" s="58"/>
      <c r="C1539" s="58"/>
      <c r="D1539" s="35"/>
      <c r="E1539" s="132"/>
      <c r="F1539" s="132"/>
      <c r="G1539" s="132"/>
      <c r="H1539" s="132"/>
      <c r="I1539" s="132"/>
      <c r="J1539" s="132"/>
      <c r="K1539" s="132"/>
      <c r="L1539" s="132"/>
      <c r="M1539" s="132"/>
      <c r="N1539" s="132"/>
      <c r="O1539" s="132"/>
      <c r="P1539" s="154"/>
    </row>
    <row r="1540" spans="1:16" s="28" customFormat="1" x14ac:dyDescent="0.25">
      <c r="A1540" s="53"/>
      <c r="B1540" s="58"/>
      <c r="C1540" s="58"/>
      <c r="D1540" s="35"/>
      <c r="E1540" s="132"/>
      <c r="F1540" s="132"/>
      <c r="G1540" s="132"/>
      <c r="H1540" s="132"/>
      <c r="I1540" s="132"/>
      <c r="J1540" s="132"/>
      <c r="K1540" s="132"/>
      <c r="L1540" s="132"/>
      <c r="M1540" s="132"/>
      <c r="N1540" s="132"/>
      <c r="O1540" s="132"/>
      <c r="P1540" s="154"/>
    </row>
    <row r="1541" spans="1:16" s="28" customFormat="1" x14ac:dyDescent="0.25">
      <c r="A1541" s="53"/>
      <c r="B1541" s="58"/>
      <c r="C1541" s="58"/>
      <c r="D1541" s="35"/>
      <c r="E1541" s="132"/>
      <c r="F1541" s="132"/>
      <c r="G1541" s="132"/>
      <c r="H1541" s="132"/>
      <c r="I1541" s="132"/>
      <c r="J1541" s="132"/>
      <c r="K1541" s="132"/>
      <c r="L1541" s="132"/>
      <c r="M1541" s="132"/>
      <c r="N1541" s="132"/>
      <c r="O1541" s="132"/>
      <c r="P1541" s="154"/>
    </row>
    <row r="1542" spans="1:16" s="28" customFormat="1" x14ac:dyDescent="0.25">
      <c r="A1542" s="53"/>
      <c r="B1542" s="58"/>
      <c r="C1542" s="58"/>
      <c r="D1542" s="35"/>
      <c r="E1542" s="132"/>
      <c r="F1542" s="132"/>
      <c r="G1542" s="132"/>
      <c r="H1542" s="132"/>
      <c r="I1542" s="132"/>
      <c r="J1542" s="132"/>
      <c r="K1542" s="132"/>
      <c r="L1542" s="132"/>
      <c r="M1542" s="132"/>
      <c r="N1542" s="132"/>
      <c r="O1542" s="132"/>
      <c r="P1542" s="154"/>
    </row>
    <row r="1543" spans="1:16" s="28" customFormat="1" x14ac:dyDescent="0.25">
      <c r="A1543" s="53"/>
      <c r="B1543" s="58"/>
      <c r="C1543" s="58"/>
      <c r="D1543" s="35"/>
      <c r="E1543" s="132"/>
      <c r="F1543" s="132"/>
      <c r="G1543" s="132"/>
      <c r="H1543" s="132"/>
      <c r="I1543" s="132"/>
      <c r="J1543" s="132"/>
      <c r="K1543" s="132"/>
      <c r="L1543" s="132"/>
      <c r="M1543" s="132"/>
      <c r="N1543" s="132"/>
      <c r="O1543" s="132"/>
      <c r="P1543" s="154"/>
    </row>
    <row r="1544" spans="1:16" s="28" customFormat="1" x14ac:dyDescent="0.25">
      <c r="A1544" s="53"/>
      <c r="B1544" s="58"/>
      <c r="C1544" s="58"/>
      <c r="D1544" s="35"/>
      <c r="E1544" s="132"/>
      <c r="F1544" s="132"/>
      <c r="G1544" s="132"/>
      <c r="H1544" s="132"/>
      <c r="I1544" s="132"/>
      <c r="J1544" s="132"/>
      <c r="K1544" s="132"/>
      <c r="L1544" s="132"/>
      <c r="M1544" s="132"/>
      <c r="N1544" s="132"/>
      <c r="O1544" s="132"/>
      <c r="P1544" s="154"/>
    </row>
    <row r="1545" spans="1:16" s="28" customFormat="1" x14ac:dyDescent="0.25">
      <c r="A1545" s="53"/>
      <c r="B1545" s="58"/>
      <c r="C1545" s="58"/>
      <c r="D1545" s="35"/>
      <c r="E1545" s="132"/>
      <c r="F1545" s="132"/>
      <c r="G1545" s="132"/>
      <c r="H1545" s="132"/>
      <c r="I1545" s="132"/>
      <c r="J1545" s="132"/>
      <c r="K1545" s="132"/>
      <c r="L1545" s="132"/>
      <c r="M1545" s="132"/>
      <c r="N1545" s="132"/>
      <c r="O1545" s="132"/>
      <c r="P1545" s="154"/>
    </row>
    <row r="1546" spans="1:16" s="28" customFormat="1" x14ac:dyDescent="0.25">
      <c r="A1546" s="53"/>
      <c r="B1546" s="58"/>
      <c r="C1546" s="58"/>
      <c r="D1546" s="35"/>
      <c r="E1546" s="132"/>
      <c r="F1546" s="132"/>
      <c r="G1546" s="132"/>
      <c r="H1546" s="132"/>
      <c r="I1546" s="132"/>
      <c r="J1546" s="132"/>
      <c r="K1546" s="132"/>
      <c r="L1546" s="132"/>
      <c r="M1546" s="132"/>
      <c r="N1546" s="132"/>
      <c r="O1546" s="132"/>
      <c r="P1546" s="154"/>
    </row>
    <row r="1547" spans="1:16" s="28" customFormat="1" x14ac:dyDescent="0.25">
      <c r="A1547" s="53"/>
      <c r="B1547" s="58"/>
      <c r="C1547" s="58"/>
      <c r="D1547" s="35"/>
      <c r="E1547" s="132"/>
      <c r="F1547" s="132"/>
      <c r="G1547" s="132"/>
      <c r="H1547" s="132"/>
      <c r="I1547" s="132"/>
      <c r="J1547" s="132"/>
      <c r="K1547" s="132"/>
      <c r="L1547" s="132"/>
      <c r="M1547" s="132"/>
      <c r="N1547" s="132"/>
      <c r="O1547" s="132"/>
      <c r="P1547" s="154"/>
    </row>
    <row r="1548" spans="1:16" s="28" customFormat="1" x14ac:dyDescent="0.25">
      <c r="A1548" s="53"/>
      <c r="B1548" s="58"/>
      <c r="C1548" s="58"/>
      <c r="D1548" s="35"/>
      <c r="E1548" s="132"/>
      <c r="F1548" s="132"/>
      <c r="G1548" s="132"/>
      <c r="H1548" s="132"/>
      <c r="I1548" s="132"/>
      <c r="J1548" s="132"/>
      <c r="K1548" s="132"/>
      <c r="L1548" s="132"/>
      <c r="M1548" s="132"/>
      <c r="N1548" s="132"/>
      <c r="O1548" s="132"/>
      <c r="P1548" s="154"/>
    </row>
    <row r="1549" spans="1:16" s="28" customFormat="1" x14ac:dyDescent="0.25">
      <c r="A1549" s="53"/>
      <c r="B1549" s="58"/>
      <c r="C1549" s="58"/>
      <c r="D1549" s="35"/>
      <c r="E1549" s="132"/>
      <c r="F1549" s="132"/>
      <c r="G1549" s="132"/>
      <c r="H1549" s="132"/>
      <c r="I1549" s="132"/>
      <c r="J1549" s="132"/>
      <c r="K1549" s="132"/>
      <c r="L1549" s="132"/>
      <c r="M1549" s="132"/>
      <c r="N1549" s="132"/>
      <c r="O1549" s="132"/>
      <c r="P1549" s="154"/>
    </row>
    <row r="1550" spans="1:16" s="28" customFormat="1" x14ac:dyDescent="0.25">
      <c r="A1550" s="53"/>
      <c r="B1550" s="58"/>
      <c r="C1550" s="58"/>
      <c r="D1550" s="35"/>
      <c r="E1550" s="132"/>
      <c r="F1550" s="132"/>
      <c r="G1550" s="132"/>
      <c r="H1550" s="132"/>
      <c r="I1550" s="132"/>
      <c r="J1550" s="132"/>
      <c r="K1550" s="132"/>
      <c r="L1550" s="132"/>
      <c r="M1550" s="132"/>
      <c r="N1550" s="132"/>
      <c r="O1550" s="132"/>
      <c r="P1550" s="154"/>
    </row>
    <row r="1551" spans="1:16" s="28" customFormat="1" x14ac:dyDescent="0.25">
      <c r="A1551" s="53"/>
      <c r="B1551" s="58"/>
      <c r="C1551" s="58"/>
      <c r="D1551" s="35"/>
      <c r="E1551" s="132"/>
      <c r="F1551" s="132"/>
      <c r="G1551" s="132"/>
      <c r="H1551" s="132"/>
      <c r="I1551" s="132"/>
      <c r="J1551" s="132"/>
      <c r="K1551" s="132"/>
      <c r="L1551" s="132"/>
      <c r="M1551" s="132"/>
      <c r="N1551" s="132"/>
      <c r="O1551" s="132"/>
      <c r="P1551" s="154"/>
    </row>
    <row r="1552" spans="1:16" s="28" customFormat="1" x14ac:dyDescent="0.25">
      <c r="A1552" s="53"/>
      <c r="B1552" s="58"/>
      <c r="C1552" s="58"/>
      <c r="D1552" s="35"/>
      <c r="E1552" s="132"/>
      <c r="F1552" s="132"/>
      <c r="G1552" s="132"/>
      <c r="H1552" s="132"/>
      <c r="I1552" s="132"/>
      <c r="J1552" s="132"/>
      <c r="K1552" s="132"/>
      <c r="L1552" s="132"/>
      <c r="M1552" s="132"/>
      <c r="N1552" s="132"/>
      <c r="O1552" s="132"/>
      <c r="P1552" s="154"/>
    </row>
    <row r="1553" spans="1:16" s="28" customFormat="1" x14ac:dyDescent="0.25">
      <c r="A1553" s="53"/>
      <c r="B1553" s="58"/>
      <c r="C1553" s="58"/>
      <c r="D1553" s="35"/>
      <c r="E1553" s="132"/>
      <c r="F1553" s="132"/>
      <c r="G1553" s="132"/>
      <c r="H1553" s="132"/>
      <c r="I1553" s="132"/>
      <c r="J1553" s="132"/>
      <c r="K1553" s="132"/>
      <c r="L1553" s="132"/>
      <c r="M1553" s="132"/>
      <c r="N1553" s="132"/>
      <c r="O1553" s="132"/>
      <c r="P1553" s="154"/>
    </row>
    <row r="1554" spans="1:16" s="28" customFormat="1" x14ac:dyDescent="0.25">
      <c r="A1554" s="53"/>
      <c r="B1554" s="58"/>
      <c r="C1554" s="58"/>
      <c r="D1554" s="35"/>
      <c r="E1554" s="132"/>
      <c r="F1554" s="132"/>
      <c r="G1554" s="132"/>
      <c r="H1554" s="132"/>
      <c r="I1554" s="132"/>
      <c r="J1554" s="132"/>
      <c r="K1554" s="132"/>
      <c r="L1554" s="132"/>
      <c r="M1554" s="132"/>
      <c r="N1554" s="132"/>
      <c r="O1554" s="132"/>
      <c r="P1554" s="154"/>
    </row>
    <row r="1555" spans="1:16" s="28" customFormat="1" x14ac:dyDescent="0.25">
      <c r="A1555" s="53"/>
      <c r="B1555" s="58"/>
      <c r="C1555" s="58"/>
      <c r="D1555" s="35"/>
      <c r="E1555" s="132"/>
      <c r="F1555" s="132"/>
      <c r="G1555" s="132"/>
      <c r="H1555" s="132"/>
      <c r="I1555" s="132"/>
      <c r="J1555" s="132"/>
      <c r="K1555" s="132"/>
      <c r="L1555" s="132"/>
      <c r="M1555" s="132"/>
      <c r="N1555" s="132"/>
      <c r="O1555" s="132"/>
      <c r="P1555" s="154"/>
    </row>
    <row r="1556" spans="1:16" s="28" customFormat="1" x14ac:dyDescent="0.25">
      <c r="A1556" s="53"/>
      <c r="B1556" s="58"/>
      <c r="C1556" s="58"/>
      <c r="D1556" s="35"/>
      <c r="E1556" s="132"/>
      <c r="F1556" s="132"/>
      <c r="G1556" s="132"/>
      <c r="H1556" s="132"/>
      <c r="I1556" s="132"/>
      <c r="J1556" s="132"/>
      <c r="K1556" s="132"/>
      <c r="L1556" s="132"/>
      <c r="M1556" s="132"/>
      <c r="N1556" s="132"/>
      <c r="O1556" s="132"/>
      <c r="P1556" s="154"/>
    </row>
    <row r="1557" spans="1:16" s="28" customFormat="1" x14ac:dyDescent="0.25">
      <c r="A1557" s="53"/>
      <c r="B1557" s="58"/>
      <c r="C1557" s="58"/>
      <c r="D1557" s="35"/>
      <c r="E1557" s="132"/>
      <c r="F1557" s="132"/>
      <c r="G1557" s="132"/>
      <c r="H1557" s="132"/>
      <c r="I1557" s="132"/>
      <c r="J1557" s="132"/>
      <c r="K1557" s="132"/>
      <c r="L1557" s="132"/>
      <c r="M1557" s="132"/>
      <c r="N1557" s="132"/>
      <c r="O1557" s="132"/>
      <c r="P1557" s="154"/>
    </row>
    <row r="1558" spans="1:16" s="28" customFormat="1" x14ac:dyDescent="0.25">
      <c r="A1558" s="53"/>
      <c r="B1558" s="58"/>
      <c r="C1558" s="58"/>
      <c r="D1558" s="35"/>
      <c r="E1558" s="132"/>
      <c r="F1558" s="132"/>
      <c r="G1558" s="132"/>
      <c r="H1558" s="132"/>
      <c r="I1558" s="132"/>
      <c r="J1558" s="132"/>
      <c r="K1558" s="132"/>
      <c r="L1558" s="132"/>
      <c r="M1558" s="132"/>
      <c r="N1558" s="132"/>
      <c r="O1558" s="132"/>
      <c r="P1558" s="154"/>
    </row>
    <row r="1559" spans="1:16" s="28" customFormat="1" x14ac:dyDescent="0.25">
      <c r="A1559" s="53"/>
      <c r="B1559" s="58"/>
      <c r="C1559" s="58"/>
      <c r="D1559" s="35"/>
      <c r="E1559" s="132"/>
      <c r="F1559" s="132"/>
      <c r="G1559" s="132"/>
      <c r="H1559" s="132"/>
      <c r="I1559" s="132"/>
      <c r="J1559" s="132"/>
      <c r="K1559" s="132"/>
      <c r="L1559" s="132"/>
      <c r="M1559" s="132"/>
      <c r="N1559" s="132"/>
      <c r="O1559" s="132"/>
      <c r="P1559" s="154"/>
    </row>
    <row r="1560" spans="1:16" s="28" customFormat="1" x14ac:dyDescent="0.25">
      <c r="A1560" s="53"/>
      <c r="B1560" s="58"/>
      <c r="C1560" s="58"/>
      <c r="D1560" s="35"/>
      <c r="E1560" s="132"/>
      <c r="F1560" s="132"/>
      <c r="G1560" s="132"/>
      <c r="H1560" s="132"/>
      <c r="I1560" s="132"/>
      <c r="J1560" s="132"/>
      <c r="K1560" s="132"/>
      <c r="L1560" s="132"/>
      <c r="M1560" s="132"/>
      <c r="N1560" s="132"/>
      <c r="O1560" s="132"/>
      <c r="P1560" s="154"/>
    </row>
    <row r="1561" spans="1:16" s="28" customFormat="1" x14ac:dyDescent="0.25">
      <c r="A1561" s="53"/>
      <c r="B1561" s="58"/>
      <c r="C1561" s="58"/>
      <c r="D1561" s="35"/>
      <c r="E1561" s="132"/>
      <c r="F1561" s="132"/>
      <c r="G1561" s="132"/>
      <c r="H1561" s="132"/>
      <c r="I1561" s="132"/>
      <c r="J1561" s="132"/>
      <c r="K1561" s="132"/>
      <c r="L1561" s="132"/>
      <c r="M1561" s="132"/>
      <c r="N1561" s="132"/>
      <c r="O1561" s="132"/>
      <c r="P1561" s="154"/>
    </row>
    <row r="1562" spans="1:16" s="28" customFormat="1" x14ac:dyDescent="0.25">
      <c r="A1562" s="53"/>
      <c r="B1562" s="58"/>
      <c r="C1562" s="58"/>
      <c r="D1562" s="35"/>
      <c r="E1562" s="132"/>
      <c r="F1562" s="132"/>
      <c r="G1562" s="132"/>
      <c r="H1562" s="132"/>
      <c r="I1562" s="132"/>
      <c r="J1562" s="132"/>
      <c r="K1562" s="132"/>
      <c r="L1562" s="132"/>
      <c r="M1562" s="132"/>
      <c r="N1562" s="132"/>
      <c r="O1562" s="132"/>
      <c r="P1562" s="154"/>
    </row>
    <row r="1563" spans="1:16" s="28" customFormat="1" x14ac:dyDescent="0.25">
      <c r="A1563" s="53"/>
      <c r="B1563" s="58"/>
      <c r="C1563" s="58"/>
      <c r="D1563" s="35"/>
      <c r="E1563" s="132"/>
      <c r="F1563" s="132"/>
      <c r="G1563" s="132"/>
      <c r="H1563" s="132"/>
      <c r="I1563" s="132"/>
      <c r="J1563" s="132"/>
      <c r="K1563" s="132"/>
      <c r="L1563" s="132"/>
      <c r="M1563" s="132"/>
      <c r="N1563" s="132"/>
      <c r="O1563" s="132"/>
      <c r="P1563" s="154"/>
    </row>
    <row r="1564" spans="1:16" s="28" customFormat="1" x14ac:dyDescent="0.25">
      <c r="A1564" s="53"/>
      <c r="B1564" s="58"/>
      <c r="C1564" s="58"/>
      <c r="D1564" s="35"/>
      <c r="E1564" s="132"/>
      <c r="F1564" s="132"/>
      <c r="G1564" s="132"/>
      <c r="H1564" s="132"/>
      <c r="I1564" s="132"/>
      <c r="J1564" s="132"/>
      <c r="K1564" s="132"/>
      <c r="L1564" s="132"/>
      <c r="M1564" s="132"/>
      <c r="N1564" s="132"/>
      <c r="O1564" s="132"/>
      <c r="P1564" s="154"/>
    </row>
    <row r="1565" spans="1:16" s="28" customFormat="1" x14ac:dyDescent="0.25">
      <c r="A1565" s="53"/>
      <c r="B1565" s="58"/>
      <c r="C1565" s="58"/>
      <c r="D1565" s="35"/>
      <c r="E1565" s="132"/>
      <c r="F1565" s="132"/>
      <c r="G1565" s="132"/>
      <c r="H1565" s="132"/>
      <c r="I1565" s="132"/>
      <c r="J1565" s="132"/>
      <c r="K1565" s="132"/>
      <c r="L1565" s="132"/>
      <c r="M1565" s="132"/>
      <c r="N1565" s="132"/>
      <c r="O1565" s="132"/>
      <c r="P1565" s="154"/>
    </row>
    <row r="1566" spans="1:16" s="28" customFormat="1" x14ac:dyDescent="0.25">
      <c r="A1566" s="53"/>
      <c r="B1566" s="58"/>
      <c r="C1566" s="58"/>
      <c r="D1566" s="35"/>
      <c r="E1566" s="132"/>
      <c r="F1566" s="132"/>
      <c r="G1566" s="132"/>
      <c r="H1566" s="132"/>
      <c r="I1566" s="132"/>
      <c r="J1566" s="132"/>
      <c r="K1566" s="132"/>
      <c r="L1566" s="132"/>
      <c r="M1566" s="132"/>
      <c r="N1566" s="132"/>
      <c r="O1566" s="132"/>
      <c r="P1566" s="154"/>
    </row>
    <row r="1567" spans="1:16" s="28" customFormat="1" x14ac:dyDescent="0.25">
      <c r="A1567" s="53"/>
      <c r="B1567" s="58"/>
      <c r="C1567" s="58"/>
      <c r="D1567" s="35"/>
      <c r="E1567" s="132"/>
      <c r="F1567" s="132"/>
      <c r="G1567" s="132"/>
      <c r="H1567" s="132"/>
      <c r="I1567" s="132"/>
      <c r="J1567" s="132"/>
      <c r="K1567" s="132"/>
      <c r="L1567" s="132"/>
      <c r="M1567" s="132"/>
      <c r="N1567" s="132"/>
      <c r="O1567" s="132"/>
      <c r="P1567" s="154"/>
    </row>
    <row r="1568" spans="1:16" s="28" customFormat="1" x14ac:dyDescent="0.25">
      <c r="A1568" s="53"/>
      <c r="B1568" s="58"/>
      <c r="C1568" s="58"/>
      <c r="D1568" s="35"/>
      <c r="E1568" s="132"/>
      <c r="F1568" s="132"/>
      <c r="G1568" s="132"/>
      <c r="H1568" s="132"/>
      <c r="I1568" s="132"/>
      <c r="J1568" s="132"/>
      <c r="K1568" s="132"/>
      <c r="L1568" s="132"/>
      <c r="M1568" s="132"/>
      <c r="N1568" s="132"/>
      <c r="O1568" s="132"/>
      <c r="P1568" s="154"/>
    </row>
    <row r="1569" spans="1:16" s="28" customFormat="1" x14ac:dyDescent="0.25">
      <c r="A1569" s="53"/>
      <c r="B1569" s="58"/>
      <c r="C1569" s="58"/>
      <c r="D1569" s="35"/>
      <c r="E1569" s="132"/>
      <c r="F1569" s="132"/>
      <c r="G1569" s="132"/>
      <c r="H1569" s="132"/>
      <c r="I1569" s="132"/>
      <c r="J1569" s="132"/>
      <c r="K1569" s="132"/>
      <c r="L1569" s="132"/>
      <c r="M1569" s="132"/>
      <c r="N1569" s="132"/>
      <c r="O1569" s="132"/>
      <c r="P1569" s="154"/>
    </row>
    <row r="1570" spans="1:16" s="28" customFormat="1" x14ac:dyDescent="0.25">
      <c r="A1570" s="53"/>
      <c r="B1570" s="58"/>
      <c r="C1570" s="58"/>
      <c r="D1570" s="35"/>
      <c r="E1570" s="132"/>
      <c r="F1570" s="132"/>
      <c r="G1570" s="132"/>
      <c r="H1570" s="132"/>
      <c r="I1570" s="132"/>
      <c r="J1570" s="132"/>
      <c r="K1570" s="132"/>
      <c r="L1570" s="132"/>
      <c r="M1570" s="132"/>
      <c r="N1570" s="132"/>
      <c r="O1570" s="132"/>
      <c r="P1570" s="154"/>
    </row>
    <row r="1571" spans="1:16" s="28" customFormat="1" x14ac:dyDescent="0.25">
      <c r="A1571" s="53"/>
      <c r="B1571" s="58"/>
      <c r="C1571" s="58"/>
      <c r="D1571" s="35"/>
      <c r="E1571" s="132"/>
      <c r="F1571" s="132"/>
      <c r="G1571" s="132"/>
      <c r="H1571" s="132"/>
      <c r="I1571" s="132"/>
      <c r="J1571" s="132"/>
      <c r="K1571" s="132"/>
      <c r="L1571" s="132"/>
      <c r="M1571" s="132"/>
      <c r="N1571" s="132"/>
      <c r="O1571" s="132"/>
      <c r="P1571" s="154"/>
    </row>
    <row r="1572" spans="1:16" s="28" customFormat="1" x14ac:dyDescent="0.25">
      <c r="A1572" s="53"/>
      <c r="B1572" s="58"/>
      <c r="C1572" s="58"/>
      <c r="D1572" s="35"/>
      <c r="E1572" s="132"/>
      <c r="F1572" s="132"/>
      <c r="G1572" s="132"/>
      <c r="H1572" s="132"/>
      <c r="I1572" s="132"/>
      <c r="J1572" s="132"/>
      <c r="K1572" s="132"/>
      <c r="L1572" s="132"/>
      <c r="M1572" s="132"/>
      <c r="N1572" s="132"/>
      <c r="O1572" s="132"/>
      <c r="P1572" s="154"/>
    </row>
    <row r="1573" spans="1:16" s="28" customFormat="1" x14ac:dyDescent="0.25">
      <c r="A1573" s="53"/>
      <c r="B1573" s="58"/>
      <c r="C1573" s="58"/>
      <c r="D1573" s="35"/>
      <c r="E1573" s="132"/>
      <c r="F1573" s="132"/>
      <c r="G1573" s="132"/>
      <c r="H1573" s="132"/>
      <c r="I1573" s="132"/>
      <c r="J1573" s="132"/>
      <c r="K1573" s="132"/>
      <c r="L1573" s="132"/>
      <c r="M1573" s="132"/>
      <c r="N1573" s="132"/>
      <c r="O1573" s="132"/>
      <c r="P1573" s="154"/>
    </row>
    <row r="1574" spans="1:16" s="28" customFormat="1" x14ac:dyDescent="0.25">
      <c r="A1574" s="53"/>
      <c r="B1574" s="58"/>
      <c r="C1574" s="58"/>
      <c r="D1574" s="35"/>
      <c r="E1574" s="132"/>
      <c r="F1574" s="132"/>
      <c r="G1574" s="132"/>
      <c r="H1574" s="132"/>
      <c r="I1574" s="132"/>
      <c r="J1574" s="132"/>
      <c r="K1574" s="132"/>
      <c r="L1574" s="132"/>
      <c r="M1574" s="132"/>
      <c r="N1574" s="132"/>
      <c r="O1574" s="132"/>
      <c r="P1574" s="154"/>
    </row>
    <row r="1575" spans="1:16" s="28" customFormat="1" x14ac:dyDescent="0.25">
      <c r="A1575" s="53"/>
      <c r="B1575" s="58"/>
      <c r="C1575" s="58"/>
      <c r="D1575" s="35"/>
      <c r="E1575" s="132"/>
      <c r="F1575" s="132"/>
      <c r="G1575" s="132"/>
      <c r="H1575" s="132"/>
      <c r="I1575" s="132"/>
      <c r="J1575" s="132"/>
      <c r="K1575" s="132"/>
      <c r="L1575" s="132"/>
      <c r="M1575" s="132"/>
      <c r="N1575" s="132"/>
      <c r="O1575" s="132"/>
      <c r="P1575" s="154"/>
    </row>
    <row r="1576" spans="1:16" s="28" customFormat="1" x14ac:dyDescent="0.25">
      <c r="A1576" s="53"/>
      <c r="B1576" s="58"/>
      <c r="C1576" s="58"/>
      <c r="D1576" s="35"/>
      <c r="E1576" s="132"/>
      <c r="F1576" s="132"/>
      <c r="G1576" s="132"/>
      <c r="H1576" s="132"/>
      <c r="I1576" s="132"/>
      <c r="J1576" s="132"/>
      <c r="K1576" s="132"/>
      <c r="L1576" s="132"/>
      <c r="M1576" s="132"/>
      <c r="N1576" s="132"/>
      <c r="O1576" s="132"/>
      <c r="P1576" s="154"/>
    </row>
    <row r="1577" spans="1:16" s="28" customFormat="1" x14ac:dyDescent="0.25">
      <c r="A1577" s="53"/>
      <c r="B1577" s="58"/>
      <c r="C1577" s="58"/>
      <c r="D1577" s="35"/>
      <c r="E1577" s="132"/>
      <c r="F1577" s="132"/>
      <c r="G1577" s="132"/>
      <c r="H1577" s="132"/>
      <c r="I1577" s="132"/>
      <c r="J1577" s="132"/>
      <c r="K1577" s="132"/>
      <c r="L1577" s="132"/>
      <c r="M1577" s="132"/>
      <c r="N1577" s="132"/>
      <c r="O1577" s="132"/>
      <c r="P1577" s="154"/>
    </row>
    <row r="1578" spans="1:16" s="28" customFormat="1" x14ac:dyDescent="0.25">
      <c r="A1578" s="53"/>
      <c r="B1578" s="58"/>
      <c r="C1578" s="58"/>
      <c r="D1578" s="35"/>
      <c r="E1578" s="132"/>
      <c r="F1578" s="132"/>
      <c r="G1578" s="132"/>
      <c r="H1578" s="132"/>
      <c r="I1578" s="132"/>
      <c r="J1578" s="132"/>
      <c r="K1578" s="132"/>
      <c r="L1578" s="132"/>
      <c r="M1578" s="132"/>
      <c r="N1578" s="132"/>
      <c r="O1578" s="132"/>
      <c r="P1578" s="154"/>
    </row>
    <row r="1579" spans="1:16" s="28" customFormat="1" x14ac:dyDescent="0.25">
      <c r="A1579" s="53"/>
      <c r="B1579" s="58"/>
      <c r="C1579" s="58"/>
      <c r="D1579" s="35"/>
      <c r="E1579" s="132"/>
      <c r="F1579" s="132"/>
      <c r="G1579" s="132"/>
      <c r="H1579" s="132"/>
      <c r="I1579" s="132"/>
      <c r="J1579" s="132"/>
      <c r="K1579" s="132"/>
      <c r="L1579" s="132"/>
      <c r="M1579" s="132"/>
      <c r="N1579" s="132"/>
      <c r="O1579" s="132"/>
      <c r="P1579" s="154"/>
    </row>
    <row r="1580" spans="1:16" s="28" customFormat="1" x14ac:dyDescent="0.25">
      <c r="A1580" s="53"/>
      <c r="B1580" s="58"/>
      <c r="C1580" s="58"/>
      <c r="D1580" s="35"/>
      <c r="E1580" s="132"/>
      <c r="F1580" s="132"/>
      <c r="G1580" s="132"/>
      <c r="H1580" s="132"/>
      <c r="I1580" s="132"/>
      <c r="J1580" s="132"/>
      <c r="K1580" s="132"/>
      <c r="L1580" s="132"/>
      <c r="M1580" s="132"/>
      <c r="N1580" s="132"/>
      <c r="O1580" s="132"/>
      <c r="P1580" s="154"/>
    </row>
    <row r="1581" spans="1:16" s="28" customFormat="1" x14ac:dyDescent="0.25">
      <c r="A1581" s="53"/>
      <c r="B1581" s="58"/>
      <c r="C1581" s="58"/>
      <c r="D1581" s="35"/>
      <c r="E1581" s="132"/>
      <c r="F1581" s="132"/>
      <c r="G1581" s="132"/>
      <c r="H1581" s="132"/>
      <c r="I1581" s="132"/>
      <c r="J1581" s="132"/>
      <c r="K1581" s="132"/>
      <c r="L1581" s="132"/>
      <c r="M1581" s="132"/>
      <c r="N1581" s="132"/>
      <c r="O1581" s="132"/>
      <c r="P1581" s="154"/>
    </row>
    <row r="1582" spans="1:16" s="28" customFormat="1" x14ac:dyDescent="0.25">
      <c r="A1582" s="53"/>
      <c r="B1582" s="58"/>
      <c r="C1582" s="58"/>
      <c r="D1582" s="35"/>
      <c r="E1582" s="132"/>
      <c r="F1582" s="132"/>
      <c r="G1582" s="132"/>
      <c r="H1582" s="132"/>
      <c r="I1582" s="132"/>
      <c r="J1582" s="132"/>
      <c r="K1582" s="132"/>
      <c r="L1582" s="132"/>
      <c r="M1582" s="132"/>
      <c r="N1582" s="132"/>
      <c r="O1582" s="132"/>
      <c r="P1582" s="154"/>
    </row>
    <row r="1583" spans="1:16" s="28" customFormat="1" x14ac:dyDescent="0.25">
      <c r="A1583" s="53"/>
      <c r="B1583" s="58"/>
      <c r="C1583" s="58"/>
      <c r="D1583" s="35"/>
      <c r="E1583" s="132"/>
      <c r="F1583" s="132"/>
      <c r="G1583" s="132"/>
      <c r="H1583" s="132"/>
      <c r="I1583" s="132"/>
      <c r="J1583" s="132"/>
      <c r="K1583" s="132"/>
      <c r="L1583" s="132"/>
      <c r="M1583" s="132"/>
      <c r="N1583" s="132"/>
      <c r="O1583" s="132"/>
      <c r="P1583" s="154"/>
    </row>
    <row r="1584" spans="1:16" s="28" customFormat="1" x14ac:dyDescent="0.25">
      <c r="A1584" s="53"/>
      <c r="B1584" s="58"/>
      <c r="C1584" s="58"/>
      <c r="D1584" s="35"/>
      <c r="E1584" s="132"/>
      <c r="F1584" s="132"/>
      <c r="G1584" s="132"/>
      <c r="H1584" s="132"/>
      <c r="I1584" s="132"/>
      <c r="J1584" s="132"/>
      <c r="K1584" s="132"/>
      <c r="L1584" s="132"/>
      <c r="M1584" s="132"/>
      <c r="N1584" s="132"/>
      <c r="O1584" s="132"/>
      <c r="P1584" s="154"/>
    </row>
    <row r="1585" spans="1:16" s="28" customFormat="1" x14ac:dyDescent="0.25">
      <c r="A1585" s="53"/>
      <c r="B1585" s="58"/>
      <c r="C1585" s="58"/>
      <c r="D1585" s="35"/>
      <c r="E1585" s="132"/>
      <c r="F1585" s="132"/>
      <c r="G1585" s="132"/>
      <c r="H1585" s="132"/>
      <c r="I1585" s="132"/>
      <c r="J1585" s="132"/>
      <c r="K1585" s="132"/>
      <c r="L1585" s="132"/>
      <c r="M1585" s="132"/>
      <c r="N1585" s="132"/>
      <c r="O1585" s="132"/>
      <c r="P1585" s="154"/>
    </row>
    <row r="1586" spans="1:16" s="28" customFormat="1" x14ac:dyDescent="0.25">
      <c r="A1586" s="53"/>
      <c r="B1586" s="58"/>
      <c r="C1586" s="58"/>
      <c r="D1586" s="35"/>
      <c r="E1586" s="132"/>
      <c r="F1586" s="132"/>
      <c r="G1586" s="132"/>
      <c r="H1586" s="132"/>
      <c r="I1586" s="132"/>
      <c r="J1586" s="132"/>
      <c r="K1586" s="132"/>
      <c r="L1586" s="132"/>
      <c r="M1586" s="132"/>
      <c r="N1586" s="132"/>
      <c r="O1586" s="132"/>
      <c r="P1586" s="154"/>
    </row>
    <row r="1587" spans="1:16" s="28" customFormat="1" x14ac:dyDescent="0.25">
      <c r="A1587" s="53"/>
      <c r="B1587" s="58"/>
      <c r="C1587" s="58"/>
      <c r="D1587" s="35"/>
      <c r="E1587" s="132"/>
      <c r="F1587" s="132"/>
      <c r="G1587" s="132"/>
      <c r="H1587" s="132"/>
      <c r="I1587" s="132"/>
      <c r="J1587" s="132"/>
      <c r="K1587" s="132"/>
      <c r="L1587" s="132"/>
      <c r="M1587" s="132"/>
      <c r="N1587" s="132"/>
      <c r="O1587" s="132"/>
      <c r="P1587" s="154"/>
    </row>
    <row r="1588" spans="1:16" s="28" customFormat="1" x14ac:dyDescent="0.25">
      <c r="A1588" s="53"/>
      <c r="B1588" s="58"/>
      <c r="C1588" s="58"/>
      <c r="D1588" s="35"/>
      <c r="E1588" s="132"/>
      <c r="F1588" s="132"/>
      <c r="G1588" s="132"/>
      <c r="H1588" s="132"/>
      <c r="I1588" s="132"/>
      <c r="J1588" s="132"/>
      <c r="K1588" s="132"/>
      <c r="L1588" s="132"/>
      <c r="M1588" s="132"/>
      <c r="N1588" s="132"/>
      <c r="O1588" s="132"/>
      <c r="P1588" s="154"/>
    </row>
    <row r="1589" spans="1:16" s="28" customFormat="1" x14ac:dyDescent="0.25">
      <c r="A1589" s="53"/>
      <c r="B1589" s="58"/>
      <c r="C1589" s="58"/>
      <c r="D1589" s="35"/>
      <c r="E1589" s="132"/>
      <c r="F1589" s="132"/>
      <c r="G1589" s="132"/>
      <c r="H1589" s="132"/>
      <c r="I1589" s="132"/>
      <c r="J1589" s="132"/>
      <c r="K1589" s="132"/>
      <c r="L1589" s="132"/>
      <c r="M1589" s="132"/>
      <c r="N1589" s="132"/>
      <c r="O1589" s="132"/>
      <c r="P1589" s="154"/>
    </row>
    <row r="1590" spans="1:16" s="28" customFormat="1" x14ac:dyDescent="0.25">
      <c r="A1590" s="53"/>
      <c r="B1590" s="58"/>
      <c r="C1590" s="58"/>
      <c r="D1590" s="35"/>
      <c r="E1590" s="132"/>
      <c r="F1590" s="132"/>
      <c r="G1590" s="132"/>
      <c r="H1590" s="132"/>
      <c r="I1590" s="132"/>
      <c r="J1590" s="132"/>
      <c r="K1590" s="132"/>
      <c r="L1590" s="132"/>
      <c r="M1590" s="132"/>
      <c r="N1590" s="132"/>
      <c r="O1590" s="132"/>
      <c r="P1590" s="154"/>
    </row>
    <row r="1591" spans="1:16" s="28" customFormat="1" x14ac:dyDescent="0.25">
      <c r="A1591" s="53"/>
      <c r="B1591" s="58"/>
      <c r="C1591" s="58"/>
      <c r="D1591" s="35"/>
      <c r="E1591" s="132"/>
      <c r="F1591" s="132"/>
      <c r="G1591" s="132"/>
      <c r="H1591" s="132"/>
      <c r="I1591" s="132"/>
      <c r="J1591" s="132"/>
      <c r="K1591" s="132"/>
      <c r="L1591" s="132"/>
      <c r="M1591" s="132"/>
      <c r="N1591" s="132"/>
      <c r="O1591" s="132"/>
      <c r="P1591" s="154"/>
    </row>
    <row r="1592" spans="1:16" s="28" customFormat="1" x14ac:dyDescent="0.25">
      <c r="A1592" s="53"/>
      <c r="B1592" s="58"/>
      <c r="C1592" s="58"/>
      <c r="D1592" s="35"/>
      <c r="E1592" s="132"/>
      <c r="F1592" s="132"/>
      <c r="G1592" s="132"/>
      <c r="H1592" s="132"/>
      <c r="I1592" s="132"/>
      <c r="J1592" s="132"/>
      <c r="K1592" s="132"/>
      <c r="L1592" s="132"/>
      <c r="M1592" s="132"/>
      <c r="N1592" s="132"/>
      <c r="O1592" s="132"/>
      <c r="P1592" s="154"/>
    </row>
    <row r="1593" spans="1:16" s="28" customFormat="1" x14ac:dyDescent="0.25">
      <c r="A1593" s="53"/>
      <c r="B1593" s="58"/>
      <c r="C1593" s="58"/>
      <c r="D1593" s="35"/>
      <c r="E1593" s="132"/>
      <c r="F1593" s="132"/>
      <c r="G1593" s="132"/>
      <c r="H1593" s="132"/>
      <c r="I1593" s="132"/>
      <c r="J1593" s="132"/>
      <c r="K1593" s="132"/>
      <c r="L1593" s="132"/>
      <c r="M1593" s="132"/>
      <c r="N1593" s="132"/>
      <c r="O1593" s="132"/>
      <c r="P1593" s="154"/>
    </row>
    <row r="1594" spans="1:16" s="28" customFormat="1" x14ac:dyDescent="0.25">
      <c r="A1594" s="53"/>
      <c r="B1594" s="58"/>
      <c r="C1594" s="58"/>
      <c r="D1594" s="35"/>
      <c r="E1594" s="132"/>
      <c r="F1594" s="132"/>
      <c r="G1594" s="132"/>
      <c r="H1594" s="132"/>
      <c r="I1594" s="132"/>
      <c r="J1594" s="132"/>
      <c r="K1594" s="132"/>
      <c r="L1594" s="132"/>
      <c r="M1594" s="132"/>
      <c r="N1594" s="132"/>
      <c r="O1594" s="132"/>
      <c r="P1594" s="154"/>
    </row>
    <row r="1595" spans="1:16" s="28" customFormat="1" x14ac:dyDescent="0.25">
      <c r="A1595" s="53"/>
      <c r="B1595" s="58"/>
      <c r="C1595" s="58"/>
      <c r="D1595" s="35"/>
      <c r="E1595" s="132"/>
      <c r="F1595" s="132"/>
      <c r="G1595" s="132"/>
      <c r="H1595" s="132"/>
      <c r="I1595" s="132"/>
      <c r="J1595" s="132"/>
      <c r="K1595" s="132"/>
      <c r="L1595" s="132"/>
      <c r="M1595" s="132"/>
      <c r="N1595" s="132"/>
      <c r="O1595" s="132"/>
      <c r="P1595" s="154"/>
    </row>
    <row r="1596" spans="1:16" s="28" customFormat="1" x14ac:dyDescent="0.25">
      <c r="A1596" s="53"/>
      <c r="B1596" s="58"/>
      <c r="C1596" s="58"/>
      <c r="D1596" s="35"/>
      <c r="E1596" s="132"/>
      <c r="F1596" s="132"/>
      <c r="G1596" s="132"/>
      <c r="H1596" s="132"/>
      <c r="I1596" s="132"/>
      <c r="J1596" s="132"/>
      <c r="K1596" s="132"/>
      <c r="L1596" s="132"/>
      <c r="M1596" s="132"/>
      <c r="N1596" s="132"/>
      <c r="O1596" s="132"/>
      <c r="P1596" s="154"/>
    </row>
    <row r="1597" spans="1:16" s="28" customFormat="1" x14ac:dyDescent="0.25">
      <c r="A1597" s="53"/>
      <c r="B1597" s="58"/>
      <c r="C1597" s="58"/>
      <c r="D1597" s="35"/>
      <c r="E1597" s="132"/>
      <c r="F1597" s="132"/>
      <c r="G1597" s="132"/>
      <c r="H1597" s="132"/>
      <c r="I1597" s="132"/>
      <c r="J1597" s="132"/>
      <c r="K1597" s="132"/>
      <c r="L1597" s="132"/>
      <c r="M1597" s="132"/>
      <c r="N1597" s="132"/>
      <c r="O1597" s="132"/>
      <c r="P1597" s="154"/>
    </row>
    <row r="1598" spans="1:16" s="28" customFormat="1" x14ac:dyDescent="0.25">
      <c r="A1598" s="53"/>
      <c r="B1598" s="58"/>
      <c r="C1598" s="58"/>
      <c r="D1598" s="35"/>
      <c r="E1598" s="132"/>
      <c r="F1598" s="132"/>
      <c r="G1598" s="132"/>
      <c r="H1598" s="132"/>
      <c r="I1598" s="132"/>
      <c r="J1598" s="132"/>
      <c r="K1598" s="132"/>
      <c r="L1598" s="132"/>
      <c r="M1598" s="132"/>
      <c r="N1598" s="132"/>
      <c r="O1598" s="132"/>
      <c r="P1598" s="154"/>
    </row>
    <row r="1599" spans="1:16" s="28" customFormat="1" x14ac:dyDescent="0.25">
      <c r="A1599" s="53"/>
      <c r="B1599" s="58"/>
      <c r="C1599" s="58"/>
      <c r="D1599" s="35"/>
      <c r="E1599" s="132"/>
      <c r="F1599" s="132"/>
      <c r="G1599" s="132"/>
      <c r="H1599" s="132"/>
      <c r="I1599" s="132"/>
      <c r="J1599" s="132"/>
      <c r="K1599" s="132"/>
      <c r="L1599" s="132"/>
      <c r="M1599" s="132"/>
      <c r="N1599" s="132"/>
      <c r="O1599" s="132"/>
      <c r="P1599" s="154"/>
    </row>
    <row r="1600" spans="1:16" s="28" customFormat="1" x14ac:dyDescent="0.25">
      <c r="A1600" s="53"/>
      <c r="B1600" s="58"/>
      <c r="C1600" s="58"/>
      <c r="D1600" s="35"/>
      <c r="E1600" s="132"/>
      <c r="F1600" s="132"/>
      <c r="G1600" s="132"/>
      <c r="H1600" s="132"/>
      <c r="I1600" s="132"/>
      <c r="J1600" s="132"/>
      <c r="K1600" s="132"/>
      <c r="L1600" s="132"/>
      <c r="M1600" s="132"/>
      <c r="N1600" s="132"/>
      <c r="O1600" s="132"/>
      <c r="P1600" s="154"/>
    </row>
    <row r="1601" spans="1:16" s="28" customFormat="1" x14ac:dyDescent="0.25">
      <c r="A1601" s="53"/>
      <c r="B1601" s="58"/>
      <c r="C1601" s="58"/>
      <c r="D1601" s="35"/>
      <c r="E1601" s="132"/>
      <c r="F1601" s="132"/>
      <c r="G1601" s="132"/>
      <c r="H1601" s="132"/>
      <c r="I1601" s="132"/>
      <c r="J1601" s="132"/>
      <c r="K1601" s="132"/>
      <c r="L1601" s="132"/>
      <c r="M1601" s="132"/>
      <c r="N1601" s="132"/>
      <c r="O1601" s="132"/>
      <c r="P1601" s="154"/>
    </row>
    <row r="1602" spans="1:16" s="28" customFormat="1" x14ac:dyDescent="0.25">
      <c r="A1602" s="53"/>
      <c r="B1602" s="58"/>
      <c r="C1602" s="58"/>
      <c r="D1602" s="35"/>
      <c r="E1602" s="132"/>
      <c r="F1602" s="132"/>
      <c r="G1602" s="132"/>
      <c r="H1602" s="132"/>
      <c r="I1602" s="132"/>
      <c r="J1602" s="132"/>
      <c r="K1602" s="132"/>
      <c r="L1602" s="132"/>
      <c r="M1602" s="132"/>
      <c r="N1602" s="132"/>
      <c r="O1602" s="132"/>
      <c r="P1602" s="154"/>
    </row>
    <row r="1603" spans="1:16" s="28" customFormat="1" x14ac:dyDescent="0.25">
      <c r="A1603" s="53"/>
      <c r="B1603" s="58"/>
      <c r="C1603" s="58"/>
      <c r="D1603" s="35"/>
      <c r="E1603" s="132"/>
      <c r="F1603" s="132"/>
      <c r="G1603" s="132"/>
      <c r="H1603" s="132"/>
      <c r="I1603" s="132"/>
      <c r="J1603" s="132"/>
      <c r="K1603" s="132"/>
      <c r="L1603" s="132"/>
      <c r="M1603" s="132"/>
      <c r="N1603" s="132"/>
      <c r="O1603" s="132"/>
      <c r="P1603" s="154"/>
    </row>
    <row r="1604" spans="1:16" s="28" customFormat="1" x14ac:dyDescent="0.25">
      <c r="A1604" s="53"/>
      <c r="B1604" s="58"/>
      <c r="C1604" s="58"/>
      <c r="D1604" s="35"/>
      <c r="E1604" s="132"/>
      <c r="F1604" s="132"/>
      <c r="G1604" s="132"/>
      <c r="H1604" s="132"/>
      <c r="I1604" s="132"/>
      <c r="J1604" s="132"/>
      <c r="K1604" s="132"/>
      <c r="L1604" s="132"/>
      <c r="M1604" s="132"/>
      <c r="N1604" s="132"/>
      <c r="O1604" s="132"/>
      <c r="P1604" s="154"/>
    </row>
    <row r="1605" spans="1:16" s="28" customFormat="1" x14ac:dyDescent="0.25">
      <c r="A1605" s="53"/>
      <c r="B1605" s="58"/>
      <c r="C1605" s="58"/>
      <c r="D1605" s="35"/>
      <c r="E1605" s="132"/>
      <c r="F1605" s="132"/>
      <c r="G1605" s="132"/>
      <c r="H1605" s="132"/>
      <c r="I1605" s="132"/>
      <c r="J1605" s="132"/>
      <c r="K1605" s="132"/>
      <c r="L1605" s="132"/>
      <c r="M1605" s="132"/>
      <c r="N1605" s="132"/>
      <c r="O1605" s="132"/>
      <c r="P1605" s="154"/>
    </row>
    <row r="1606" spans="1:16" s="28" customFormat="1" x14ac:dyDescent="0.25">
      <c r="A1606" s="53"/>
      <c r="B1606" s="58"/>
      <c r="C1606" s="58"/>
      <c r="D1606" s="35"/>
      <c r="E1606" s="132"/>
      <c r="F1606" s="132"/>
      <c r="G1606" s="132"/>
      <c r="H1606" s="132"/>
      <c r="I1606" s="132"/>
      <c r="J1606" s="132"/>
      <c r="K1606" s="132"/>
      <c r="L1606" s="132"/>
      <c r="M1606" s="132"/>
      <c r="N1606" s="132"/>
      <c r="O1606" s="132"/>
      <c r="P1606" s="154"/>
    </row>
    <row r="1607" spans="1:16" s="28" customFormat="1" x14ac:dyDescent="0.25">
      <c r="A1607" s="53"/>
      <c r="B1607" s="58"/>
      <c r="C1607" s="58"/>
      <c r="D1607" s="35"/>
      <c r="E1607" s="132"/>
      <c r="F1607" s="132"/>
      <c r="G1607" s="132"/>
      <c r="H1607" s="132"/>
      <c r="I1607" s="132"/>
      <c r="J1607" s="132"/>
      <c r="K1607" s="132"/>
      <c r="L1607" s="132"/>
      <c r="M1607" s="132"/>
      <c r="N1607" s="132"/>
      <c r="O1607" s="132"/>
      <c r="P1607" s="154"/>
    </row>
    <row r="1608" spans="1:16" s="28" customFormat="1" x14ac:dyDescent="0.25">
      <c r="A1608" s="53"/>
      <c r="B1608" s="58"/>
      <c r="C1608" s="58"/>
      <c r="D1608" s="35"/>
      <c r="E1608" s="132"/>
      <c r="F1608" s="132"/>
      <c r="G1608" s="132"/>
      <c r="H1608" s="132"/>
      <c r="I1608" s="132"/>
      <c r="J1608" s="132"/>
      <c r="K1608" s="132"/>
      <c r="L1608" s="132"/>
      <c r="M1608" s="132"/>
      <c r="N1608" s="132"/>
      <c r="O1608" s="132"/>
      <c r="P1608" s="154"/>
    </row>
    <row r="1609" spans="1:16" s="28" customFormat="1" x14ac:dyDescent="0.25">
      <c r="A1609" s="53"/>
      <c r="B1609" s="58"/>
      <c r="C1609" s="58"/>
      <c r="D1609" s="35"/>
      <c r="E1609" s="132"/>
      <c r="F1609" s="132"/>
      <c r="G1609" s="132"/>
      <c r="H1609" s="132"/>
      <c r="I1609" s="132"/>
      <c r="J1609" s="132"/>
      <c r="K1609" s="132"/>
      <c r="L1609" s="132"/>
      <c r="M1609" s="132"/>
      <c r="N1609" s="132"/>
      <c r="O1609" s="132"/>
      <c r="P1609" s="154"/>
    </row>
    <row r="1610" spans="1:16" s="28" customFormat="1" x14ac:dyDescent="0.25">
      <c r="A1610" s="53"/>
      <c r="B1610" s="58"/>
      <c r="C1610" s="58"/>
      <c r="D1610" s="35"/>
      <c r="E1610" s="132"/>
      <c r="F1610" s="132"/>
      <c r="G1610" s="132"/>
      <c r="H1610" s="132"/>
      <c r="I1610" s="132"/>
      <c r="J1610" s="132"/>
      <c r="K1610" s="132"/>
      <c r="L1610" s="132"/>
      <c r="M1610" s="132"/>
      <c r="N1610" s="132"/>
      <c r="O1610" s="132"/>
      <c r="P1610" s="154"/>
    </row>
    <row r="1611" spans="1:16" s="28" customFormat="1" x14ac:dyDescent="0.25">
      <c r="A1611" s="53"/>
      <c r="B1611" s="58"/>
      <c r="C1611" s="58"/>
      <c r="D1611" s="35"/>
      <c r="E1611" s="132"/>
      <c r="F1611" s="132"/>
      <c r="G1611" s="132"/>
      <c r="H1611" s="132"/>
      <c r="I1611" s="132"/>
      <c r="J1611" s="132"/>
      <c r="K1611" s="132"/>
      <c r="L1611" s="132"/>
      <c r="M1611" s="132"/>
      <c r="N1611" s="132"/>
      <c r="O1611" s="132"/>
      <c r="P1611" s="154"/>
    </row>
    <row r="1612" spans="1:16" s="28" customFormat="1" x14ac:dyDescent="0.25">
      <c r="A1612" s="53"/>
      <c r="B1612" s="58"/>
      <c r="C1612" s="58"/>
      <c r="D1612" s="35"/>
      <c r="E1612" s="132"/>
      <c r="F1612" s="132"/>
      <c r="G1612" s="132"/>
      <c r="H1612" s="132"/>
      <c r="I1612" s="132"/>
      <c r="J1612" s="132"/>
      <c r="K1612" s="132"/>
      <c r="L1612" s="132"/>
      <c r="M1612" s="132"/>
      <c r="N1612" s="132"/>
      <c r="O1612" s="132"/>
      <c r="P1612" s="154"/>
    </row>
    <row r="1613" spans="1:16" s="28" customFormat="1" x14ac:dyDescent="0.25">
      <c r="A1613" s="53"/>
      <c r="B1613" s="58"/>
      <c r="C1613" s="58"/>
      <c r="D1613" s="35"/>
      <c r="E1613" s="132"/>
      <c r="F1613" s="132"/>
      <c r="G1613" s="132"/>
      <c r="H1613" s="132"/>
      <c r="I1613" s="132"/>
      <c r="J1613" s="132"/>
      <c r="K1613" s="132"/>
      <c r="L1613" s="132"/>
      <c r="M1613" s="132"/>
      <c r="N1613" s="132"/>
      <c r="O1613" s="132"/>
      <c r="P1613" s="154"/>
    </row>
    <row r="1614" spans="1:16" s="28" customFormat="1" x14ac:dyDescent="0.25">
      <c r="A1614" s="53"/>
      <c r="B1614" s="58"/>
      <c r="C1614" s="58"/>
      <c r="D1614" s="35"/>
      <c r="E1614" s="132"/>
      <c r="F1614" s="132"/>
      <c r="G1614" s="132"/>
      <c r="H1614" s="132"/>
      <c r="I1614" s="132"/>
      <c r="J1614" s="132"/>
      <c r="K1614" s="132"/>
      <c r="L1614" s="132"/>
      <c r="M1614" s="132"/>
      <c r="N1614" s="132"/>
      <c r="O1614" s="132"/>
      <c r="P1614" s="154"/>
    </row>
    <row r="1615" spans="1:16" s="28" customFormat="1" x14ac:dyDescent="0.25">
      <c r="A1615" s="53"/>
      <c r="B1615" s="58"/>
      <c r="C1615" s="58"/>
      <c r="D1615" s="35"/>
      <c r="E1615" s="132"/>
      <c r="F1615" s="132"/>
      <c r="G1615" s="132"/>
      <c r="H1615" s="132"/>
      <c r="I1615" s="132"/>
      <c r="J1615" s="132"/>
      <c r="K1615" s="132"/>
      <c r="L1615" s="132"/>
      <c r="M1615" s="132"/>
      <c r="N1615" s="132"/>
      <c r="O1615" s="132"/>
      <c r="P1615" s="154"/>
    </row>
    <row r="1616" spans="1:16" s="28" customFormat="1" x14ac:dyDescent="0.25">
      <c r="A1616" s="53"/>
      <c r="B1616" s="58"/>
      <c r="C1616" s="58"/>
      <c r="D1616" s="35"/>
      <c r="E1616" s="132"/>
      <c r="F1616" s="132"/>
      <c r="G1616" s="132"/>
      <c r="H1616" s="132"/>
      <c r="I1616" s="132"/>
      <c r="J1616" s="132"/>
      <c r="K1616" s="132"/>
      <c r="L1616" s="132"/>
      <c r="M1616" s="132"/>
      <c r="N1616" s="132"/>
      <c r="O1616" s="132"/>
      <c r="P1616" s="154"/>
    </row>
    <row r="1617" spans="1:16" s="28" customFormat="1" x14ac:dyDescent="0.25">
      <c r="A1617" s="53"/>
      <c r="B1617" s="58"/>
      <c r="C1617" s="58"/>
      <c r="D1617" s="35"/>
      <c r="E1617" s="132"/>
      <c r="F1617" s="132"/>
      <c r="G1617" s="132"/>
      <c r="H1617" s="132"/>
      <c r="I1617" s="132"/>
      <c r="J1617" s="132"/>
      <c r="K1617" s="132"/>
      <c r="L1617" s="132"/>
      <c r="M1617" s="132"/>
      <c r="N1617" s="132"/>
      <c r="O1617" s="132"/>
      <c r="P1617" s="154"/>
    </row>
    <row r="1618" spans="1:16" s="28" customFormat="1" x14ac:dyDescent="0.25">
      <c r="A1618" s="53"/>
      <c r="B1618" s="58"/>
      <c r="C1618" s="58"/>
      <c r="D1618" s="35"/>
      <c r="E1618" s="132"/>
      <c r="F1618" s="132"/>
      <c r="G1618" s="132"/>
      <c r="H1618" s="132"/>
      <c r="I1618" s="132"/>
      <c r="J1618" s="132"/>
      <c r="K1618" s="132"/>
      <c r="L1618" s="132"/>
      <c r="M1618" s="132"/>
      <c r="N1618" s="132"/>
      <c r="O1618" s="132"/>
      <c r="P1618" s="154"/>
    </row>
    <row r="1619" spans="1:16" s="28" customFormat="1" x14ac:dyDescent="0.25">
      <c r="A1619" s="53"/>
      <c r="B1619" s="58"/>
      <c r="C1619" s="58"/>
      <c r="D1619" s="35"/>
      <c r="E1619" s="132"/>
      <c r="F1619" s="132"/>
      <c r="G1619" s="132"/>
      <c r="H1619" s="132"/>
      <c r="I1619" s="132"/>
      <c r="J1619" s="132"/>
      <c r="K1619" s="132"/>
      <c r="L1619" s="132"/>
      <c r="M1619" s="132"/>
      <c r="N1619" s="132"/>
      <c r="O1619" s="132"/>
      <c r="P1619" s="154"/>
    </row>
    <row r="1620" spans="1:16" s="28" customFormat="1" x14ac:dyDescent="0.25">
      <c r="A1620" s="53"/>
      <c r="B1620" s="58"/>
      <c r="C1620" s="58"/>
      <c r="D1620" s="35"/>
      <c r="E1620" s="132"/>
      <c r="F1620" s="132"/>
      <c r="G1620" s="132"/>
      <c r="H1620" s="132"/>
      <c r="I1620" s="132"/>
      <c r="J1620" s="132"/>
      <c r="K1620" s="132"/>
      <c r="L1620" s="132"/>
      <c r="M1620" s="132"/>
      <c r="N1620" s="132"/>
      <c r="O1620" s="132"/>
      <c r="P1620" s="154"/>
    </row>
    <row r="1621" spans="1:16" s="28" customFormat="1" x14ac:dyDescent="0.25">
      <c r="A1621" s="53"/>
      <c r="B1621" s="58"/>
      <c r="C1621" s="58"/>
      <c r="D1621" s="35"/>
      <c r="E1621" s="132"/>
      <c r="F1621" s="132"/>
      <c r="G1621" s="132"/>
      <c r="H1621" s="132"/>
      <c r="I1621" s="132"/>
      <c r="J1621" s="132"/>
      <c r="K1621" s="132"/>
      <c r="L1621" s="132"/>
      <c r="M1621" s="132"/>
      <c r="N1621" s="132"/>
      <c r="O1621" s="132"/>
      <c r="P1621" s="154"/>
    </row>
    <row r="1622" spans="1:16" s="28" customFormat="1" x14ac:dyDescent="0.25">
      <c r="A1622" s="53"/>
      <c r="B1622" s="58"/>
      <c r="C1622" s="58"/>
      <c r="D1622" s="35"/>
      <c r="E1622" s="132"/>
      <c r="F1622" s="132"/>
      <c r="G1622" s="132"/>
      <c r="H1622" s="132"/>
      <c r="I1622" s="132"/>
      <c r="J1622" s="132"/>
      <c r="K1622" s="132"/>
      <c r="L1622" s="132"/>
      <c r="M1622" s="132"/>
      <c r="N1622" s="132"/>
      <c r="O1622" s="132"/>
      <c r="P1622" s="154"/>
    </row>
    <row r="1623" spans="1:16" s="28" customFormat="1" x14ac:dyDescent="0.25">
      <c r="A1623" s="53"/>
      <c r="B1623" s="58"/>
      <c r="C1623" s="58"/>
      <c r="D1623" s="35"/>
      <c r="E1623" s="132"/>
      <c r="F1623" s="132"/>
      <c r="G1623" s="132"/>
      <c r="H1623" s="132"/>
      <c r="I1623" s="132"/>
      <c r="J1623" s="132"/>
      <c r="K1623" s="132"/>
      <c r="L1623" s="132"/>
      <c r="M1623" s="132"/>
      <c r="N1623" s="132"/>
      <c r="O1623" s="132"/>
      <c r="P1623" s="154"/>
    </row>
    <row r="1624" spans="1:16" s="28" customFormat="1" x14ac:dyDescent="0.25">
      <c r="A1624" s="53"/>
      <c r="B1624" s="58"/>
      <c r="C1624" s="58"/>
      <c r="D1624" s="35"/>
      <c r="E1624" s="132"/>
      <c r="F1624" s="132"/>
      <c r="G1624" s="132"/>
      <c r="H1624" s="132"/>
      <c r="I1624" s="132"/>
      <c r="J1624" s="132"/>
      <c r="K1624" s="132"/>
      <c r="L1624" s="132"/>
      <c r="M1624" s="132"/>
      <c r="N1624" s="132"/>
      <c r="O1624" s="132"/>
      <c r="P1624" s="154"/>
    </row>
    <row r="1625" spans="1:16" s="28" customFormat="1" x14ac:dyDescent="0.25">
      <c r="A1625" s="53"/>
      <c r="B1625" s="58"/>
      <c r="C1625" s="58"/>
      <c r="D1625" s="35"/>
      <c r="E1625" s="132"/>
      <c r="F1625" s="132"/>
      <c r="G1625" s="132"/>
      <c r="H1625" s="132"/>
      <c r="I1625" s="132"/>
      <c r="J1625" s="132"/>
      <c r="K1625" s="132"/>
      <c r="L1625" s="132"/>
      <c r="M1625" s="132"/>
      <c r="N1625" s="132"/>
      <c r="O1625" s="132"/>
      <c r="P1625" s="154"/>
    </row>
    <row r="1626" spans="1:16" s="28" customFormat="1" x14ac:dyDescent="0.25">
      <c r="A1626" s="53"/>
      <c r="B1626" s="58"/>
      <c r="C1626" s="58"/>
      <c r="D1626" s="35"/>
      <c r="E1626" s="132"/>
      <c r="F1626" s="132"/>
      <c r="G1626" s="132"/>
      <c r="H1626" s="132"/>
      <c r="I1626" s="132"/>
      <c r="J1626" s="132"/>
      <c r="K1626" s="132"/>
      <c r="L1626" s="132"/>
      <c r="M1626" s="132"/>
      <c r="N1626" s="132"/>
      <c r="O1626" s="132"/>
      <c r="P1626" s="154"/>
    </row>
    <row r="1627" spans="1:16" s="28" customFormat="1" x14ac:dyDescent="0.25">
      <c r="A1627" s="53"/>
      <c r="B1627" s="58"/>
      <c r="C1627" s="58"/>
      <c r="D1627" s="35"/>
      <c r="E1627" s="132"/>
      <c r="F1627" s="132"/>
      <c r="G1627" s="132"/>
      <c r="H1627" s="132"/>
      <c r="I1627" s="132"/>
      <c r="J1627" s="132"/>
      <c r="K1627" s="132"/>
      <c r="L1627" s="132"/>
      <c r="M1627" s="132"/>
      <c r="N1627" s="132"/>
      <c r="O1627" s="132"/>
      <c r="P1627" s="154"/>
    </row>
    <row r="1628" spans="1:16" s="28" customFormat="1" x14ac:dyDescent="0.25">
      <c r="A1628" s="53"/>
      <c r="B1628" s="58"/>
      <c r="C1628" s="58"/>
      <c r="D1628" s="35"/>
      <c r="E1628" s="132"/>
      <c r="F1628" s="132"/>
      <c r="G1628" s="132"/>
      <c r="H1628" s="132"/>
      <c r="I1628" s="132"/>
      <c r="J1628" s="132"/>
      <c r="K1628" s="132"/>
      <c r="L1628" s="132"/>
      <c r="M1628" s="132"/>
      <c r="N1628" s="132"/>
      <c r="O1628" s="132"/>
      <c r="P1628" s="154"/>
    </row>
    <row r="1629" spans="1:16" s="28" customFormat="1" x14ac:dyDescent="0.25">
      <c r="A1629" s="53"/>
      <c r="B1629" s="58"/>
      <c r="C1629" s="58"/>
      <c r="D1629" s="35"/>
      <c r="E1629" s="132"/>
      <c r="F1629" s="132"/>
      <c r="G1629" s="132"/>
      <c r="H1629" s="132"/>
      <c r="I1629" s="132"/>
      <c r="J1629" s="132"/>
      <c r="K1629" s="132"/>
      <c r="L1629" s="132"/>
      <c r="M1629" s="132"/>
      <c r="N1629" s="132"/>
      <c r="O1629" s="132"/>
      <c r="P1629" s="154"/>
    </row>
    <row r="1630" spans="1:16" s="28" customFormat="1" x14ac:dyDescent="0.25">
      <c r="A1630" s="53"/>
      <c r="B1630" s="58"/>
      <c r="C1630" s="58"/>
      <c r="D1630" s="35"/>
      <c r="E1630" s="132"/>
      <c r="F1630" s="132"/>
      <c r="G1630" s="132"/>
      <c r="H1630" s="132"/>
      <c r="I1630" s="132"/>
      <c r="J1630" s="132"/>
      <c r="K1630" s="132"/>
      <c r="L1630" s="132"/>
      <c r="M1630" s="132"/>
      <c r="N1630" s="132"/>
      <c r="O1630" s="132"/>
      <c r="P1630" s="154"/>
    </row>
    <row r="1631" spans="1:16" s="28" customFormat="1" x14ac:dyDescent="0.25">
      <c r="A1631" s="53"/>
      <c r="B1631" s="58"/>
      <c r="C1631" s="58"/>
      <c r="D1631" s="35"/>
      <c r="E1631" s="132"/>
      <c r="F1631" s="132"/>
      <c r="G1631" s="132"/>
      <c r="H1631" s="132"/>
      <c r="I1631" s="132"/>
      <c r="J1631" s="132"/>
      <c r="K1631" s="132"/>
      <c r="L1631" s="132"/>
      <c r="M1631" s="132"/>
      <c r="N1631" s="132"/>
      <c r="O1631" s="132"/>
      <c r="P1631" s="154"/>
    </row>
    <row r="1632" spans="1:16" s="28" customFormat="1" x14ac:dyDescent="0.25">
      <c r="A1632" s="53"/>
      <c r="B1632" s="58"/>
      <c r="C1632" s="58"/>
      <c r="D1632" s="35"/>
      <c r="E1632" s="132"/>
      <c r="F1632" s="132"/>
      <c r="G1632" s="132"/>
      <c r="H1632" s="132"/>
      <c r="I1632" s="132"/>
      <c r="J1632" s="132"/>
      <c r="K1632" s="132"/>
      <c r="L1632" s="132"/>
      <c r="M1632" s="132"/>
      <c r="N1632" s="132"/>
      <c r="O1632" s="132"/>
      <c r="P1632" s="154"/>
    </row>
    <row r="1633" spans="1:16" s="28" customFormat="1" x14ac:dyDescent="0.25">
      <c r="A1633" s="53"/>
      <c r="B1633" s="58"/>
      <c r="C1633" s="58"/>
      <c r="D1633" s="35"/>
      <c r="E1633" s="132"/>
      <c r="F1633" s="132"/>
      <c r="G1633" s="132"/>
      <c r="H1633" s="132"/>
      <c r="I1633" s="132"/>
      <c r="J1633" s="132"/>
      <c r="K1633" s="132"/>
      <c r="L1633" s="132"/>
      <c r="M1633" s="132"/>
      <c r="N1633" s="132"/>
      <c r="O1633" s="132"/>
      <c r="P1633" s="154"/>
    </row>
    <row r="1634" spans="1:16" s="28" customFormat="1" x14ac:dyDescent="0.25">
      <c r="A1634" s="53"/>
      <c r="B1634" s="58"/>
      <c r="C1634" s="58"/>
      <c r="D1634" s="35"/>
      <c r="E1634" s="132"/>
      <c r="F1634" s="132"/>
      <c r="G1634" s="132"/>
      <c r="H1634" s="132"/>
      <c r="I1634" s="132"/>
      <c r="J1634" s="132"/>
      <c r="K1634" s="132"/>
      <c r="L1634" s="132"/>
      <c r="M1634" s="132"/>
      <c r="N1634" s="132"/>
      <c r="O1634" s="132"/>
      <c r="P1634" s="154"/>
    </row>
    <row r="1635" spans="1:16" s="28" customFormat="1" x14ac:dyDescent="0.25">
      <c r="A1635" s="53"/>
      <c r="B1635" s="58"/>
      <c r="C1635" s="58"/>
      <c r="D1635" s="35"/>
      <c r="E1635" s="132"/>
      <c r="F1635" s="132"/>
      <c r="G1635" s="132"/>
      <c r="H1635" s="132"/>
      <c r="I1635" s="132"/>
      <c r="J1635" s="132"/>
      <c r="K1635" s="132"/>
      <c r="L1635" s="132"/>
      <c r="M1635" s="132"/>
      <c r="N1635" s="132"/>
      <c r="O1635" s="132"/>
      <c r="P1635" s="154"/>
    </row>
    <row r="1636" spans="1:16" s="28" customFormat="1" x14ac:dyDescent="0.25">
      <c r="A1636" s="53"/>
      <c r="B1636" s="58"/>
      <c r="C1636" s="58"/>
      <c r="D1636" s="35"/>
      <c r="E1636" s="132"/>
      <c r="F1636" s="132"/>
      <c r="G1636" s="132"/>
      <c r="H1636" s="132"/>
      <c r="I1636" s="132"/>
      <c r="J1636" s="132"/>
      <c r="K1636" s="132"/>
      <c r="L1636" s="132"/>
      <c r="M1636" s="132"/>
      <c r="N1636" s="132"/>
      <c r="O1636" s="132"/>
      <c r="P1636" s="154"/>
    </row>
    <row r="1637" spans="1:16" s="28" customFormat="1" x14ac:dyDescent="0.25">
      <c r="A1637" s="53"/>
      <c r="B1637" s="58"/>
      <c r="C1637" s="58"/>
      <c r="D1637" s="35"/>
      <c r="E1637" s="132"/>
      <c r="F1637" s="132"/>
      <c r="G1637" s="132"/>
      <c r="H1637" s="132"/>
      <c r="I1637" s="132"/>
      <c r="J1637" s="132"/>
      <c r="K1637" s="132"/>
      <c r="L1637" s="132"/>
      <c r="M1637" s="132"/>
      <c r="N1637" s="132"/>
      <c r="O1637" s="132"/>
      <c r="P1637" s="154"/>
    </row>
    <row r="1638" spans="1:16" s="28" customFormat="1" x14ac:dyDescent="0.25">
      <c r="A1638" s="53"/>
      <c r="B1638" s="58"/>
      <c r="C1638" s="58"/>
      <c r="D1638" s="35"/>
      <c r="E1638" s="132"/>
      <c r="F1638" s="132"/>
      <c r="G1638" s="132"/>
      <c r="H1638" s="132"/>
      <c r="I1638" s="132"/>
      <c r="J1638" s="132"/>
      <c r="K1638" s="132"/>
      <c r="L1638" s="132"/>
      <c r="M1638" s="132"/>
      <c r="N1638" s="132"/>
      <c r="O1638" s="132"/>
      <c r="P1638" s="154"/>
    </row>
    <row r="1639" spans="1:16" s="28" customFormat="1" x14ac:dyDescent="0.25">
      <c r="A1639" s="53"/>
      <c r="B1639" s="58"/>
      <c r="C1639" s="58"/>
      <c r="D1639" s="35"/>
      <c r="E1639" s="132"/>
      <c r="F1639" s="132"/>
      <c r="G1639" s="132"/>
      <c r="H1639" s="132"/>
      <c r="I1639" s="132"/>
      <c r="J1639" s="132"/>
      <c r="K1639" s="132"/>
      <c r="L1639" s="132"/>
      <c r="M1639" s="132"/>
      <c r="N1639" s="132"/>
      <c r="O1639" s="132"/>
      <c r="P1639" s="154"/>
    </row>
    <row r="1640" spans="1:16" s="28" customFormat="1" x14ac:dyDescent="0.25">
      <c r="A1640" s="53"/>
      <c r="B1640" s="58"/>
      <c r="C1640" s="58"/>
      <c r="D1640" s="35"/>
      <c r="E1640" s="132"/>
      <c r="F1640" s="132"/>
      <c r="G1640" s="132"/>
      <c r="H1640" s="132"/>
      <c r="I1640" s="132"/>
      <c r="J1640" s="132"/>
      <c r="K1640" s="132"/>
      <c r="L1640" s="132"/>
      <c r="M1640" s="132"/>
      <c r="N1640" s="132"/>
      <c r="O1640" s="132"/>
      <c r="P1640" s="154"/>
    </row>
    <row r="1641" spans="1:16" s="28" customFormat="1" x14ac:dyDescent="0.25">
      <c r="A1641" s="53"/>
      <c r="B1641" s="58"/>
      <c r="C1641" s="58"/>
      <c r="D1641" s="35"/>
      <c r="E1641" s="132"/>
      <c r="F1641" s="132"/>
      <c r="G1641" s="132"/>
      <c r="H1641" s="132"/>
      <c r="I1641" s="132"/>
      <c r="J1641" s="132"/>
      <c r="K1641" s="132"/>
      <c r="L1641" s="132"/>
      <c r="M1641" s="132"/>
      <c r="N1641" s="132"/>
      <c r="O1641" s="132"/>
      <c r="P1641" s="154"/>
    </row>
    <row r="1642" spans="1:16" s="28" customFormat="1" x14ac:dyDescent="0.25">
      <c r="A1642" s="53"/>
      <c r="B1642" s="58"/>
      <c r="C1642" s="58"/>
      <c r="D1642" s="35"/>
      <c r="E1642" s="132"/>
      <c r="F1642" s="132"/>
      <c r="G1642" s="132"/>
      <c r="H1642" s="132"/>
      <c r="I1642" s="132"/>
      <c r="J1642" s="132"/>
      <c r="K1642" s="132"/>
      <c r="L1642" s="132"/>
      <c r="M1642" s="132"/>
      <c r="N1642" s="132"/>
      <c r="O1642" s="132"/>
      <c r="P1642" s="154"/>
    </row>
    <row r="1643" spans="1:16" s="28" customFormat="1" x14ac:dyDescent="0.25">
      <c r="A1643" s="53"/>
      <c r="B1643" s="58"/>
      <c r="C1643" s="58"/>
      <c r="D1643" s="35"/>
      <c r="E1643" s="132"/>
      <c r="F1643" s="132"/>
      <c r="G1643" s="132"/>
      <c r="H1643" s="132"/>
      <c r="I1643" s="132"/>
      <c r="J1643" s="132"/>
      <c r="K1643" s="132"/>
      <c r="L1643" s="132"/>
      <c r="M1643" s="132"/>
      <c r="N1643" s="132"/>
      <c r="O1643" s="132"/>
      <c r="P1643" s="154"/>
    </row>
    <row r="1644" spans="1:16" s="28" customFormat="1" x14ac:dyDescent="0.25">
      <c r="A1644" s="53"/>
      <c r="B1644" s="58"/>
      <c r="C1644" s="58"/>
      <c r="D1644" s="35"/>
      <c r="E1644" s="132"/>
      <c r="F1644" s="132"/>
      <c r="G1644" s="132"/>
      <c r="H1644" s="132"/>
      <c r="I1644" s="132"/>
      <c r="J1644" s="132"/>
      <c r="K1644" s="132"/>
      <c r="L1644" s="132"/>
      <c r="M1644" s="132"/>
      <c r="N1644" s="132"/>
      <c r="O1644" s="132"/>
      <c r="P1644" s="154"/>
    </row>
    <row r="1645" spans="1:16" s="28" customFormat="1" x14ac:dyDescent="0.25">
      <c r="A1645" s="53"/>
      <c r="B1645" s="58"/>
      <c r="C1645" s="58"/>
      <c r="D1645" s="35"/>
      <c r="E1645" s="132"/>
      <c r="F1645" s="132"/>
      <c r="G1645" s="132"/>
      <c r="H1645" s="132"/>
      <c r="I1645" s="132"/>
      <c r="J1645" s="132"/>
      <c r="K1645" s="132"/>
      <c r="L1645" s="132"/>
      <c r="M1645" s="132"/>
      <c r="N1645" s="132"/>
      <c r="O1645" s="132"/>
      <c r="P1645" s="154"/>
    </row>
    <row r="1646" spans="1:16" s="28" customFormat="1" x14ac:dyDescent="0.25">
      <c r="A1646" s="53"/>
      <c r="B1646" s="58"/>
      <c r="C1646" s="58"/>
      <c r="D1646" s="35"/>
      <c r="E1646" s="132"/>
      <c r="F1646" s="132"/>
      <c r="G1646" s="132"/>
      <c r="H1646" s="132"/>
      <c r="I1646" s="132"/>
      <c r="J1646" s="132"/>
      <c r="K1646" s="132"/>
      <c r="L1646" s="132"/>
      <c r="M1646" s="132"/>
      <c r="N1646" s="132"/>
      <c r="O1646" s="132"/>
      <c r="P1646" s="154"/>
    </row>
    <row r="1647" spans="1:16" s="28" customFormat="1" x14ac:dyDescent="0.25">
      <c r="A1647" s="53"/>
      <c r="B1647" s="58"/>
      <c r="C1647" s="58"/>
      <c r="D1647" s="35"/>
      <c r="E1647" s="132"/>
      <c r="F1647" s="132"/>
      <c r="G1647" s="132"/>
      <c r="H1647" s="132"/>
      <c r="I1647" s="132"/>
      <c r="J1647" s="132"/>
      <c r="K1647" s="132"/>
      <c r="L1647" s="132"/>
      <c r="M1647" s="132"/>
      <c r="N1647" s="132"/>
      <c r="O1647" s="132"/>
      <c r="P1647" s="154"/>
    </row>
    <row r="1648" spans="1:16" s="28" customFormat="1" x14ac:dyDescent="0.25">
      <c r="A1648" s="53"/>
      <c r="B1648" s="58"/>
      <c r="C1648" s="58"/>
      <c r="D1648" s="35"/>
      <c r="E1648" s="132"/>
      <c r="F1648" s="132"/>
      <c r="G1648" s="132"/>
      <c r="H1648" s="132"/>
      <c r="I1648" s="132"/>
      <c r="J1648" s="132"/>
      <c r="K1648" s="132"/>
      <c r="L1648" s="132"/>
      <c r="M1648" s="132"/>
      <c r="N1648" s="132"/>
      <c r="O1648" s="132"/>
      <c r="P1648" s="154"/>
    </row>
    <row r="1649" spans="1:16" s="28" customFormat="1" x14ac:dyDescent="0.25">
      <c r="A1649" s="53"/>
      <c r="B1649" s="58"/>
      <c r="C1649" s="58"/>
      <c r="D1649" s="35"/>
      <c r="E1649" s="132"/>
      <c r="F1649" s="132"/>
      <c r="G1649" s="132"/>
      <c r="H1649" s="132"/>
      <c r="I1649" s="132"/>
      <c r="J1649" s="132"/>
      <c r="K1649" s="132"/>
      <c r="L1649" s="132"/>
      <c r="M1649" s="132"/>
      <c r="N1649" s="132"/>
      <c r="O1649" s="132"/>
      <c r="P1649" s="154"/>
    </row>
    <row r="1650" spans="1:16" s="28" customFormat="1" x14ac:dyDescent="0.25">
      <c r="A1650" s="53"/>
      <c r="B1650" s="58"/>
      <c r="C1650" s="58"/>
      <c r="D1650" s="35"/>
      <c r="E1650" s="132"/>
      <c r="F1650" s="132"/>
      <c r="G1650" s="132"/>
      <c r="H1650" s="132"/>
      <c r="I1650" s="132"/>
      <c r="J1650" s="132"/>
      <c r="K1650" s="132"/>
      <c r="L1650" s="132"/>
      <c r="M1650" s="132"/>
      <c r="N1650" s="132"/>
      <c r="O1650" s="132"/>
      <c r="P1650" s="154"/>
    </row>
    <row r="1651" spans="1:16" s="28" customFormat="1" x14ac:dyDescent="0.25">
      <c r="A1651" s="53"/>
      <c r="B1651" s="58"/>
      <c r="C1651" s="58"/>
      <c r="D1651" s="35"/>
      <c r="E1651" s="132"/>
      <c r="F1651" s="132"/>
      <c r="G1651" s="132"/>
      <c r="H1651" s="132"/>
      <c r="I1651" s="132"/>
      <c r="J1651" s="132"/>
      <c r="K1651" s="132"/>
      <c r="L1651" s="132"/>
      <c r="M1651" s="132"/>
      <c r="N1651" s="132"/>
      <c r="O1651" s="132"/>
      <c r="P1651" s="154"/>
    </row>
    <row r="1652" spans="1:16" s="28" customFormat="1" x14ac:dyDescent="0.25">
      <c r="A1652" s="53"/>
      <c r="B1652" s="58"/>
      <c r="C1652" s="58"/>
      <c r="D1652" s="35"/>
      <c r="E1652" s="132"/>
      <c r="F1652" s="132"/>
      <c r="G1652" s="132"/>
      <c r="H1652" s="132"/>
      <c r="I1652" s="132"/>
      <c r="J1652" s="132"/>
      <c r="K1652" s="132"/>
      <c r="L1652" s="132"/>
      <c r="M1652" s="132"/>
      <c r="N1652" s="132"/>
      <c r="O1652" s="132"/>
      <c r="P1652" s="154"/>
    </row>
    <row r="1653" spans="1:16" s="28" customFormat="1" x14ac:dyDescent="0.25">
      <c r="A1653" s="53"/>
      <c r="B1653" s="58"/>
      <c r="C1653" s="58"/>
      <c r="D1653" s="35"/>
      <c r="E1653" s="132"/>
      <c r="F1653" s="132"/>
      <c r="G1653" s="132"/>
      <c r="H1653" s="132"/>
      <c r="I1653" s="132"/>
      <c r="J1653" s="132"/>
      <c r="K1653" s="132"/>
      <c r="L1653" s="132"/>
      <c r="M1653" s="132"/>
      <c r="N1653" s="132"/>
      <c r="O1653" s="132"/>
      <c r="P1653" s="154"/>
    </row>
    <row r="1654" spans="1:16" s="28" customFormat="1" x14ac:dyDescent="0.25">
      <c r="A1654" s="53"/>
      <c r="B1654" s="58"/>
      <c r="C1654" s="58"/>
      <c r="D1654" s="35"/>
      <c r="E1654" s="132"/>
      <c r="F1654" s="132"/>
      <c r="G1654" s="132"/>
      <c r="H1654" s="132"/>
      <c r="I1654" s="132"/>
      <c r="J1654" s="132"/>
      <c r="K1654" s="132"/>
      <c r="L1654" s="132"/>
      <c r="M1654" s="132"/>
      <c r="N1654" s="132"/>
      <c r="O1654" s="132"/>
      <c r="P1654" s="154"/>
    </row>
    <row r="1655" spans="1:16" s="28" customFormat="1" x14ac:dyDescent="0.25">
      <c r="A1655" s="53"/>
      <c r="B1655" s="58"/>
      <c r="C1655" s="58"/>
      <c r="D1655" s="35"/>
      <c r="E1655" s="132"/>
      <c r="F1655" s="132"/>
      <c r="G1655" s="132"/>
      <c r="H1655" s="132"/>
      <c r="I1655" s="132"/>
      <c r="J1655" s="132"/>
      <c r="K1655" s="132"/>
      <c r="L1655" s="132"/>
      <c r="M1655" s="132"/>
      <c r="N1655" s="132"/>
      <c r="O1655" s="132"/>
      <c r="P1655" s="154"/>
    </row>
    <row r="1656" spans="1:16" s="28" customFormat="1" x14ac:dyDescent="0.25">
      <c r="A1656" s="53"/>
      <c r="B1656" s="58"/>
      <c r="C1656" s="58"/>
      <c r="D1656" s="35"/>
      <c r="E1656" s="132"/>
      <c r="F1656" s="132"/>
      <c r="G1656" s="132"/>
      <c r="H1656" s="132"/>
      <c r="I1656" s="132"/>
      <c r="J1656" s="132"/>
      <c r="K1656" s="132"/>
      <c r="L1656" s="132"/>
      <c r="M1656" s="132"/>
      <c r="N1656" s="132"/>
      <c r="O1656" s="132"/>
      <c r="P1656" s="154"/>
    </row>
    <row r="1657" spans="1:16" s="28" customFormat="1" x14ac:dyDescent="0.25">
      <c r="A1657" s="53"/>
      <c r="B1657" s="58"/>
      <c r="C1657" s="58"/>
      <c r="D1657" s="35"/>
      <c r="E1657" s="132"/>
      <c r="F1657" s="132"/>
      <c r="G1657" s="132"/>
      <c r="H1657" s="132"/>
      <c r="I1657" s="132"/>
      <c r="J1657" s="132"/>
      <c r="K1657" s="132"/>
      <c r="L1657" s="132"/>
      <c r="M1657" s="132"/>
      <c r="N1657" s="132"/>
      <c r="O1657" s="132"/>
      <c r="P1657" s="154"/>
    </row>
    <row r="1658" spans="1:16" s="28" customFormat="1" x14ac:dyDescent="0.25">
      <c r="A1658" s="53"/>
      <c r="B1658" s="58"/>
      <c r="C1658" s="58"/>
      <c r="D1658" s="35"/>
      <c r="E1658" s="132"/>
      <c r="F1658" s="132"/>
      <c r="G1658" s="132"/>
      <c r="H1658" s="132"/>
      <c r="I1658" s="132"/>
      <c r="J1658" s="132"/>
      <c r="K1658" s="132"/>
      <c r="L1658" s="132"/>
      <c r="M1658" s="132"/>
      <c r="N1658" s="132"/>
      <c r="O1658" s="132"/>
      <c r="P1658" s="154"/>
    </row>
    <row r="1659" spans="1:16" s="28" customFormat="1" x14ac:dyDescent="0.25">
      <c r="A1659" s="53"/>
      <c r="B1659" s="58"/>
      <c r="C1659" s="58"/>
      <c r="D1659" s="35"/>
      <c r="E1659" s="132"/>
      <c r="F1659" s="132"/>
      <c r="G1659" s="132"/>
      <c r="H1659" s="132"/>
      <c r="I1659" s="132"/>
      <c r="J1659" s="132"/>
      <c r="K1659" s="132"/>
      <c r="L1659" s="132"/>
      <c r="M1659" s="132"/>
      <c r="N1659" s="132"/>
      <c r="O1659" s="132"/>
      <c r="P1659" s="154"/>
    </row>
    <row r="1660" spans="1:16" s="28" customFormat="1" x14ac:dyDescent="0.25">
      <c r="A1660" s="53"/>
      <c r="B1660" s="58"/>
      <c r="C1660" s="58"/>
      <c r="D1660" s="35"/>
      <c r="E1660" s="132"/>
      <c r="F1660" s="132"/>
      <c r="G1660" s="132"/>
      <c r="H1660" s="132"/>
      <c r="I1660" s="132"/>
      <c r="J1660" s="132"/>
      <c r="K1660" s="132"/>
      <c r="L1660" s="132"/>
      <c r="M1660" s="132"/>
      <c r="N1660" s="132"/>
      <c r="O1660" s="132"/>
      <c r="P1660" s="154"/>
    </row>
    <row r="1661" spans="1:16" s="28" customFormat="1" x14ac:dyDescent="0.25">
      <c r="A1661" s="53"/>
      <c r="B1661" s="58"/>
      <c r="C1661" s="58"/>
      <c r="D1661" s="35"/>
      <c r="E1661" s="132"/>
      <c r="F1661" s="132"/>
      <c r="G1661" s="132"/>
      <c r="H1661" s="132"/>
      <c r="I1661" s="132"/>
      <c r="J1661" s="132"/>
      <c r="K1661" s="132"/>
      <c r="L1661" s="132"/>
      <c r="M1661" s="132"/>
      <c r="N1661" s="132"/>
      <c r="O1661" s="132"/>
      <c r="P1661" s="154"/>
    </row>
    <row r="1662" spans="1:16" s="28" customFormat="1" x14ac:dyDescent="0.25">
      <c r="A1662" s="53"/>
      <c r="B1662" s="58"/>
      <c r="C1662" s="58"/>
      <c r="D1662" s="35"/>
      <c r="E1662" s="132"/>
      <c r="F1662" s="132"/>
      <c r="G1662" s="132"/>
      <c r="H1662" s="132"/>
      <c r="I1662" s="132"/>
      <c r="J1662" s="132"/>
      <c r="K1662" s="132"/>
      <c r="L1662" s="132"/>
      <c r="M1662" s="132"/>
      <c r="N1662" s="132"/>
      <c r="O1662" s="132"/>
      <c r="P1662" s="154"/>
    </row>
    <row r="1663" spans="1:16" s="28" customFormat="1" x14ac:dyDescent="0.25">
      <c r="A1663" s="53"/>
      <c r="B1663" s="58"/>
      <c r="C1663" s="58"/>
      <c r="D1663" s="35"/>
      <c r="E1663" s="132"/>
      <c r="F1663" s="132"/>
      <c r="G1663" s="132"/>
      <c r="H1663" s="132"/>
      <c r="I1663" s="132"/>
      <c r="J1663" s="132"/>
      <c r="K1663" s="132"/>
      <c r="L1663" s="132"/>
      <c r="M1663" s="132"/>
      <c r="N1663" s="132"/>
      <c r="O1663" s="132"/>
      <c r="P1663" s="154"/>
    </row>
    <row r="1664" spans="1:16" s="28" customFormat="1" x14ac:dyDescent="0.25">
      <c r="A1664" s="53"/>
      <c r="B1664" s="58"/>
      <c r="C1664" s="58"/>
      <c r="D1664" s="35"/>
      <c r="E1664" s="132"/>
      <c r="F1664" s="132"/>
      <c r="G1664" s="132"/>
      <c r="H1664" s="132"/>
      <c r="I1664" s="132"/>
      <c r="J1664" s="132"/>
      <c r="K1664" s="132"/>
      <c r="L1664" s="132"/>
      <c r="M1664" s="132"/>
      <c r="N1664" s="132"/>
      <c r="O1664" s="132"/>
      <c r="P1664" s="154"/>
    </row>
    <row r="1665" spans="1:16" s="28" customFormat="1" x14ac:dyDescent="0.25">
      <c r="A1665" s="53"/>
      <c r="B1665" s="58"/>
      <c r="C1665" s="58"/>
      <c r="D1665" s="35"/>
      <c r="E1665" s="132"/>
      <c r="F1665" s="132"/>
      <c r="G1665" s="132"/>
      <c r="H1665" s="132"/>
      <c r="I1665" s="132"/>
      <c r="J1665" s="132"/>
      <c r="K1665" s="132"/>
      <c r="L1665" s="132"/>
      <c r="M1665" s="132"/>
      <c r="N1665" s="132"/>
      <c r="O1665" s="132"/>
      <c r="P1665" s="154"/>
    </row>
    <row r="1666" spans="1:16" s="28" customFormat="1" x14ac:dyDescent="0.25">
      <c r="A1666" s="53"/>
      <c r="B1666" s="58"/>
      <c r="C1666" s="58"/>
      <c r="D1666" s="35"/>
      <c r="E1666" s="132"/>
      <c r="F1666" s="132"/>
      <c r="G1666" s="132"/>
      <c r="H1666" s="132"/>
      <c r="I1666" s="132"/>
      <c r="J1666" s="132"/>
      <c r="K1666" s="132"/>
      <c r="L1666" s="132"/>
      <c r="M1666" s="132"/>
      <c r="N1666" s="132"/>
      <c r="O1666" s="132"/>
      <c r="P1666" s="154"/>
    </row>
    <row r="1667" spans="1:16" s="28" customFormat="1" x14ac:dyDescent="0.25">
      <c r="A1667" s="53"/>
      <c r="B1667" s="58"/>
      <c r="C1667" s="58"/>
      <c r="D1667" s="35"/>
      <c r="E1667" s="132"/>
      <c r="F1667" s="132"/>
      <c r="G1667" s="132"/>
      <c r="H1667" s="132"/>
      <c r="I1667" s="132"/>
      <c r="J1667" s="132"/>
      <c r="K1667" s="132"/>
      <c r="L1667" s="132"/>
      <c r="M1667" s="132"/>
      <c r="N1667" s="132"/>
      <c r="O1667" s="132"/>
      <c r="P1667" s="154"/>
    </row>
    <row r="1668" spans="1:16" s="28" customFormat="1" x14ac:dyDescent="0.25">
      <c r="A1668" s="53"/>
      <c r="B1668" s="58"/>
      <c r="C1668" s="58"/>
      <c r="D1668" s="35"/>
      <c r="E1668" s="132"/>
      <c r="F1668" s="132"/>
      <c r="G1668" s="132"/>
      <c r="H1668" s="132"/>
      <c r="I1668" s="132"/>
      <c r="J1668" s="132"/>
      <c r="K1668" s="132"/>
      <c r="L1668" s="132"/>
      <c r="M1668" s="132"/>
      <c r="N1668" s="132"/>
      <c r="O1668" s="132"/>
      <c r="P1668" s="154"/>
    </row>
    <row r="1669" spans="1:16" s="28" customFormat="1" x14ac:dyDescent="0.25">
      <c r="A1669" s="53"/>
      <c r="B1669" s="58"/>
      <c r="C1669" s="58"/>
      <c r="D1669" s="35"/>
      <c r="E1669" s="132"/>
      <c r="F1669" s="132"/>
      <c r="G1669" s="132"/>
      <c r="H1669" s="132"/>
      <c r="I1669" s="132"/>
      <c r="J1669" s="132"/>
      <c r="K1669" s="132"/>
      <c r="L1669" s="132"/>
      <c r="M1669" s="132"/>
      <c r="N1669" s="132"/>
      <c r="O1669" s="132"/>
      <c r="P1669" s="154"/>
    </row>
    <row r="1670" spans="1:16" s="28" customFormat="1" x14ac:dyDescent="0.25">
      <c r="A1670" s="53"/>
      <c r="B1670" s="58"/>
      <c r="C1670" s="58"/>
      <c r="D1670" s="35"/>
      <c r="E1670" s="132"/>
      <c r="F1670" s="132"/>
      <c r="G1670" s="132"/>
      <c r="H1670" s="132"/>
      <c r="I1670" s="132"/>
      <c r="J1670" s="132"/>
      <c r="K1670" s="132"/>
      <c r="L1670" s="132"/>
      <c r="M1670" s="132"/>
      <c r="N1670" s="132"/>
      <c r="O1670" s="132"/>
      <c r="P1670" s="154"/>
    </row>
    <row r="1671" spans="1:16" s="28" customFormat="1" x14ac:dyDescent="0.25">
      <c r="A1671" s="53"/>
      <c r="B1671" s="58"/>
      <c r="C1671" s="58"/>
      <c r="D1671" s="35"/>
      <c r="E1671" s="132"/>
      <c r="F1671" s="132"/>
      <c r="G1671" s="132"/>
      <c r="H1671" s="132"/>
      <c r="I1671" s="132"/>
      <c r="J1671" s="132"/>
      <c r="K1671" s="132"/>
      <c r="L1671" s="132"/>
      <c r="M1671" s="132"/>
      <c r="N1671" s="132"/>
      <c r="O1671" s="132"/>
      <c r="P1671" s="154"/>
    </row>
    <row r="1672" spans="1:16" s="28" customFormat="1" x14ac:dyDescent="0.25">
      <c r="A1672" s="53"/>
      <c r="B1672" s="58"/>
      <c r="C1672" s="58"/>
      <c r="D1672" s="35"/>
      <c r="E1672" s="132"/>
      <c r="F1672" s="132"/>
      <c r="G1672" s="132"/>
      <c r="H1672" s="132"/>
      <c r="I1672" s="132"/>
      <c r="J1672" s="132"/>
      <c r="K1672" s="132"/>
      <c r="L1672" s="132"/>
      <c r="M1672" s="132"/>
      <c r="N1672" s="132"/>
      <c r="O1672" s="132"/>
      <c r="P1672" s="154"/>
    </row>
    <row r="1673" spans="1:16" s="28" customFormat="1" x14ac:dyDescent="0.25">
      <c r="A1673" s="53"/>
      <c r="B1673" s="58"/>
      <c r="C1673" s="58"/>
      <c r="D1673" s="35"/>
      <c r="E1673" s="132"/>
      <c r="F1673" s="132"/>
      <c r="G1673" s="132"/>
      <c r="H1673" s="132"/>
      <c r="I1673" s="132"/>
      <c r="J1673" s="132"/>
      <c r="K1673" s="132"/>
      <c r="L1673" s="132"/>
      <c r="M1673" s="132"/>
      <c r="N1673" s="132"/>
      <c r="O1673" s="132"/>
      <c r="P1673" s="154"/>
    </row>
    <row r="1674" spans="1:16" s="28" customFormat="1" x14ac:dyDescent="0.25">
      <c r="A1674" s="53"/>
      <c r="B1674" s="58"/>
      <c r="C1674" s="58"/>
      <c r="D1674" s="35"/>
      <c r="E1674" s="132"/>
      <c r="F1674" s="132"/>
      <c r="G1674" s="132"/>
      <c r="H1674" s="132"/>
      <c r="I1674" s="132"/>
      <c r="J1674" s="132"/>
      <c r="K1674" s="132"/>
      <c r="L1674" s="132"/>
      <c r="M1674" s="132"/>
      <c r="N1674" s="132"/>
      <c r="O1674" s="132"/>
      <c r="P1674" s="154"/>
    </row>
    <row r="1675" spans="1:16" s="28" customFormat="1" x14ac:dyDescent="0.25">
      <c r="A1675" s="53"/>
      <c r="B1675" s="58"/>
      <c r="C1675" s="58"/>
      <c r="D1675" s="35"/>
      <c r="E1675" s="132"/>
      <c r="F1675" s="132"/>
      <c r="G1675" s="132"/>
      <c r="H1675" s="132"/>
      <c r="I1675" s="132"/>
      <c r="J1675" s="132"/>
      <c r="K1675" s="132"/>
      <c r="L1675" s="132"/>
      <c r="M1675" s="132"/>
      <c r="N1675" s="132"/>
      <c r="O1675" s="132"/>
      <c r="P1675" s="154"/>
    </row>
    <row r="1676" spans="1:16" s="28" customFormat="1" x14ac:dyDescent="0.25">
      <c r="A1676" s="53"/>
      <c r="B1676" s="58"/>
      <c r="C1676" s="58"/>
      <c r="D1676" s="35"/>
      <c r="E1676" s="132"/>
      <c r="F1676" s="132"/>
      <c r="G1676" s="132"/>
      <c r="H1676" s="132"/>
      <c r="I1676" s="132"/>
      <c r="J1676" s="132"/>
      <c r="K1676" s="132"/>
      <c r="L1676" s="132"/>
      <c r="M1676" s="132"/>
      <c r="N1676" s="132"/>
      <c r="O1676" s="132"/>
      <c r="P1676" s="154"/>
    </row>
    <row r="1677" spans="1:16" s="28" customFormat="1" x14ac:dyDescent="0.25">
      <c r="A1677" s="53"/>
      <c r="B1677" s="58"/>
      <c r="C1677" s="58"/>
      <c r="D1677" s="35"/>
      <c r="E1677" s="132"/>
      <c r="F1677" s="132"/>
      <c r="G1677" s="132"/>
      <c r="H1677" s="132"/>
      <c r="I1677" s="132"/>
      <c r="J1677" s="132"/>
      <c r="K1677" s="132"/>
      <c r="L1677" s="132"/>
      <c r="M1677" s="132"/>
      <c r="N1677" s="132"/>
      <c r="O1677" s="132"/>
      <c r="P1677" s="154"/>
    </row>
    <row r="1678" spans="1:16" s="28" customFormat="1" x14ac:dyDescent="0.25">
      <c r="A1678" s="53"/>
      <c r="B1678" s="58"/>
      <c r="C1678" s="58"/>
      <c r="D1678" s="35"/>
      <c r="E1678" s="132"/>
      <c r="F1678" s="132"/>
      <c r="G1678" s="132"/>
      <c r="H1678" s="132"/>
      <c r="I1678" s="132"/>
      <c r="J1678" s="132"/>
      <c r="K1678" s="132"/>
      <c r="L1678" s="132"/>
      <c r="M1678" s="132"/>
      <c r="N1678" s="132"/>
      <c r="O1678" s="132"/>
      <c r="P1678" s="154"/>
    </row>
    <row r="1679" spans="1:16" s="28" customFormat="1" x14ac:dyDescent="0.25">
      <c r="A1679" s="53"/>
      <c r="B1679" s="58"/>
      <c r="C1679" s="58"/>
      <c r="D1679" s="35"/>
      <c r="E1679" s="132"/>
      <c r="F1679" s="132"/>
      <c r="G1679" s="132"/>
      <c r="H1679" s="132"/>
      <c r="I1679" s="132"/>
      <c r="J1679" s="132"/>
      <c r="K1679" s="132"/>
      <c r="L1679" s="132"/>
      <c r="M1679" s="132"/>
      <c r="N1679" s="132"/>
      <c r="O1679" s="132"/>
      <c r="P1679" s="154"/>
    </row>
    <row r="1680" spans="1:16" s="28" customFormat="1" x14ac:dyDescent="0.25">
      <c r="A1680" s="53"/>
      <c r="B1680" s="58"/>
      <c r="C1680" s="58"/>
      <c r="D1680" s="35"/>
      <c r="E1680" s="132"/>
      <c r="F1680" s="132"/>
      <c r="G1680" s="132"/>
      <c r="H1680" s="132"/>
      <c r="I1680" s="132"/>
      <c r="J1680" s="132"/>
      <c r="K1680" s="132"/>
      <c r="L1680" s="132"/>
      <c r="M1680" s="132"/>
      <c r="N1680" s="132"/>
      <c r="O1680" s="132"/>
      <c r="P1680" s="154"/>
    </row>
    <row r="1681" spans="1:16" s="28" customFormat="1" x14ac:dyDescent="0.25">
      <c r="A1681" s="53"/>
      <c r="B1681" s="58"/>
      <c r="C1681" s="58"/>
      <c r="D1681" s="35"/>
      <c r="E1681" s="132"/>
      <c r="F1681" s="132"/>
      <c r="G1681" s="132"/>
      <c r="H1681" s="132"/>
      <c r="I1681" s="132"/>
      <c r="J1681" s="132"/>
      <c r="K1681" s="132"/>
      <c r="L1681" s="132"/>
      <c r="M1681" s="132"/>
      <c r="N1681" s="132"/>
      <c r="O1681" s="132"/>
      <c r="P1681" s="154"/>
    </row>
    <row r="1682" spans="1:16" s="28" customFormat="1" x14ac:dyDescent="0.25">
      <c r="A1682" s="53"/>
      <c r="B1682" s="58"/>
      <c r="C1682" s="58"/>
      <c r="D1682" s="35"/>
      <c r="E1682" s="132"/>
      <c r="F1682" s="132"/>
      <c r="G1682" s="132"/>
      <c r="H1682" s="132"/>
      <c r="I1682" s="132"/>
      <c r="J1682" s="132"/>
      <c r="K1682" s="132"/>
      <c r="L1682" s="132"/>
      <c r="M1682" s="132"/>
      <c r="N1682" s="132"/>
      <c r="O1682" s="132"/>
      <c r="P1682" s="154"/>
    </row>
    <row r="1683" spans="1:16" s="28" customFormat="1" x14ac:dyDescent="0.25">
      <c r="A1683" s="53"/>
      <c r="B1683" s="58"/>
      <c r="C1683" s="58"/>
      <c r="D1683" s="35"/>
      <c r="E1683" s="132"/>
      <c r="F1683" s="132"/>
      <c r="G1683" s="132"/>
      <c r="H1683" s="132"/>
      <c r="I1683" s="132"/>
      <c r="J1683" s="132"/>
      <c r="K1683" s="132"/>
      <c r="L1683" s="132"/>
      <c r="M1683" s="132"/>
      <c r="N1683" s="132"/>
      <c r="O1683" s="132"/>
      <c r="P1683" s="154"/>
    </row>
    <row r="1684" spans="1:16" s="28" customFormat="1" x14ac:dyDescent="0.25">
      <c r="A1684" s="53"/>
      <c r="B1684" s="58"/>
      <c r="C1684" s="58"/>
      <c r="D1684" s="35"/>
      <c r="E1684" s="132"/>
      <c r="F1684" s="132"/>
      <c r="G1684" s="132"/>
      <c r="H1684" s="132"/>
      <c r="I1684" s="132"/>
      <c r="J1684" s="132"/>
      <c r="K1684" s="132"/>
      <c r="L1684" s="132"/>
      <c r="M1684" s="132"/>
      <c r="N1684" s="132"/>
      <c r="O1684" s="132"/>
      <c r="P1684" s="154"/>
    </row>
    <row r="1685" spans="1:16" s="28" customFormat="1" x14ac:dyDescent="0.25">
      <c r="A1685" s="53"/>
      <c r="B1685" s="58"/>
      <c r="C1685" s="58"/>
      <c r="D1685" s="35"/>
      <c r="E1685" s="132"/>
      <c r="F1685" s="132"/>
      <c r="G1685" s="132"/>
      <c r="H1685" s="132"/>
      <c r="I1685" s="132"/>
      <c r="J1685" s="132"/>
      <c r="K1685" s="132"/>
      <c r="L1685" s="132"/>
      <c r="M1685" s="132"/>
      <c r="N1685" s="132"/>
      <c r="O1685" s="132"/>
      <c r="P1685" s="154"/>
    </row>
    <row r="1686" spans="1:16" s="28" customFormat="1" x14ac:dyDescent="0.25">
      <c r="A1686" s="53"/>
      <c r="B1686" s="58"/>
      <c r="C1686" s="58"/>
      <c r="D1686" s="35"/>
      <c r="E1686" s="132"/>
      <c r="F1686" s="132"/>
      <c r="G1686" s="132"/>
      <c r="H1686" s="132"/>
      <c r="I1686" s="132"/>
      <c r="J1686" s="132"/>
      <c r="K1686" s="132"/>
      <c r="L1686" s="132"/>
      <c r="M1686" s="132"/>
      <c r="N1686" s="132"/>
      <c r="O1686" s="132"/>
      <c r="P1686" s="154"/>
    </row>
    <row r="1687" spans="1:16" s="28" customFormat="1" x14ac:dyDescent="0.25">
      <c r="A1687" s="53"/>
      <c r="B1687" s="58"/>
      <c r="C1687" s="58"/>
      <c r="D1687" s="35"/>
      <c r="E1687" s="132"/>
      <c r="F1687" s="132"/>
      <c r="G1687" s="132"/>
      <c r="H1687" s="132"/>
      <c r="I1687" s="132"/>
      <c r="J1687" s="132"/>
      <c r="K1687" s="132"/>
      <c r="L1687" s="132"/>
      <c r="M1687" s="132"/>
      <c r="N1687" s="132"/>
      <c r="O1687" s="132"/>
      <c r="P1687" s="154"/>
    </row>
    <row r="1688" spans="1:16" s="28" customFormat="1" x14ac:dyDescent="0.25">
      <c r="A1688" s="53"/>
      <c r="B1688" s="58"/>
      <c r="C1688" s="58"/>
      <c r="D1688" s="35"/>
      <c r="E1688" s="132"/>
      <c r="F1688" s="132"/>
      <c r="G1688" s="132"/>
      <c r="H1688" s="132"/>
      <c r="I1688" s="132"/>
      <c r="J1688" s="132"/>
      <c r="K1688" s="132"/>
      <c r="L1688" s="132"/>
      <c r="M1688" s="132"/>
      <c r="N1688" s="132"/>
      <c r="O1688" s="132"/>
      <c r="P1688" s="154"/>
    </row>
    <row r="1689" spans="1:16" s="28" customFormat="1" x14ac:dyDescent="0.25">
      <c r="A1689" s="53"/>
      <c r="B1689" s="58"/>
      <c r="C1689" s="58"/>
      <c r="D1689" s="35"/>
      <c r="E1689" s="132"/>
      <c r="F1689" s="132"/>
      <c r="G1689" s="132"/>
      <c r="H1689" s="132"/>
      <c r="I1689" s="132"/>
      <c r="J1689" s="132"/>
      <c r="K1689" s="132"/>
      <c r="L1689" s="132"/>
      <c r="M1689" s="132"/>
      <c r="N1689" s="132"/>
      <c r="O1689" s="132"/>
      <c r="P1689" s="154"/>
    </row>
    <row r="1690" spans="1:16" s="28" customFormat="1" x14ac:dyDescent="0.25">
      <c r="A1690" s="53"/>
      <c r="B1690" s="58"/>
      <c r="C1690" s="58"/>
      <c r="D1690" s="35"/>
      <c r="E1690" s="132"/>
      <c r="F1690" s="132"/>
      <c r="G1690" s="132"/>
      <c r="H1690" s="132"/>
      <c r="I1690" s="132"/>
      <c r="J1690" s="132"/>
      <c r="K1690" s="132"/>
      <c r="L1690" s="132"/>
      <c r="M1690" s="132"/>
      <c r="N1690" s="132"/>
      <c r="O1690" s="132"/>
      <c r="P1690" s="154"/>
    </row>
    <row r="1691" spans="1:16" s="28" customFormat="1" x14ac:dyDescent="0.25">
      <c r="A1691" s="53"/>
      <c r="B1691" s="58"/>
      <c r="C1691" s="58"/>
      <c r="D1691" s="35"/>
      <c r="E1691" s="132"/>
      <c r="F1691" s="132"/>
      <c r="G1691" s="132"/>
      <c r="H1691" s="132"/>
      <c r="I1691" s="132"/>
      <c r="J1691" s="132"/>
      <c r="K1691" s="132"/>
      <c r="L1691" s="132"/>
      <c r="M1691" s="132"/>
      <c r="N1691" s="132"/>
      <c r="O1691" s="132"/>
      <c r="P1691" s="154"/>
    </row>
    <row r="1692" spans="1:16" s="28" customFormat="1" x14ac:dyDescent="0.25">
      <c r="A1692" s="53"/>
      <c r="B1692" s="58"/>
      <c r="C1692" s="58"/>
      <c r="D1692" s="35"/>
      <c r="E1692" s="132"/>
      <c r="F1692" s="132"/>
      <c r="G1692" s="132"/>
      <c r="H1692" s="132"/>
      <c r="I1692" s="132"/>
      <c r="J1692" s="132"/>
      <c r="K1692" s="132"/>
      <c r="L1692" s="132"/>
      <c r="M1692" s="132"/>
      <c r="N1692" s="132"/>
      <c r="O1692" s="132"/>
      <c r="P1692" s="154"/>
    </row>
    <row r="1693" spans="1:16" s="28" customFormat="1" x14ac:dyDescent="0.25">
      <c r="A1693" s="53"/>
      <c r="B1693" s="58"/>
      <c r="C1693" s="58"/>
      <c r="D1693" s="35"/>
      <c r="E1693" s="132"/>
      <c r="F1693" s="132"/>
      <c r="G1693" s="132"/>
      <c r="H1693" s="132"/>
      <c r="I1693" s="132"/>
      <c r="J1693" s="132"/>
      <c r="K1693" s="132"/>
      <c r="L1693" s="132"/>
      <c r="M1693" s="132"/>
      <c r="N1693" s="132"/>
      <c r="O1693" s="132"/>
      <c r="P1693" s="154"/>
    </row>
    <row r="1694" spans="1:16" s="28" customFormat="1" x14ac:dyDescent="0.25">
      <c r="A1694" s="53"/>
      <c r="B1694" s="58"/>
      <c r="C1694" s="58"/>
      <c r="D1694" s="35"/>
      <c r="E1694" s="132"/>
      <c r="F1694" s="132"/>
      <c r="G1694" s="132"/>
      <c r="H1694" s="132"/>
      <c r="I1694" s="132"/>
      <c r="J1694" s="132"/>
      <c r="K1694" s="132"/>
      <c r="L1694" s="132"/>
      <c r="M1694" s="132"/>
      <c r="N1694" s="132"/>
      <c r="O1694" s="132"/>
      <c r="P1694" s="154"/>
    </row>
    <row r="1695" spans="1:16" s="28" customFormat="1" x14ac:dyDescent="0.25">
      <c r="A1695" s="53"/>
      <c r="B1695" s="58"/>
      <c r="C1695" s="58"/>
      <c r="D1695" s="35"/>
      <c r="E1695" s="132"/>
      <c r="F1695" s="132"/>
      <c r="G1695" s="132"/>
      <c r="H1695" s="132"/>
      <c r="I1695" s="132"/>
      <c r="J1695" s="132"/>
      <c r="K1695" s="132"/>
      <c r="L1695" s="132"/>
      <c r="M1695" s="132"/>
      <c r="N1695" s="132"/>
      <c r="O1695" s="132"/>
      <c r="P1695" s="154"/>
    </row>
    <row r="1696" spans="1:16" s="28" customFormat="1" x14ac:dyDescent="0.25">
      <c r="A1696" s="53"/>
      <c r="B1696" s="58"/>
      <c r="C1696" s="58"/>
      <c r="D1696" s="35"/>
      <c r="E1696" s="132"/>
      <c r="F1696" s="132"/>
      <c r="G1696" s="132"/>
      <c r="H1696" s="132"/>
      <c r="I1696" s="132"/>
      <c r="J1696" s="132"/>
      <c r="K1696" s="132"/>
      <c r="L1696" s="132"/>
      <c r="M1696" s="132"/>
      <c r="N1696" s="132"/>
      <c r="O1696" s="132"/>
      <c r="P1696" s="154"/>
    </row>
    <row r="1697" spans="1:16" s="28" customFormat="1" x14ac:dyDescent="0.25">
      <c r="A1697" s="53"/>
      <c r="B1697" s="58"/>
      <c r="C1697" s="58"/>
      <c r="D1697" s="35"/>
      <c r="E1697" s="132"/>
      <c r="F1697" s="132"/>
      <c r="G1697" s="132"/>
      <c r="H1697" s="132"/>
      <c r="I1697" s="132"/>
      <c r="J1697" s="132"/>
      <c r="K1697" s="132"/>
      <c r="L1697" s="132"/>
      <c r="M1697" s="132"/>
      <c r="N1697" s="132"/>
      <c r="O1697" s="132"/>
      <c r="P1697" s="154"/>
    </row>
    <row r="1698" spans="1:16" s="28" customFormat="1" x14ac:dyDescent="0.25">
      <c r="A1698" s="53"/>
      <c r="B1698" s="58"/>
      <c r="C1698" s="58"/>
      <c r="D1698" s="35"/>
      <c r="E1698" s="132"/>
      <c r="F1698" s="132"/>
      <c r="G1698" s="132"/>
      <c r="H1698" s="132"/>
      <c r="I1698" s="132"/>
      <c r="J1698" s="132"/>
      <c r="K1698" s="132"/>
      <c r="L1698" s="132"/>
      <c r="M1698" s="132"/>
      <c r="N1698" s="132"/>
      <c r="O1698" s="132"/>
      <c r="P1698" s="154"/>
    </row>
    <row r="1699" spans="1:16" s="28" customFormat="1" x14ac:dyDescent="0.25">
      <c r="A1699" s="53"/>
      <c r="B1699" s="58"/>
      <c r="C1699" s="58"/>
      <c r="D1699" s="35"/>
      <c r="E1699" s="132"/>
      <c r="F1699" s="132"/>
      <c r="G1699" s="132"/>
      <c r="H1699" s="132"/>
      <c r="I1699" s="132"/>
      <c r="J1699" s="132"/>
      <c r="K1699" s="132"/>
      <c r="L1699" s="132"/>
      <c r="M1699" s="132"/>
      <c r="N1699" s="132"/>
      <c r="O1699" s="132"/>
      <c r="P1699" s="154"/>
    </row>
    <row r="1700" spans="1:16" s="28" customFormat="1" x14ac:dyDescent="0.25">
      <c r="A1700" s="53"/>
      <c r="B1700" s="58"/>
      <c r="C1700" s="58"/>
      <c r="D1700" s="35"/>
      <c r="E1700" s="132"/>
      <c r="F1700" s="132"/>
      <c r="G1700" s="132"/>
      <c r="H1700" s="132"/>
      <c r="I1700" s="132"/>
      <c r="J1700" s="132"/>
      <c r="K1700" s="132"/>
      <c r="L1700" s="132"/>
      <c r="M1700" s="132"/>
      <c r="N1700" s="132"/>
      <c r="O1700" s="132"/>
      <c r="P1700" s="154"/>
    </row>
    <row r="1701" spans="1:16" s="28" customFormat="1" x14ac:dyDescent="0.25">
      <c r="A1701" s="53"/>
      <c r="B1701" s="58"/>
      <c r="C1701" s="58"/>
      <c r="D1701" s="35"/>
      <c r="E1701" s="132"/>
      <c r="F1701" s="132"/>
      <c r="G1701" s="132"/>
      <c r="H1701" s="132"/>
      <c r="I1701" s="132"/>
      <c r="J1701" s="132"/>
      <c r="K1701" s="132"/>
      <c r="L1701" s="132"/>
      <c r="M1701" s="132"/>
      <c r="N1701" s="132"/>
      <c r="O1701" s="132"/>
      <c r="P1701" s="154"/>
    </row>
    <row r="1702" spans="1:16" s="28" customFormat="1" x14ac:dyDescent="0.25">
      <c r="A1702" s="53"/>
      <c r="B1702" s="58"/>
      <c r="C1702" s="58"/>
      <c r="D1702" s="35"/>
      <c r="E1702" s="132"/>
      <c r="F1702" s="132"/>
      <c r="G1702" s="132"/>
      <c r="H1702" s="132"/>
      <c r="I1702" s="132"/>
      <c r="J1702" s="132"/>
      <c r="K1702" s="132"/>
      <c r="L1702" s="132"/>
      <c r="M1702" s="132"/>
      <c r="N1702" s="132"/>
      <c r="O1702" s="132"/>
      <c r="P1702" s="154"/>
    </row>
    <row r="1703" spans="1:16" s="28" customFormat="1" x14ac:dyDescent="0.25">
      <c r="A1703" s="53"/>
      <c r="B1703" s="58"/>
      <c r="C1703" s="58"/>
      <c r="D1703" s="35"/>
      <c r="E1703" s="132"/>
      <c r="F1703" s="132"/>
      <c r="G1703" s="132"/>
      <c r="H1703" s="132"/>
      <c r="I1703" s="132"/>
      <c r="J1703" s="132"/>
      <c r="K1703" s="132"/>
      <c r="L1703" s="132"/>
      <c r="M1703" s="132"/>
      <c r="N1703" s="132"/>
      <c r="O1703" s="132"/>
      <c r="P1703" s="154"/>
    </row>
    <row r="1704" spans="1:16" s="28" customFormat="1" x14ac:dyDescent="0.25">
      <c r="A1704" s="53"/>
      <c r="B1704" s="58"/>
      <c r="C1704" s="58"/>
      <c r="D1704" s="35"/>
      <c r="E1704" s="132"/>
      <c r="F1704" s="132"/>
      <c r="G1704" s="132"/>
      <c r="H1704" s="132"/>
      <c r="I1704" s="132"/>
      <c r="J1704" s="132"/>
      <c r="K1704" s="132"/>
      <c r="L1704" s="132"/>
      <c r="M1704" s="132"/>
      <c r="N1704" s="132"/>
      <c r="O1704" s="132"/>
      <c r="P1704" s="154"/>
    </row>
    <row r="1705" spans="1:16" s="28" customFormat="1" x14ac:dyDescent="0.25">
      <c r="A1705" s="53"/>
      <c r="B1705" s="58"/>
      <c r="C1705" s="58"/>
      <c r="D1705" s="35"/>
      <c r="E1705" s="132"/>
      <c r="F1705" s="132"/>
      <c r="G1705" s="132"/>
      <c r="H1705" s="132"/>
      <c r="I1705" s="132"/>
      <c r="J1705" s="132"/>
      <c r="K1705" s="132"/>
      <c r="L1705" s="132"/>
      <c r="M1705" s="132"/>
      <c r="N1705" s="132"/>
      <c r="O1705" s="132"/>
      <c r="P1705" s="154"/>
    </row>
    <row r="1706" spans="1:16" s="28" customFormat="1" x14ac:dyDescent="0.25">
      <c r="A1706" s="53"/>
      <c r="B1706" s="58"/>
      <c r="C1706" s="58"/>
      <c r="D1706" s="35"/>
      <c r="E1706" s="132"/>
      <c r="F1706" s="132"/>
      <c r="G1706" s="132"/>
      <c r="H1706" s="132"/>
      <c r="I1706" s="132"/>
      <c r="J1706" s="132"/>
      <c r="K1706" s="132"/>
      <c r="L1706" s="132"/>
      <c r="M1706" s="132"/>
      <c r="N1706" s="132"/>
      <c r="O1706" s="132"/>
      <c r="P1706" s="154"/>
    </row>
    <row r="1707" spans="1:16" s="28" customFormat="1" x14ac:dyDescent="0.25">
      <c r="A1707" s="53"/>
      <c r="B1707" s="58"/>
      <c r="C1707" s="58"/>
      <c r="D1707" s="35"/>
      <c r="E1707" s="132"/>
      <c r="F1707" s="132"/>
      <c r="G1707" s="132"/>
      <c r="H1707" s="132"/>
      <c r="I1707" s="132"/>
      <c r="J1707" s="132"/>
      <c r="K1707" s="132"/>
      <c r="L1707" s="132"/>
      <c r="M1707" s="132"/>
      <c r="N1707" s="132"/>
      <c r="O1707" s="132"/>
      <c r="P1707" s="154"/>
    </row>
    <row r="1708" spans="1:16" s="28" customFormat="1" x14ac:dyDescent="0.25">
      <c r="A1708" s="53"/>
      <c r="B1708" s="58"/>
      <c r="C1708" s="58"/>
      <c r="D1708" s="35"/>
      <c r="E1708" s="132"/>
      <c r="F1708" s="132"/>
      <c r="G1708" s="132"/>
      <c r="H1708" s="132"/>
      <c r="I1708" s="132"/>
      <c r="J1708" s="132"/>
      <c r="K1708" s="132"/>
      <c r="L1708" s="132"/>
      <c r="M1708" s="132"/>
      <c r="N1708" s="132"/>
      <c r="O1708" s="132"/>
      <c r="P1708" s="154"/>
    </row>
    <row r="1709" spans="1:16" s="28" customFormat="1" x14ac:dyDescent="0.25">
      <c r="A1709" s="53"/>
      <c r="B1709" s="58"/>
      <c r="C1709" s="58"/>
      <c r="D1709" s="35"/>
      <c r="E1709" s="132"/>
      <c r="F1709" s="132"/>
      <c r="G1709" s="132"/>
      <c r="H1709" s="132"/>
      <c r="I1709" s="132"/>
      <c r="J1709" s="132"/>
      <c r="K1709" s="132"/>
      <c r="L1709" s="132"/>
      <c r="M1709" s="132"/>
      <c r="N1709" s="132"/>
      <c r="O1709" s="132"/>
      <c r="P1709" s="154"/>
    </row>
    <row r="1710" spans="1:16" s="28" customFormat="1" x14ac:dyDescent="0.25">
      <c r="A1710" s="53"/>
      <c r="B1710" s="58"/>
      <c r="C1710" s="58"/>
      <c r="D1710" s="35"/>
      <c r="E1710" s="132"/>
      <c r="F1710" s="132"/>
      <c r="G1710" s="132"/>
      <c r="H1710" s="132"/>
      <c r="I1710" s="132"/>
      <c r="J1710" s="132"/>
      <c r="K1710" s="132"/>
      <c r="L1710" s="132"/>
      <c r="M1710" s="132"/>
      <c r="N1710" s="132"/>
      <c r="O1710" s="132"/>
      <c r="P1710" s="154"/>
    </row>
    <row r="1711" spans="1:16" s="28" customFormat="1" x14ac:dyDescent="0.25">
      <c r="A1711" s="53"/>
      <c r="B1711" s="58"/>
      <c r="C1711" s="58"/>
      <c r="D1711" s="35"/>
      <c r="E1711" s="132"/>
      <c r="F1711" s="132"/>
      <c r="G1711" s="132"/>
      <c r="H1711" s="132"/>
      <c r="I1711" s="132"/>
      <c r="J1711" s="132"/>
      <c r="K1711" s="132"/>
      <c r="L1711" s="132"/>
      <c r="M1711" s="132"/>
      <c r="N1711" s="132"/>
      <c r="O1711" s="132"/>
      <c r="P1711" s="154"/>
    </row>
    <row r="1712" spans="1:16" s="28" customFormat="1" x14ac:dyDescent="0.25">
      <c r="A1712" s="53"/>
      <c r="B1712" s="58"/>
      <c r="C1712" s="58"/>
      <c r="D1712" s="35"/>
      <c r="E1712" s="132"/>
      <c r="F1712" s="132"/>
      <c r="G1712" s="132"/>
      <c r="H1712" s="132"/>
      <c r="I1712" s="132"/>
      <c r="J1712" s="132"/>
      <c r="K1712" s="132"/>
      <c r="L1712" s="132"/>
      <c r="M1712" s="132"/>
      <c r="N1712" s="132"/>
      <c r="O1712" s="132"/>
      <c r="P1712" s="154"/>
    </row>
    <row r="1713" spans="1:16" s="28" customFormat="1" x14ac:dyDescent="0.25">
      <c r="A1713" s="53"/>
      <c r="B1713" s="58"/>
      <c r="C1713" s="58"/>
      <c r="D1713" s="35"/>
      <c r="E1713" s="132"/>
      <c r="F1713" s="132"/>
      <c r="G1713" s="132"/>
      <c r="H1713" s="132"/>
      <c r="I1713" s="132"/>
      <c r="J1713" s="132"/>
      <c r="K1713" s="132"/>
      <c r="L1713" s="132"/>
      <c r="M1713" s="132"/>
      <c r="N1713" s="132"/>
      <c r="O1713" s="132"/>
      <c r="P1713" s="154"/>
    </row>
    <row r="1714" spans="1:16" s="28" customFormat="1" x14ac:dyDescent="0.25">
      <c r="A1714" s="53"/>
      <c r="B1714" s="58"/>
      <c r="C1714" s="58"/>
      <c r="D1714" s="35"/>
      <c r="E1714" s="132"/>
      <c r="F1714" s="132"/>
      <c r="G1714" s="132"/>
      <c r="H1714" s="132"/>
      <c r="I1714" s="132"/>
      <c r="J1714" s="132"/>
      <c r="K1714" s="132"/>
      <c r="L1714" s="132"/>
      <c r="M1714" s="132"/>
      <c r="N1714" s="132"/>
      <c r="O1714" s="132"/>
      <c r="P1714" s="154"/>
    </row>
  </sheetData>
  <mergeCells count="20"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K14:K15"/>
    <mergeCell ref="E14:E15"/>
    <mergeCell ref="A10:P10"/>
    <mergeCell ref="A11:P11"/>
    <mergeCell ref="M14:N14"/>
    <mergeCell ref="O14:O15"/>
    <mergeCell ref="F14:F15"/>
    <mergeCell ref="E13:I13"/>
    <mergeCell ref="L14:L15"/>
    <mergeCell ref="A344:D344"/>
  </mergeCells>
  <phoneticPr fontId="3" type="noConversion"/>
  <printOptions horizontalCentered="1"/>
  <pageMargins left="0.19685039370078741" right="0" top="0.98425196850393704" bottom="0.59055118110236227" header="0.59055118110236227" footer="0.31496062992125984"/>
  <pageSetup paperSize="9" scale="44" fitToHeight="100" orientation="landscape" useFirstPageNumber="1" r:id="rId1"/>
  <headerFooter scaleWithDoc="0" alignWithMargins="0">
    <oddFooter>&amp;RСторінка &amp;P</oddFooter>
  </headerFooter>
  <rowBreaks count="1" manualBreakCount="1">
    <brk id="17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R271"/>
  <sheetViews>
    <sheetView showGridLines="0" showZeros="0" tabSelected="1" view="pageBreakPreview" zoomScale="55" zoomScaleNormal="87" zoomScaleSheetLayoutView="55" workbookViewId="0">
      <selection activeCell="E6" sqref="E6"/>
    </sheetView>
  </sheetViews>
  <sheetFormatPr defaultColWidth="9.1640625" defaultRowHeight="15.75" x14ac:dyDescent="0.25"/>
  <cols>
    <col min="1" max="1" width="19.1640625" style="5" customWidth="1"/>
    <col min="2" max="2" width="23.83203125" style="1" customWidth="1"/>
    <col min="3" max="3" width="69" style="10" customWidth="1"/>
    <col min="4" max="4" width="23.1640625" style="159" customWidth="1"/>
    <col min="5" max="5" width="23.83203125" style="159" customWidth="1"/>
    <col min="6" max="6" width="25.33203125" style="159" customWidth="1"/>
    <col min="7" max="7" width="20.1640625" style="159" customWidth="1"/>
    <col min="8" max="8" width="21.1640625" style="159" customWidth="1"/>
    <col min="9" max="9" width="21.33203125" style="159" bestFit="1" customWidth="1"/>
    <col min="10" max="10" width="21.1640625" style="159" customWidth="1"/>
    <col min="11" max="11" width="21.33203125" style="159" customWidth="1"/>
    <col min="12" max="12" width="18" style="159" customWidth="1"/>
    <col min="13" max="13" width="18.83203125" style="159" customWidth="1"/>
    <col min="14" max="14" width="21.5" style="159" customWidth="1"/>
    <col min="15" max="15" width="22.83203125" style="159" customWidth="1"/>
    <col min="16" max="16384" width="9.1640625" style="4"/>
  </cols>
  <sheetData>
    <row r="1" spans="1:15" ht="27.75" customHeight="1" x14ac:dyDescent="0.4">
      <c r="J1" s="171" t="s">
        <v>621</v>
      </c>
      <c r="K1" s="171"/>
      <c r="L1" s="171"/>
      <c r="M1" s="171"/>
      <c r="N1" s="171"/>
      <c r="O1" s="171"/>
    </row>
    <row r="2" spans="1:15" ht="24" customHeight="1" x14ac:dyDescent="0.25">
      <c r="J2" s="172" t="s">
        <v>615</v>
      </c>
      <c r="K2" s="172"/>
      <c r="L2" s="172"/>
      <c r="M2" s="172"/>
      <c r="N2" s="172"/>
      <c r="O2" s="172"/>
    </row>
    <row r="3" spans="1:15" ht="26.25" customHeight="1" x14ac:dyDescent="0.4">
      <c r="J3" s="171" t="s">
        <v>617</v>
      </c>
      <c r="K3" s="172"/>
      <c r="L3" s="172"/>
      <c r="M3" s="172"/>
      <c r="N3" s="172"/>
      <c r="O3" s="171"/>
    </row>
    <row r="4" spans="1:15" ht="26.25" customHeight="1" x14ac:dyDescent="0.4">
      <c r="J4" s="171" t="s">
        <v>613</v>
      </c>
      <c r="K4" s="172"/>
      <c r="L4" s="172"/>
      <c r="M4" s="172"/>
      <c r="N4" s="172"/>
      <c r="O4" s="171"/>
    </row>
    <row r="5" spans="1:15" ht="29.25" customHeight="1" x14ac:dyDescent="0.4">
      <c r="J5" s="171" t="s">
        <v>614</v>
      </c>
      <c r="K5" s="172"/>
      <c r="L5" s="172"/>
      <c r="M5" s="172"/>
      <c r="N5" s="172"/>
      <c r="O5" s="171"/>
    </row>
    <row r="6" spans="1:15" ht="29.25" customHeight="1" x14ac:dyDescent="0.4">
      <c r="J6" s="171" t="s">
        <v>616</v>
      </c>
      <c r="K6" s="171"/>
      <c r="L6" s="171"/>
      <c r="M6" s="171"/>
      <c r="N6" s="171"/>
      <c r="O6" s="133"/>
    </row>
    <row r="7" spans="1:15" ht="29.25" customHeight="1" x14ac:dyDescent="0.4">
      <c r="J7" s="171" t="s">
        <v>623</v>
      </c>
      <c r="K7" s="171"/>
      <c r="L7" s="171"/>
      <c r="M7" s="171"/>
      <c r="N7" s="171"/>
      <c r="O7" s="133"/>
    </row>
    <row r="8" spans="1:15" ht="29.25" customHeight="1" x14ac:dyDescent="0.25">
      <c r="J8" s="134"/>
      <c r="K8" s="134"/>
      <c r="L8" s="134"/>
      <c r="M8" s="134"/>
      <c r="N8" s="134"/>
      <c r="O8" s="134"/>
    </row>
    <row r="9" spans="1:15" ht="105.75" customHeight="1" x14ac:dyDescent="0.25">
      <c r="A9" s="182" t="s">
        <v>576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</row>
    <row r="10" spans="1:15" ht="23.25" customHeight="1" x14ac:dyDescent="0.25">
      <c r="A10" s="185" t="s">
        <v>552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</row>
    <row r="11" spans="1:15" ht="21" customHeight="1" x14ac:dyDescent="0.25">
      <c r="A11" s="181" t="s">
        <v>551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</row>
    <row r="12" spans="1:15" s="17" customFormat="1" ht="20.25" customHeight="1" x14ac:dyDescent="0.3">
      <c r="A12" s="14"/>
      <c r="B12" s="15"/>
      <c r="C12" s="16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37" t="s">
        <v>353</v>
      </c>
    </row>
    <row r="13" spans="1:15" s="49" customFormat="1" ht="21.75" customHeight="1" x14ac:dyDescent="0.25">
      <c r="A13" s="183" t="s">
        <v>332</v>
      </c>
      <c r="B13" s="183" t="s">
        <v>322</v>
      </c>
      <c r="C13" s="183" t="s">
        <v>334</v>
      </c>
      <c r="D13" s="174" t="s">
        <v>221</v>
      </c>
      <c r="E13" s="174"/>
      <c r="F13" s="174"/>
      <c r="G13" s="174"/>
      <c r="H13" s="174"/>
      <c r="I13" s="174" t="s">
        <v>222</v>
      </c>
      <c r="J13" s="174"/>
      <c r="K13" s="174"/>
      <c r="L13" s="174"/>
      <c r="M13" s="174"/>
      <c r="N13" s="174"/>
      <c r="O13" s="174" t="s">
        <v>223</v>
      </c>
    </row>
    <row r="14" spans="1:15" s="49" customFormat="1" ht="29.25" customHeight="1" x14ac:dyDescent="0.25">
      <c r="A14" s="183"/>
      <c r="B14" s="183"/>
      <c r="C14" s="183"/>
      <c r="D14" s="184" t="s">
        <v>323</v>
      </c>
      <c r="E14" s="184" t="s">
        <v>224</v>
      </c>
      <c r="F14" s="179" t="s">
        <v>225</v>
      </c>
      <c r="G14" s="179"/>
      <c r="H14" s="184" t="s">
        <v>226</v>
      </c>
      <c r="I14" s="184" t="s">
        <v>323</v>
      </c>
      <c r="J14" s="184" t="s">
        <v>324</v>
      </c>
      <c r="K14" s="184" t="s">
        <v>224</v>
      </c>
      <c r="L14" s="179" t="s">
        <v>225</v>
      </c>
      <c r="M14" s="179"/>
      <c r="N14" s="184" t="s">
        <v>226</v>
      </c>
      <c r="O14" s="174"/>
    </row>
    <row r="15" spans="1:15" s="49" customFormat="1" ht="60.75" customHeight="1" x14ac:dyDescent="0.25">
      <c r="A15" s="183"/>
      <c r="B15" s="183"/>
      <c r="C15" s="183"/>
      <c r="D15" s="184"/>
      <c r="E15" s="184"/>
      <c r="F15" s="161" t="s">
        <v>227</v>
      </c>
      <c r="G15" s="161" t="s">
        <v>228</v>
      </c>
      <c r="H15" s="184"/>
      <c r="I15" s="184"/>
      <c r="J15" s="184"/>
      <c r="K15" s="184"/>
      <c r="L15" s="161" t="s">
        <v>227</v>
      </c>
      <c r="M15" s="161" t="s">
        <v>228</v>
      </c>
      <c r="N15" s="184"/>
      <c r="O15" s="174"/>
    </row>
    <row r="16" spans="1:15" s="49" customFormat="1" ht="21" customHeight="1" x14ac:dyDescent="0.25">
      <c r="A16" s="7" t="s">
        <v>42</v>
      </c>
      <c r="B16" s="8"/>
      <c r="C16" s="9" t="s">
        <v>43</v>
      </c>
      <c r="D16" s="47">
        <f>D18+D19+D20+D21</f>
        <v>250941149</v>
      </c>
      <c r="E16" s="47">
        <f t="shared" ref="E16:O16" si="0">E18+E19+E20+E21</f>
        <v>250941149</v>
      </c>
      <c r="F16" s="47">
        <f>F18+F19+F20+F21</f>
        <v>184653700</v>
      </c>
      <c r="G16" s="47">
        <f t="shared" si="0"/>
        <v>8510800</v>
      </c>
      <c r="H16" s="47">
        <f t="shared" si="0"/>
        <v>0</v>
      </c>
      <c r="I16" s="47">
        <f t="shared" si="0"/>
        <v>2600000</v>
      </c>
      <c r="J16" s="47">
        <f t="shared" si="0"/>
        <v>800000</v>
      </c>
      <c r="K16" s="47">
        <f t="shared" si="0"/>
        <v>1752000</v>
      </c>
      <c r="L16" s="47">
        <f t="shared" si="0"/>
        <v>1106600</v>
      </c>
      <c r="M16" s="47">
        <f t="shared" si="0"/>
        <v>157500</v>
      </c>
      <c r="N16" s="47">
        <f t="shared" si="0"/>
        <v>848000</v>
      </c>
      <c r="O16" s="47">
        <f t="shared" si="0"/>
        <v>253541149</v>
      </c>
    </row>
    <row r="17" spans="1:15" s="49" customFormat="1" ht="61.5" hidden="1" customHeight="1" x14ac:dyDescent="0.25">
      <c r="A17" s="7"/>
      <c r="B17" s="8"/>
      <c r="C17" s="9" t="s">
        <v>429</v>
      </c>
      <c r="D17" s="47">
        <f>D22</f>
        <v>0</v>
      </c>
      <c r="E17" s="47">
        <f t="shared" ref="E17:O17" si="1">E22</f>
        <v>0</v>
      </c>
      <c r="F17" s="47">
        <f t="shared" si="1"/>
        <v>0</v>
      </c>
      <c r="G17" s="47">
        <f t="shared" si="1"/>
        <v>0</v>
      </c>
      <c r="H17" s="47">
        <f t="shared" si="1"/>
        <v>0</v>
      </c>
      <c r="I17" s="47">
        <f t="shared" si="1"/>
        <v>0</v>
      </c>
      <c r="J17" s="47">
        <f t="shared" si="1"/>
        <v>0</v>
      </c>
      <c r="K17" s="47">
        <f t="shared" si="1"/>
        <v>0</v>
      </c>
      <c r="L17" s="47">
        <f t="shared" si="1"/>
        <v>0</v>
      </c>
      <c r="M17" s="47">
        <f t="shared" si="1"/>
        <v>0</v>
      </c>
      <c r="N17" s="47">
        <f t="shared" si="1"/>
        <v>0</v>
      </c>
      <c r="O17" s="47">
        <f t="shared" si="1"/>
        <v>0</v>
      </c>
    </row>
    <row r="18" spans="1:15" ht="37.5" customHeight="1" x14ac:dyDescent="0.25">
      <c r="A18" s="37" t="s">
        <v>117</v>
      </c>
      <c r="B18" s="37" t="s">
        <v>45</v>
      </c>
      <c r="C18" s="6" t="s">
        <v>478</v>
      </c>
      <c r="D18" s="162">
        <f>'дод 2'!E20+'дод 2'!E78+'дод 2'!E140+'дод 2'!E172+'дод 2'!E211+'дод 2'!E219+'дод 2'!E236+'дод 2'!E276+'дод 2'!E281+'дод 2'!E305+'дод 2'!E313+'дод 2'!E316+'дод 2'!E324</f>
        <v>250503200</v>
      </c>
      <c r="E18" s="162">
        <f>'дод 2'!F20+'дод 2'!F78+'дод 2'!F140+'дод 2'!F172+'дод 2'!F211+'дод 2'!F219+'дод 2'!F236+'дод 2'!F276+'дод 2'!F281+'дод 2'!F305+'дод 2'!F313+'дод 2'!F316+'дод 2'!F324</f>
        <v>250503200</v>
      </c>
      <c r="F18" s="162">
        <f>'дод 2'!G20+'дод 2'!G78+'дод 2'!G140+'дод 2'!G172+'дод 2'!G211+'дод 2'!G219+'дод 2'!G236+'дод 2'!G276+'дод 2'!G281+'дод 2'!G305+'дод 2'!G313+'дод 2'!G316+'дод 2'!G324</f>
        <v>184653700</v>
      </c>
      <c r="G18" s="162">
        <f>'дод 2'!H20+'дод 2'!H78+'дод 2'!H140+'дод 2'!H172+'дод 2'!H211+'дод 2'!H219+'дод 2'!H236+'дод 2'!H276+'дод 2'!H281+'дод 2'!H305+'дод 2'!H313+'дод 2'!H316+'дод 2'!H324</f>
        <v>8510800</v>
      </c>
      <c r="H18" s="162">
        <f>'дод 2'!I20+'дод 2'!I78+'дод 2'!I140+'дод 2'!I172+'дод 2'!I211+'дод 2'!I219+'дод 2'!I236+'дод 2'!I276+'дод 2'!I281+'дод 2'!I305+'дод 2'!I313+'дод 2'!I316+'дод 2'!I324</f>
        <v>0</v>
      </c>
      <c r="I18" s="162">
        <f>'дод 2'!J20+'дод 2'!J78+'дод 2'!J140+'дод 2'!J172+'дод 2'!J211+'дод 2'!J219+'дод 2'!J236+'дод 2'!J276+'дод 2'!J281+'дод 2'!J305+'дод 2'!J313+'дод 2'!J316+'дод 2'!J324</f>
        <v>2600000</v>
      </c>
      <c r="J18" s="162">
        <f>'дод 2'!K20+'дод 2'!K78+'дод 2'!K140+'дод 2'!K172+'дод 2'!K211+'дод 2'!K219+'дод 2'!K236+'дод 2'!K276+'дод 2'!K281+'дод 2'!K305+'дод 2'!K313+'дод 2'!K316+'дод 2'!K324</f>
        <v>800000</v>
      </c>
      <c r="K18" s="162">
        <f>'дод 2'!L20+'дод 2'!L78+'дод 2'!L140+'дод 2'!L172+'дод 2'!L211+'дод 2'!L219+'дод 2'!L236+'дод 2'!L276+'дод 2'!L281+'дод 2'!L305+'дод 2'!L313+'дод 2'!L316+'дод 2'!L324</f>
        <v>1752000</v>
      </c>
      <c r="L18" s="162">
        <f>'дод 2'!M20+'дод 2'!M78+'дод 2'!M140+'дод 2'!M172+'дод 2'!M211+'дод 2'!M219+'дод 2'!M236+'дод 2'!M276+'дод 2'!M281+'дод 2'!M305+'дод 2'!M313+'дод 2'!M316+'дод 2'!M324</f>
        <v>1106600</v>
      </c>
      <c r="M18" s="162">
        <f>'дод 2'!N20+'дод 2'!N78+'дод 2'!N140+'дод 2'!N172+'дод 2'!N211+'дод 2'!N219+'дод 2'!N236+'дод 2'!N276+'дод 2'!N281+'дод 2'!N305+'дод 2'!N313+'дод 2'!N316+'дод 2'!N324</f>
        <v>157500</v>
      </c>
      <c r="N18" s="162">
        <f>'дод 2'!O20+'дод 2'!O78+'дод 2'!O140+'дод 2'!O172+'дод 2'!O211+'дод 2'!O219+'дод 2'!O236+'дод 2'!O276+'дод 2'!O281+'дод 2'!O305+'дод 2'!O313+'дод 2'!O316+'дод 2'!O324</f>
        <v>848000</v>
      </c>
      <c r="O18" s="162">
        <f>'дод 2'!P20+'дод 2'!P78+'дод 2'!P140+'дод 2'!P172+'дод 2'!P211+'дод 2'!P219+'дод 2'!P236+'дод 2'!P276+'дод 2'!P281+'дод 2'!P305+'дод 2'!P313+'дод 2'!P316+'дод 2'!P324</f>
        <v>253103200</v>
      </c>
    </row>
    <row r="19" spans="1:15" ht="33" hidden="1" customHeight="1" x14ac:dyDescent="0.25">
      <c r="A19" s="55" t="s">
        <v>89</v>
      </c>
      <c r="B19" s="55" t="s">
        <v>449</v>
      </c>
      <c r="C19" s="6" t="s">
        <v>440</v>
      </c>
      <c r="D19" s="162">
        <f>'дод 2'!E21</f>
        <v>0</v>
      </c>
      <c r="E19" s="162">
        <f>'дод 2'!F21</f>
        <v>0</v>
      </c>
      <c r="F19" s="162">
        <f>'дод 2'!G21</f>
        <v>0</v>
      </c>
      <c r="G19" s="162">
        <f>'дод 2'!H21</f>
        <v>0</v>
      </c>
      <c r="H19" s="162">
        <f>'дод 2'!I21</f>
        <v>0</v>
      </c>
      <c r="I19" s="162">
        <f>'дод 2'!J21</f>
        <v>0</v>
      </c>
      <c r="J19" s="162">
        <f>'дод 2'!K21</f>
        <v>0</v>
      </c>
      <c r="K19" s="162">
        <f>'дод 2'!L21</f>
        <v>0</v>
      </c>
      <c r="L19" s="162">
        <f>'дод 2'!M21</f>
        <v>0</v>
      </c>
      <c r="M19" s="162">
        <f>'дод 2'!N21</f>
        <v>0</v>
      </c>
      <c r="N19" s="162">
        <f>'дод 2'!O21</f>
        <v>0</v>
      </c>
      <c r="O19" s="162">
        <f>'дод 2'!P21</f>
        <v>0</v>
      </c>
    </row>
    <row r="20" spans="1:15" ht="22.5" customHeight="1" x14ac:dyDescent="0.25">
      <c r="A20" s="37" t="s">
        <v>44</v>
      </c>
      <c r="B20" s="37" t="s">
        <v>92</v>
      </c>
      <c r="C20" s="6" t="s">
        <v>239</v>
      </c>
      <c r="D20" s="162">
        <f>'дод 2'!E22+'дод 2'!E173+'дод 2'!E237</f>
        <v>437949</v>
      </c>
      <c r="E20" s="162">
        <f>'дод 2'!F22+'дод 2'!F173+'дод 2'!F237</f>
        <v>437949</v>
      </c>
      <c r="F20" s="162">
        <f>'дод 2'!G22+'дод 2'!G173+'дод 2'!G237</f>
        <v>0</v>
      </c>
      <c r="G20" s="162">
        <f>'дод 2'!H22+'дод 2'!H173+'дод 2'!H237</f>
        <v>0</v>
      </c>
      <c r="H20" s="162">
        <f>'дод 2'!I22+'дод 2'!I173+'дод 2'!I237</f>
        <v>0</v>
      </c>
      <c r="I20" s="162">
        <f>'дод 2'!J22+'дод 2'!J173+'дод 2'!J237</f>
        <v>0</v>
      </c>
      <c r="J20" s="162">
        <f>'дод 2'!K22+'дод 2'!K173+'дод 2'!K237</f>
        <v>0</v>
      </c>
      <c r="K20" s="162">
        <f>'дод 2'!L22+'дод 2'!L173+'дод 2'!L237</f>
        <v>0</v>
      </c>
      <c r="L20" s="162">
        <f>'дод 2'!M22+'дод 2'!M173+'дод 2'!M237</f>
        <v>0</v>
      </c>
      <c r="M20" s="162">
        <f>'дод 2'!N22+'дод 2'!N173+'дод 2'!N237</f>
        <v>0</v>
      </c>
      <c r="N20" s="162">
        <f>'дод 2'!O22+'дод 2'!O173+'дод 2'!O237</f>
        <v>0</v>
      </c>
      <c r="O20" s="162">
        <f>'дод 2'!P22+'дод 2'!P173+'дод 2'!P237</f>
        <v>437949</v>
      </c>
    </row>
    <row r="21" spans="1:15" ht="27" hidden="1" customHeight="1" x14ac:dyDescent="0.25">
      <c r="A21" s="55" t="s">
        <v>425</v>
      </c>
      <c r="B21" s="55" t="s">
        <v>117</v>
      </c>
      <c r="C21" s="6" t="s">
        <v>426</v>
      </c>
      <c r="D21" s="162">
        <f>'дод 2'!E23</f>
        <v>0</v>
      </c>
      <c r="E21" s="162">
        <f>'дод 2'!F23</f>
        <v>0</v>
      </c>
      <c r="F21" s="162">
        <f>'дод 2'!G23</f>
        <v>0</v>
      </c>
      <c r="G21" s="162">
        <f>'дод 2'!H23</f>
        <v>0</v>
      </c>
      <c r="H21" s="162">
        <f>'дод 2'!I23</f>
        <v>0</v>
      </c>
      <c r="I21" s="162">
        <f>'дод 2'!J23</f>
        <v>0</v>
      </c>
      <c r="J21" s="162">
        <f>'дод 2'!K23</f>
        <v>0</v>
      </c>
      <c r="K21" s="162">
        <f>'дод 2'!L23</f>
        <v>0</v>
      </c>
      <c r="L21" s="162">
        <f>'дод 2'!M23</f>
        <v>0</v>
      </c>
      <c r="M21" s="162">
        <f>'дод 2'!N23</f>
        <v>0</v>
      </c>
      <c r="N21" s="162">
        <f>'дод 2'!O23</f>
        <v>0</v>
      </c>
      <c r="O21" s="162">
        <f>'дод 2'!P23</f>
        <v>0</v>
      </c>
    </row>
    <row r="22" spans="1:15" s="51" customFormat="1" ht="63" hidden="1" customHeight="1" x14ac:dyDescent="0.25">
      <c r="A22" s="71"/>
      <c r="B22" s="80"/>
      <c r="C22" s="72" t="s">
        <v>429</v>
      </c>
      <c r="D22" s="163">
        <f>'дод 2'!E24</f>
        <v>0</v>
      </c>
      <c r="E22" s="163">
        <f>'дод 2'!F24</f>
        <v>0</v>
      </c>
      <c r="F22" s="163">
        <f>'дод 2'!G24</f>
        <v>0</v>
      </c>
      <c r="G22" s="163">
        <f>'дод 2'!H24</f>
        <v>0</v>
      </c>
      <c r="H22" s="163">
        <f>'дод 2'!I24</f>
        <v>0</v>
      </c>
      <c r="I22" s="163">
        <f>'дод 2'!J24</f>
        <v>0</v>
      </c>
      <c r="J22" s="163">
        <f>'дод 2'!K24</f>
        <v>0</v>
      </c>
      <c r="K22" s="163">
        <f>'дод 2'!L24</f>
        <v>0</v>
      </c>
      <c r="L22" s="163">
        <f>'дод 2'!M24</f>
        <v>0</v>
      </c>
      <c r="M22" s="163">
        <f>'дод 2'!N24</f>
        <v>0</v>
      </c>
      <c r="N22" s="163">
        <f>'дод 2'!O24</f>
        <v>0</v>
      </c>
      <c r="O22" s="163">
        <f>'дод 2'!P24</f>
        <v>0</v>
      </c>
    </row>
    <row r="23" spans="1:15" s="49" customFormat="1" ht="18.75" customHeight="1" x14ac:dyDescent="0.25">
      <c r="A23" s="38" t="s">
        <v>46</v>
      </c>
      <c r="B23" s="39"/>
      <c r="C23" s="9" t="s">
        <v>397</v>
      </c>
      <c r="D23" s="47">
        <f>D35+D37+D44+D46+D47+D50+D52+D54+D57+D59+D60+D64+D65+D66+D67+D69+D70+D71+D73+D75+D77+D79+D61+D62</f>
        <v>1497595490</v>
      </c>
      <c r="E23" s="47">
        <f t="shared" ref="E23:O23" si="2">E35+E37+E44+E46+E47+E50+E52+E54+E57+E59+E60+E64+E65+E66+E67+E69+E70+E71+E73+E75+E77+E79+E61+E62</f>
        <v>1497595490</v>
      </c>
      <c r="F23" s="47">
        <f t="shared" si="2"/>
        <v>1006325020</v>
      </c>
      <c r="G23" s="47">
        <f t="shared" si="2"/>
        <v>158551050</v>
      </c>
      <c r="H23" s="47">
        <f t="shared" si="2"/>
        <v>0</v>
      </c>
      <c r="I23" s="47">
        <f t="shared" si="2"/>
        <v>127311405</v>
      </c>
      <c r="J23" s="47">
        <f t="shared" si="2"/>
        <v>30275036</v>
      </c>
      <c r="K23" s="47">
        <f t="shared" si="2"/>
        <v>96950549</v>
      </c>
      <c r="L23" s="47">
        <f t="shared" si="2"/>
        <v>8380846</v>
      </c>
      <c r="M23" s="47">
        <f t="shared" si="2"/>
        <v>5238893</v>
      </c>
      <c r="N23" s="47">
        <f t="shared" si="2"/>
        <v>30360856</v>
      </c>
      <c r="O23" s="47">
        <f t="shared" si="2"/>
        <v>1624906895</v>
      </c>
    </row>
    <row r="24" spans="1:15" s="50" customFormat="1" ht="31.5" x14ac:dyDescent="0.25">
      <c r="A24" s="65"/>
      <c r="B24" s="68"/>
      <c r="C24" s="69" t="s">
        <v>384</v>
      </c>
      <c r="D24" s="164">
        <f>D48+D51+D53+D63</f>
        <v>571788600</v>
      </c>
      <c r="E24" s="164">
        <f t="shared" ref="E24:O24" si="3">E48+E51+E53+E63</f>
        <v>571788600</v>
      </c>
      <c r="F24" s="164">
        <f t="shared" si="3"/>
        <v>469390600</v>
      </c>
      <c r="G24" s="164">
        <f t="shared" si="3"/>
        <v>0</v>
      </c>
      <c r="H24" s="164">
        <f t="shared" si="3"/>
        <v>0</v>
      </c>
      <c r="I24" s="164">
        <f t="shared" si="3"/>
        <v>0</v>
      </c>
      <c r="J24" s="164">
        <f t="shared" si="3"/>
        <v>0</v>
      </c>
      <c r="K24" s="164">
        <f t="shared" si="3"/>
        <v>0</v>
      </c>
      <c r="L24" s="164">
        <f t="shared" si="3"/>
        <v>0</v>
      </c>
      <c r="M24" s="164">
        <f t="shared" si="3"/>
        <v>0</v>
      </c>
      <c r="N24" s="164">
        <f t="shared" si="3"/>
        <v>0</v>
      </c>
      <c r="O24" s="164">
        <f t="shared" si="3"/>
        <v>571788600</v>
      </c>
    </row>
    <row r="25" spans="1:15" s="50" customFormat="1" ht="47.25" hidden="1" customHeight="1" x14ac:dyDescent="0.25">
      <c r="A25" s="65"/>
      <c r="B25" s="68"/>
      <c r="C25" s="70" t="s">
        <v>521</v>
      </c>
      <c r="D25" s="164">
        <f>D55</f>
        <v>0</v>
      </c>
      <c r="E25" s="164">
        <f t="shared" ref="E25:O25" si="4">E55</f>
        <v>0</v>
      </c>
      <c r="F25" s="164">
        <f t="shared" si="4"/>
        <v>0</v>
      </c>
      <c r="G25" s="164">
        <f t="shared" si="4"/>
        <v>0</v>
      </c>
      <c r="H25" s="164">
        <f t="shared" si="4"/>
        <v>0</v>
      </c>
      <c r="I25" s="164">
        <f t="shared" si="4"/>
        <v>0</v>
      </c>
      <c r="J25" s="164">
        <f t="shared" si="4"/>
        <v>0</v>
      </c>
      <c r="K25" s="164">
        <f t="shared" si="4"/>
        <v>0</v>
      </c>
      <c r="L25" s="164">
        <f t="shared" si="4"/>
        <v>0</v>
      </c>
      <c r="M25" s="164">
        <f t="shared" si="4"/>
        <v>0</v>
      </c>
      <c r="N25" s="164">
        <f t="shared" si="4"/>
        <v>0</v>
      </c>
      <c r="O25" s="164">
        <f t="shared" si="4"/>
        <v>0</v>
      </c>
    </row>
    <row r="26" spans="1:15" s="50" customFormat="1" ht="47.25" x14ac:dyDescent="0.25">
      <c r="A26" s="65"/>
      <c r="B26" s="68"/>
      <c r="C26" s="69" t="s">
        <v>379</v>
      </c>
      <c r="D26" s="164">
        <f>D49+D68</f>
        <v>4465990</v>
      </c>
      <c r="E26" s="164">
        <f t="shared" ref="E26:O26" si="5">E49+E68</f>
        <v>4465990</v>
      </c>
      <c r="F26" s="164">
        <f t="shared" si="5"/>
        <v>1600020</v>
      </c>
      <c r="G26" s="164">
        <f t="shared" si="5"/>
        <v>0</v>
      </c>
      <c r="H26" s="164">
        <f t="shared" si="5"/>
        <v>0</v>
      </c>
      <c r="I26" s="164">
        <f t="shared" si="5"/>
        <v>0</v>
      </c>
      <c r="J26" s="164">
        <f t="shared" si="5"/>
        <v>0</v>
      </c>
      <c r="K26" s="164">
        <f t="shared" si="5"/>
        <v>0</v>
      </c>
      <c r="L26" s="164">
        <f t="shared" si="5"/>
        <v>0</v>
      </c>
      <c r="M26" s="164">
        <f t="shared" si="5"/>
        <v>0</v>
      </c>
      <c r="N26" s="164">
        <f t="shared" si="5"/>
        <v>0</v>
      </c>
      <c r="O26" s="164">
        <f t="shared" si="5"/>
        <v>4465990</v>
      </c>
    </row>
    <row r="27" spans="1:15" s="50" customFormat="1" ht="47.25" hidden="1" customHeight="1" x14ac:dyDescent="0.25">
      <c r="A27" s="65"/>
      <c r="B27" s="68"/>
      <c r="C27" s="69" t="s">
        <v>381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s="50" customFormat="1" ht="50.25" hidden="1" customHeight="1" x14ac:dyDescent="0.25">
      <c r="A28" s="65"/>
      <c r="B28" s="68"/>
      <c r="C28" s="70" t="s">
        <v>378</v>
      </c>
      <c r="D28" s="164">
        <f>D78</f>
        <v>0</v>
      </c>
      <c r="E28" s="164">
        <f t="shared" ref="E28:O28" si="6">E78</f>
        <v>0</v>
      </c>
      <c r="F28" s="164">
        <f t="shared" si="6"/>
        <v>0</v>
      </c>
      <c r="G28" s="164">
        <f t="shared" si="6"/>
        <v>0</v>
      </c>
      <c r="H28" s="164">
        <f t="shared" si="6"/>
        <v>0</v>
      </c>
      <c r="I28" s="164">
        <f t="shared" si="6"/>
        <v>0</v>
      </c>
      <c r="J28" s="164">
        <f t="shared" si="6"/>
        <v>0</v>
      </c>
      <c r="K28" s="164">
        <f t="shared" si="6"/>
        <v>0</v>
      </c>
      <c r="L28" s="164">
        <f t="shared" si="6"/>
        <v>0</v>
      </c>
      <c r="M28" s="164">
        <f t="shared" si="6"/>
        <v>0</v>
      </c>
      <c r="N28" s="164">
        <f t="shared" si="6"/>
        <v>0</v>
      </c>
      <c r="O28" s="164">
        <f t="shared" si="6"/>
        <v>0</v>
      </c>
    </row>
    <row r="29" spans="1:15" s="50" customFormat="1" ht="63" hidden="1" customHeight="1" x14ac:dyDescent="0.25">
      <c r="A29" s="65"/>
      <c r="B29" s="68"/>
      <c r="C29" s="69" t="s">
        <v>380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</row>
    <row r="30" spans="1:15" s="50" customFormat="1" ht="78.75" hidden="1" customHeight="1" x14ac:dyDescent="0.25">
      <c r="A30" s="65"/>
      <c r="B30" s="65"/>
      <c r="C30" s="70" t="s">
        <v>504</v>
      </c>
      <c r="D30" s="164">
        <f>D80</f>
        <v>0</v>
      </c>
      <c r="E30" s="164">
        <f t="shared" ref="E30:O30" si="7">E80</f>
        <v>0</v>
      </c>
      <c r="F30" s="164">
        <f t="shared" si="7"/>
        <v>0</v>
      </c>
      <c r="G30" s="164">
        <f t="shared" si="7"/>
        <v>0</v>
      </c>
      <c r="H30" s="164">
        <f t="shared" si="7"/>
        <v>0</v>
      </c>
      <c r="I30" s="164">
        <f t="shared" si="7"/>
        <v>0</v>
      </c>
      <c r="J30" s="164">
        <f t="shared" si="7"/>
        <v>0</v>
      </c>
      <c r="K30" s="164">
        <f t="shared" si="7"/>
        <v>0</v>
      </c>
      <c r="L30" s="164">
        <f t="shared" si="7"/>
        <v>0</v>
      </c>
      <c r="M30" s="164">
        <f t="shared" si="7"/>
        <v>0</v>
      </c>
      <c r="N30" s="164">
        <f t="shared" si="7"/>
        <v>0</v>
      </c>
      <c r="O30" s="164">
        <f t="shared" si="7"/>
        <v>0</v>
      </c>
    </row>
    <row r="31" spans="1:15" s="50" customFormat="1" ht="31.5" hidden="1" customHeight="1" x14ac:dyDescent="0.25">
      <c r="A31" s="65"/>
      <c r="B31" s="65"/>
      <c r="C31" s="70" t="s">
        <v>518</v>
      </c>
      <c r="D31" s="164">
        <f>D56+D58</f>
        <v>0</v>
      </c>
      <c r="E31" s="164">
        <f t="shared" ref="E31:O31" si="8">E56+E58</f>
        <v>0</v>
      </c>
      <c r="F31" s="164">
        <f t="shared" si="8"/>
        <v>0</v>
      </c>
      <c r="G31" s="164">
        <f t="shared" si="8"/>
        <v>0</v>
      </c>
      <c r="H31" s="164">
        <f t="shared" si="8"/>
        <v>0</v>
      </c>
      <c r="I31" s="164">
        <f t="shared" si="8"/>
        <v>0</v>
      </c>
      <c r="J31" s="164">
        <f t="shared" si="8"/>
        <v>0</v>
      </c>
      <c r="K31" s="164">
        <f t="shared" si="8"/>
        <v>0</v>
      </c>
      <c r="L31" s="164">
        <f t="shared" si="8"/>
        <v>0</v>
      </c>
      <c r="M31" s="164">
        <f t="shared" si="8"/>
        <v>0</v>
      </c>
      <c r="N31" s="164">
        <f t="shared" si="8"/>
        <v>0</v>
      </c>
      <c r="O31" s="164">
        <f t="shared" si="8"/>
        <v>0</v>
      </c>
    </row>
    <row r="32" spans="1:15" s="50" customFormat="1" ht="55.5" hidden="1" customHeight="1" x14ac:dyDescent="0.25">
      <c r="A32" s="65"/>
      <c r="B32" s="65"/>
      <c r="C32" s="70" t="s">
        <v>564</v>
      </c>
      <c r="D32" s="164">
        <f>D72</f>
        <v>0</v>
      </c>
      <c r="E32" s="164">
        <f t="shared" ref="E32:O32" si="9">E72</f>
        <v>0</v>
      </c>
      <c r="F32" s="164">
        <f t="shared" si="9"/>
        <v>0</v>
      </c>
      <c r="G32" s="164">
        <f t="shared" si="9"/>
        <v>0</v>
      </c>
      <c r="H32" s="164">
        <f t="shared" si="9"/>
        <v>0</v>
      </c>
      <c r="I32" s="164">
        <f t="shared" si="9"/>
        <v>0</v>
      </c>
      <c r="J32" s="164">
        <f t="shared" si="9"/>
        <v>0</v>
      </c>
      <c r="K32" s="164">
        <f t="shared" si="9"/>
        <v>0</v>
      </c>
      <c r="L32" s="164">
        <f t="shared" si="9"/>
        <v>0</v>
      </c>
      <c r="M32" s="164">
        <f t="shared" si="9"/>
        <v>0</v>
      </c>
      <c r="N32" s="164">
        <f t="shared" si="9"/>
        <v>0</v>
      </c>
      <c r="O32" s="164">
        <f t="shared" si="9"/>
        <v>0</v>
      </c>
    </row>
    <row r="33" spans="1:15" s="50" customFormat="1" ht="63" hidden="1" customHeight="1" x14ac:dyDescent="0.25">
      <c r="A33" s="65"/>
      <c r="B33" s="65"/>
      <c r="C33" s="70" t="s">
        <v>536</v>
      </c>
      <c r="D33" s="164">
        <f>D76</f>
        <v>0</v>
      </c>
      <c r="E33" s="164">
        <f t="shared" ref="E33:O33" si="10">E76</f>
        <v>0</v>
      </c>
      <c r="F33" s="164">
        <f t="shared" si="10"/>
        <v>0</v>
      </c>
      <c r="G33" s="164">
        <f t="shared" si="10"/>
        <v>0</v>
      </c>
      <c r="H33" s="164">
        <f t="shared" si="10"/>
        <v>0</v>
      </c>
      <c r="I33" s="164">
        <f t="shared" si="10"/>
        <v>0</v>
      </c>
      <c r="J33" s="164">
        <f t="shared" si="10"/>
        <v>0</v>
      </c>
      <c r="K33" s="164">
        <f t="shared" si="10"/>
        <v>0</v>
      </c>
      <c r="L33" s="164">
        <f t="shared" si="10"/>
        <v>0</v>
      </c>
      <c r="M33" s="164">
        <f t="shared" si="10"/>
        <v>0</v>
      </c>
      <c r="N33" s="164">
        <f t="shared" si="10"/>
        <v>0</v>
      </c>
      <c r="O33" s="164">
        <f t="shared" si="10"/>
        <v>0</v>
      </c>
    </row>
    <row r="34" spans="1:15" s="50" customFormat="1" ht="15.75" hidden="1" customHeight="1" x14ac:dyDescent="0.25">
      <c r="A34" s="65"/>
      <c r="B34" s="65"/>
      <c r="C34" s="70" t="s">
        <v>390</v>
      </c>
      <c r="D34" s="164">
        <f>D74</f>
        <v>0</v>
      </c>
      <c r="E34" s="164">
        <f t="shared" ref="E34:O34" si="11">E74</f>
        <v>0</v>
      </c>
      <c r="F34" s="164">
        <f t="shared" si="11"/>
        <v>0</v>
      </c>
      <c r="G34" s="164">
        <f t="shared" si="11"/>
        <v>0</v>
      </c>
      <c r="H34" s="164">
        <f t="shared" si="11"/>
        <v>0</v>
      </c>
      <c r="I34" s="164">
        <f t="shared" si="11"/>
        <v>0</v>
      </c>
      <c r="J34" s="164">
        <f t="shared" si="11"/>
        <v>0</v>
      </c>
      <c r="K34" s="164">
        <f t="shared" si="11"/>
        <v>0</v>
      </c>
      <c r="L34" s="164">
        <f t="shared" si="11"/>
        <v>0</v>
      </c>
      <c r="M34" s="164">
        <f t="shared" si="11"/>
        <v>0</v>
      </c>
      <c r="N34" s="164">
        <f t="shared" si="11"/>
        <v>0</v>
      </c>
      <c r="O34" s="164">
        <f t="shared" si="11"/>
        <v>0</v>
      </c>
    </row>
    <row r="35" spans="1:15" ht="17.25" customHeight="1" x14ac:dyDescent="0.25">
      <c r="A35" s="37" t="s">
        <v>47</v>
      </c>
      <c r="B35" s="37" t="s">
        <v>48</v>
      </c>
      <c r="C35" s="6" t="s">
        <v>486</v>
      </c>
      <c r="D35" s="162">
        <f>'дод 2'!E79+'дод 2'!E282</f>
        <v>359431200</v>
      </c>
      <c r="E35" s="162">
        <f>'дод 2'!F79+'дод 2'!F282</f>
        <v>359431200</v>
      </c>
      <c r="F35" s="162">
        <f>'дод 2'!G79+'дод 2'!G282</f>
        <v>227938600</v>
      </c>
      <c r="G35" s="162">
        <f>'дод 2'!H79+'дод 2'!H282</f>
        <v>53183600</v>
      </c>
      <c r="H35" s="162">
        <f>'дод 2'!I79+'дод 2'!I282</f>
        <v>0</v>
      </c>
      <c r="I35" s="162">
        <f>'дод 2'!J79+'дод 2'!J282</f>
        <v>36639536</v>
      </c>
      <c r="J35" s="162">
        <f>'дод 2'!K79+'дод 2'!K282</f>
        <v>10613436</v>
      </c>
      <c r="K35" s="162">
        <f>'дод 2'!L79+'дод 2'!L282</f>
        <v>26026100</v>
      </c>
      <c r="L35" s="162">
        <f>'дод 2'!M79+'дод 2'!M282</f>
        <v>0</v>
      </c>
      <c r="M35" s="162">
        <f>'дод 2'!N79+'дод 2'!N282</f>
        <v>0</v>
      </c>
      <c r="N35" s="162">
        <f>'дод 2'!O79+'дод 2'!O282</f>
        <v>10613436</v>
      </c>
      <c r="O35" s="162">
        <f>'дод 2'!P79+'дод 2'!P282</f>
        <v>396070736</v>
      </c>
    </row>
    <row r="36" spans="1:15" s="51" customFormat="1" ht="47.25" hidden="1" customHeight="1" x14ac:dyDescent="0.25">
      <c r="A36" s="71"/>
      <c r="B36" s="71"/>
      <c r="C36" s="72" t="s">
        <v>378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</row>
    <row r="37" spans="1:15" ht="38.25" customHeight="1" x14ac:dyDescent="0.25">
      <c r="A37" s="37">
        <v>1021</v>
      </c>
      <c r="B37" s="37" t="s">
        <v>50</v>
      </c>
      <c r="C37" s="57" t="s">
        <v>455</v>
      </c>
      <c r="D37" s="162">
        <f>'дод 2'!E80+'дод 2'!E283</f>
        <v>262316300</v>
      </c>
      <c r="E37" s="162">
        <f>'дод 2'!F80+'дод 2'!F283</f>
        <v>262316300</v>
      </c>
      <c r="F37" s="162">
        <f>'дод 2'!G80+'дод 2'!G283</f>
        <v>125370000</v>
      </c>
      <c r="G37" s="162">
        <f>'дод 2'!H80+'дод 2'!H283</f>
        <v>71767200</v>
      </c>
      <c r="H37" s="162">
        <f>'дод 2'!I80+'дод 2'!I283</f>
        <v>0</v>
      </c>
      <c r="I37" s="162">
        <f>'дод 2'!J80+'дод 2'!J283</f>
        <v>72792060</v>
      </c>
      <c r="J37" s="162">
        <f>'дод 2'!K80+'дод 2'!K283</f>
        <v>15322240</v>
      </c>
      <c r="K37" s="162">
        <f>'дод 2'!L80+'дод 2'!L283</f>
        <v>57469820</v>
      </c>
      <c r="L37" s="162">
        <f>'дод 2'!M80+'дод 2'!M283</f>
        <v>3254108</v>
      </c>
      <c r="M37" s="162">
        <f>'дод 2'!N80+'дод 2'!N283</f>
        <v>349209</v>
      </c>
      <c r="N37" s="162">
        <f>'дод 2'!O80+'дод 2'!O283</f>
        <v>15322240</v>
      </c>
      <c r="O37" s="162">
        <f>'дод 2'!P80+'дод 2'!P283</f>
        <v>335108360</v>
      </c>
    </row>
    <row r="38" spans="1:15" s="51" customFormat="1" ht="63" hidden="1" customHeight="1" x14ac:dyDescent="0.25">
      <c r="A38" s="71"/>
      <c r="B38" s="71"/>
      <c r="C38" s="72" t="s">
        <v>382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</row>
    <row r="39" spans="1:15" s="51" customFormat="1" ht="47.25" hidden="1" customHeight="1" x14ac:dyDescent="0.25">
      <c r="A39" s="71"/>
      <c r="B39" s="71"/>
      <c r="C39" s="72" t="s">
        <v>379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</row>
    <row r="40" spans="1:15" s="51" customFormat="1" ht="47.25" hidden="1" customHeight="1" x14ac:dyDescent="0.25">
      <c r="A40" s="71"/>
      <c r="B40" s="71"/>
      <c r="C40" s="72" t="s">
        <v>381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</row>
    <row r="41" spans="1:15" s="51" customFormat="1" ht="47.25" hidden="1" customHeight="1" x14ac:dyDescent="0.25">
      <c r="A41" s="71"/>
      <c r="B41" s="71"/>
      <c r="C41" s="72" t="s">
        <v>378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</row>
    <row r="42" spans="1:15" s="51" customFormat="1" ht="31.5" hidden="1" customHeight="1" x14ac:dyDescent="0.25">
      <c r="A42" s="71"/>
      <c r="B42" s="71"/>
      <c r="C42" s="72" t="s">
        <v>384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</row>
    <row r="43" spans="1:15" s="51" customFormat="1" ht="63" hidden="1" customHeight="1" x14ac:dyDescent="0.25">
      <c r="A43" s="71"/>
      <c r="B43" s="71"/>
      <c r="C43" s="72" t="s">
        <v>380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</row>
    <row r="44" spans="1:15" ht="69.75" customHeight="1" x14ac:dyDescent="0.25">
      <c r="A44" s="37">
        <v>1022</v>
      </c>
      <c r="B44" s="56" t="s">
        <v>54</v>
      </c>
      <c r="C44" s="36" t="s">
        <v>457</v>
      </c>
      <c r="D44" s="162">
        <f>'дод 2'!E81+'дод 2'!E284</f>
        <v>17867500</v>
      </c>
      <c r="E44" s="162">
        <f>'дод 2'!F81+'дод 2'!F284</f>
        <v>17867500</v>
      </c>
      <c r="F44" s="162">
        <f>'дод 2'!G81+'дод 2'!G284</f>
        <v>9799000</v>
      </c>
      <c r="G44" s="162">
        <f>'дод 2'!H81+'дод 2'!H284</f>
        <v>3121200</v>
      </c>
      <c r="H44" s="162">
        <f>'дод 2'!I81+'дод 2'!I284</f>
        <v>0</v>
      </c>
      <c r="I44" s="162">
        <f>'дод 2'!J81+'дод 2'!J284</f>
        <v>1339360</v>
      </c>
      <c r="J44" s="162">
        <f>'дод 2'!K81+'дод 2'!K284</f>
        <v>1339360</v>
      </c>
      <c r="K44" s="162">
        <f>'дод 2'!L81+'дод 2'!L284</f>
        <v>0</v>
      </c>
      <c r="L44" s="162">
        <f>'дод 2'!M81+'дод 2'!M284</f>
        <v>0</v>
      </c>
      <c r="M44" s="162">
        <f>'дод 2'!N81+'дод 2'!N284</f>
        <v>0</v>
      </c>
      <c r="N44" s="162">
        <f>'дод 2'!O81+'дод 2'!O284</f>
        <v>1339360</v>
      </c>
      <c r="O44" s="162">
        <f>'дод 2'!P81+'дод 2'!P284</f>
        <v>19206860</v>
      </c>
    </row>
    <row r="45" spans="1:15" ht="78.75" hidden="1" customHeight="1" x14ac:dyDescent="0.25">
      <c r="A45" s="37"/>
      <c r="B45" s="37"/>
      <c r="C45" s="72" t="s">
        <v>382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</row>
    <row r="46" spans="1:15" ht="68.25" customHeight="1" x14ac:dyDescent="0.25">
      <c r="A46" s="37">
        <v>1025</v>
      </c>
      <c r="B46" s="37" t="s">
        <v>54</v>
      </c>
      <c r="C46" s="3" t="s">
        <v>560</v>
      </c>
      <c r="D46" s="162">
        <f>'дод 2'!E82</f>
        <v>12183400</v>
      </c>
      <c r="E46" s="162">
        <f>'дод 2'!F82</f>
        <v>12183400</v>
      </c>
      <c r="F46" s="162">
        <f>'дод 2'!G82</f>
        <v>8069700</v>
      </c>
      <c r="G46" s="162">
        <f>'дод 2'!H82</f>
        <v>1445800</v>
      </c>
      <c r="H46" s="162">
        <f>'дод 2'!I82</f>
        <v>0</v>
      </c>
      <c r="I46" s="162">
        <f>'дод 2'!J82</f>
        <v>200000</v>
      </c>
      <c r="J46" s="162">
        <f>'дод 2'!K82</f>
        <v>200000</v>
      </c>
      <c r="K46" s="162">
        <f>'дод 2'!L82</f>
        <v>0</v>
      </c>
      <c r="L46" s="162">
        <f>'дод 2'!M82</f>
        <v>0</v>
      </c>
      <c r="M46" s="162">
        <f>'дод 2'!N82</f>
        <v>0</v>
      </c>
      <c r="N46" s="162">
        <f>'дод 2'!O82</f>
        <v>200000</v>
      </c>
      <c r="O46" s="162">
        <f>'дод 2'!P82</f>
        <v>12383400</v>
      </c>
    </row>
    <row r="47" spans="1:15" s="51" customFormat="1" ht="35.25" customHeight="1" x14ac:dyDescent="0.25">
      <c r="A47" s="84">
        <v>1031</v>
      </c>
      <c r="B47" s="56" t="s">
        <v>50</v>
      </c>
      <c r="C47" s="57" t="s">
        <v>487</v>
      </c>
      <c r="D47" s="162">
        <f>'дод 2'!E83</f>
        <v>530977270</v>
      </c>
      <c r="E47" s="162">
        <f>'дод 2'!F83</f>
        <v>530977270</v>
      </c>
      <c r="F47" s="162">
        <f>'дод 2'!G83</f>
        <v>433878000</v>
      </c>
      <c r="G47" s="162">
        <f>'дод 2'!H83</f>
        <v>0</v>
      </c>
      <c r="H47" s="162">
        <f>'дод 2'!I83</f>
        <v>0</v>
      </c>
      <c r="I47" s="162">
        <f>'дод 2'!J83</f>
        <v>0</v>
      </c>
      <c r="J47" s="162">
        <f>'дод 2'!K83</f>
        <v>0</v>
      </c>
      <c r="K47" s="162">
        <f>'дод 2'!L83</f>
        <v>0</v>
      </c>
      <c r="L47" s="162">
        <f>'дод 2'!M83</f>
        <v>0</v>
      </c>
      <c r="M47" s="162">
        <f>'дод 2'!N83</f>
        <v>0</v>
      </c>
      <c r="N47" s="162">
        <f>'дод 2'!O83</f>
        <v>0</v>
      </c>
      <c r="O47" s="162">
        <f>'дод 2'!P83</f>
        <v>530977270</v>
      </c>
    </row>
    <row r="48" spans="1:15" s="51" customFormat="1" ht="31.5" x14ac:dyDescent="0.25">
      <c r="A48" s="71"/>
      <c r="B48" s="71"/>
      <c r="C48" s="79" t="s">
        <v>384</v>
      </c>
      <c r="D48" s="163">
        <f>'дод 2'!E84</f>
        <v>528463300</v>
      </c>
      <c r="E48" s="163">
        <f>'дод 2'!F84</f>
        <v>528463300</v>
      </c>
      <c r="F48" s="163">
        <f>'дод 2'!G84</f>
        <v>433878000</v>
      </c>
      <c r="G48" s="163">
        <f>'дод 2'!H84</f>
        <v>0</v>
      </c>
      <c r="H48" s="163">
        <f>'дод 2'!I84</f>
        <v>0</v>
      </c>
      <c r="I48" s="163">
        <f>'дод 2'!J84</f>
        <v>0</v>
      </c>
      <c r="J48" s="163">
        <f>'дод 2'!K84</f>
        <v>0</v>
      </c>
      <c r="K48" s="163">
        <f>'дод 2'!L84</f>
        <v>0</v>
      </c>
      <c r="L48" s="163">
        <f>'дод 2'!M84</f>
        <v>0</v>
      </c>
      <c r="M48" s="163">
        <f>'дод 2'!N84</f>
        <v>0</v>
      </c>
      <c r="N48" s="163">
        <f>'дод 2'!O84</f>
        <v>0</v>
      </c>
      <c r="O48" s="163">
        <f>'дод 2'!P84</f>
        <v>528463300</v>
      </c>
    </row>
    <row r="49" spans="1:15" ht="50.25" customHeight="1" x14ac:dyDescent="0.25">
      <c r="A49" s="37"/>
      <c r="B49" s="37"/>
      <c r="C49" s="79" t="s">
        <v>379</v>
      </c>
      <c r="D49" s="163">
        <f>'дод 2'!E85</f>
        <v>2513970</v>
      </c>
      <c r="E49" s="163">
        <f>'дод 2'!F85</f>
        <v>2513970</v>
      </c>
      <c r="F49" s="163">
        <f>'дод 2'!G85</f>
        <v>0</v>
      </c>
      <c r="G49" s="163">
        <f>'дод 2'!H85</f>
        <v>0</v>
      </c>
      <c r="H49" s="163">
        <f>'дод 2'!I85</f>
        <v>0</v>
      </c>
      <c r="I49" s="163">
        <f>'дод 2'!J85</f>
        <v>0</v>
      </c>
      <c r="J49" s="163">
        <f>'дод 2'!K85</f>
        <v>0</v>
      </c>
      <c r="K49" s="163">
        <f>'дод 2'!L85</f>
        <v>0</v>
      </c>
      <c r="L49" s="163">
        <f>'дод 2'!M85</f>
        <v>0</v>
      </c>
      <c r="M49" s="163">
        <f>'дод 2'!N85</f>
        <v>0</v>
      </c>
      <c r="N49" s="163">
        <f>'дод 2'!O85</f>
        <v>0</v>
      </c>
      <c r="O49" s="163">
        <f>'дод 2'!P85</f>
        <v>2513970</v>
      </c>
    </row>
    <row r="50" spans="1:15" ht="63.75" customHeight="1" x14ac:dyDescent="0.25">
      <c r="A50" s="56" t="s">
        <v>460</v>
      </c>
      <c r="B50" s="56" t="s">
        <v>54</v>
      </c>
      <c r="C50" s="57" t="s">
        <v>488</v>
      </c>
      <c r="D50" s="162">
        <f>'дод 2'!E86</f>
        <v>17946200</v>
      </c>
      <c r="E50" s="162">
        <f>'дод 2'!F86</f>
        <v>17946200</v>
      </c>
      <c r="F50" s="162">
        <f>'дод 2'!G86</f>
        <v>14710000</v>
      </c>
      <c r="G50" s="162">
        <f>'дод 2'!H86</f>
        <v>0</v>
      </c>
      <c r="H50" s="162">
        <f>'дод 2'!I86</f>
        <v>0</v>
      </c>
      <c r="I50" s="162">
        <f>'дод 2'!J86</f>
        <v>0</v>
      </c>
      <c r="J50" s="162">
        <f>'дод 2'!K86</f>
        <v>0</v>
      </c>
      <c r="K50" s="162">
        <f>'дод 2'!L86</f>
        <v>0</v>
      </c>
      <c r="L50" s="162">
        <f>'дод 2'!M86</f>
        <v>0</v>
      </c>
      <c r="M50" s="162">
        <f>'дод 2'!N86</f>
        <v>0</v>
      </c>
      <c r="N50" s="162">
        <f>'дод 2'!O86</f>
        <v>0</v>
      </c>
      <c r="O50" s="162">
        <f>'дод 2'!P86</f>
        <v>17946200</v>
      </c>
    </row>
    <row r="51" spans="1:15" ht="31.5" x14ac:dyDescent="0.25">
      <c r="A51" s="37"/>
      <c r="B51" s="37"/>
      <c r="C51" s="79" t="s">
        <v>384</v>
      </c>
      <c r="D51" s="163">
        <f>'дод 2'!E87</f>
        <v>17946200</v>
      </c>
      <c r="E51" s="163">
        <f>'дод 2'!F87</f>
        <v>17946200</v>
      </c>
      <c r="F51" s="163">
        <f>'дод 2'!G87</f>
        <v>14710000</v>
      </c>
      <c r="G51" s="163">
        <f>'дод 2'!H87</f>
        <v>0</v>
      </c>
      <c r="H51" s="163">
        <f>'дод 2'!I87</f>
        <v>0</v>
      </c>
      <c r="I51" s="163">
        <f>'дод 2'!J87</f>
        <v>0</v>
      </c>
      <c r="J51" s="163">
        <f>'дод 2'!K87</f>
        <v>0</v>
      </c>
      <c r="K51" s="163">
        <f>'дод 2'!L87</f>
        <v>0</v>
      </c>
      <c r="L51" s="163">
        <f>'дод 2'!M87</f>
        <v>0</v>
      </c>
      <c r="M51" s="163">
        <f>'дод 2'!N87</f>
        <v>0</v>
      </c>
      <c r="N51" s="163">
        <f>'дод 2'!O87</f>
        <v>0</v>
      </c>
      <c r="O51" s="163">
        <f>'дод 2'!P87</f>
        <v>17946200</v>
      </c>
    </row>
    <row r="52" spans="1:15" ht="66.75" customHeight="1" x14ac:dyDescent="0.25">
      <c r="A52" s="37">
        <v>1035</v>
      </c>
      <c r="B52" s="37" t="s">
        <v>54</v>
      </c>
      <c r="C52" s="36" t="s">
        <v>562</v>
      </c>
      <c r="D52" s="162">
        <f>'дод 2'!E88</f>
        <v>1301700</v>
      </c>
      <c r="E52" s="162">
        <f>'дод 2'!F88</f>
        <v>1301700</v>
      </c>
      <c r="F52" s="162">
        <f>'дод 2'!G88</f>
        <v>1067000</v>
      </c>
      <c r="G52" s="162">
        <f>'дод 2'!H88</f>
        <v>0</v>
      </c>
      <c r="H52" s="162">
        <f>'дод 2'!I88</f>
        <v>0</v>
      </c>
      <c r="I52" s="162">
        <f>'дод 2'!J88</f>
        <v>0</v>
      </c>
      <c r="J52" s="162">
        <f>'дод 2'!K88</f>
        <v>0</v>
      </c>
      <c r="K52" s="162">
        <f>'дод 2'!L88</f>
        <v>0</v>
      </c>
      <c r="L52" s="162">
        <f>'дод 2'!M88</f>
        <v>0</v>
      </c>
      <c r="M52" s="162">
        <f>'дод 2'!N88</f>
        <v>0</v>
      </c>
      <c r="N52" s="162">
        <f>'дод 2'!O88</f>
        <v>0</v>
      </c>
      <c r="O52" s="162">
        <f>'дод 2'!P88</f>
        <v>1301700</v>
      </c>
    </row>
    <row r="53" spans="1:15" ht="31.5" x14ac:dyDescent="0.25">
      <c r="A53" s="37"/>
      <c r="B53" s="37"/>
      <c r="C53" s="79" t="s">
        <v>384</v>
      </c>
      <c r="D53" s="163">
        <f>'дод 2'!E89</f>
        <v>1301700</v>
      </c>
      <c r="E53" s="163">
        <f>'дод 2'!F89</f>
        <v>1301700</v>
      </c>
      <c r="F53" s="163">
        <f>'дод 2'!G89</f>
        <v>1067000</v>
      </c>
      <c r="G53" s="163">
        <f>'дод 2'!H89</f>
        <v>0</v>
      </c>
      <c r="H53" s="163">
        <f>'дод 2'!I89</f>
        <v>0</v>
      </c>
      <c r="I53" s="163">
        <f>'дод 2'!J89</f>
        <v>0</v>
      </c>
      <c r="J53" s="163">
        <f>'дод 2'!K89</f>
        <v>0</v>
      </c>
      <c r="K53" s="163">
        <f>'дод 2'!L89</f>
        <v>0</v>
      </c>
      <c r="L53" s="163">
        <f>'дод 2'!M89</f>
        <v>0</v>
      </c>
      <c r="M53" s="163">
        <f>'дод 2'!N89</f>
        <v>0</v>
      </c>
      <c r="N53" s="163">
        <f>'дод 2'!O89</f>
        <v>0</v>
      </c>
      <c r="O53" s="163">
        <f>'дод 2'!P89</f>
        <v>1301700</v>
      </c>
    </row>
    <row r="54" spans="1:15" ht="31.5" hidden="1" customHeight="1" x14ac:dyDescent="0.25">
      <c r="A54" s="37">
        <v>1061</v>
      </c>
      <c r="B54" s="56" t="s">
        <v>50</v>
      </c>
      <c r="C54" s="36" t="s">
        <v>511</v>
      </c>
      <c r="D54" s="162">
        <f>'дод 2'!E90</f>
        <v>0</v>
      </c>
      <c r="E54" s="162">
        <f>'дод 2'!F90</f>
        <v>0</v>
      </c>
      <c r="F54" s="162">
        <f>'дод 2'!G90</f>
        <v>0</v>
      </c>
      <c r="G54" s="162">
        <f>'дод 2'!H90</f>
        <v>0</v>
      </c>
      <c r="H54" s="162">
        <f>'дод 2'!I90</f>
        <v>0</v>
      </c>
      <c r="I54" s="162">
        <f>'дод 2'!J90</f>
        <v>0</v>
      </c>
      <c r="J54" s="162">
        <f>'дод 2'!K90</f>
        <v>0</v>
      </c>
      <c r="K54" s="162">
        <f>'дод 2'!L90</f>
        <v>0</v>
      </c>
      <c r="L54" s="162">
        <f>'дод 2'!M90</f>
        <v>0</v>
      </c>
      <c r="M54" s="162">
        <f>'дод 2'!N90</f>
        <v>0</v>
      </c>
      <c r="N54" s="162">
        <f>'дод 2'!O90</f>
        <v>0</v>
      </c>
      <c r="O54" s="162">
        <f>'дод 2'!P90</f>
        <v>0</v>
      </c>
    </row>
    <row r="55" spans="1:15" ht="48.75" hidden="1" customHeight="1" x14ac:dyDescent="0.25">
      <c r="A55" s="37"/>
      <c r="B55" s="56"/>
      <c r="C55" s="79" t="s">
        <v>521</v>
      </c>
      <c r="D55" s="163">
        <f>'дод 2'!E91</f>
        <v>0</v>
      </c>
      <c r="E55" s="163">
        <f>'дод 2'!F91</f>
        <v>0</v>
      </c>
      <c r="F55" s="163">
        <f>'дод 2'!G91</f>
        <v>0</v>
      </c>
      <c r="G55" s="163">
        <f>'дод 2'!H91</f>
        <v>0</v>
      </c>
      <c r="H55" s="163">
        <f>'дод 2'!I91</f>
        <v>0</v>
      </c>
      <c r="I55" s="163">
        <f>'дод 2'!J91</f>
        <v>0</v>
      </c>
      <c r="J55" s="163">
        <f>'дод 2'!K91</f>
        <v>0</v>
      </c>
      <c r="K55" s="163">
        <f>'дод 2'!L91</f>
        <v>0</v>
      </c>
      <c r="L55" s="163">
        <f>'дод 2'!M91</f>
        <v>0</v>
      </c>
      <c r="M55" s="163">
        <f>'дод 2'!N91</f>
        <v>0</v>
      </c>
      <c r="N55" s="163">
        <f>'дод 2'!O91</f>
        <v>0</v>
      </c>
      <c r="O55" s="163">
        <f>'дод 2'!P91</f>
        <v>0</v>
      </c>
    </row>
    <row r="56" spans="1:15" s="51" customFormat="1" ht="32.25" hidden="1" customHeight="1" x14ac:dyDescent="0.25">
      <c r="A56" s="71"/>
      <c r="B56" s="76"/>
      <c r="C56" s="79" t="s">
        <v>518</v>
      </c>
      <c r="D56" s="163">
        <f>'дод 2'!E92</f>
        <v>0</v>
      </c>
      <c r="E56" s="163">
        <f>'дод 2'!F92</f>
        <v>0</v>
      </c>
      <c r="F56" s="163">
        <f>'дод 2'!G92</f>
        <v>0</v>
      </c>
      <c r="G56" s="163">
        <f>'дод 2'!H92</f>
        <v>0</v>
      </c>
      <c r="H56" s="163">
        <f>'дод 2'!I92</f>
        <v>0</v>
      </c>
      <c r="I56" s="163">
        <f>'дод 2'!J92</f>
        <v>0</v>
      </c>
      <c r="J56" s="163">
        <f>'дод 2'!K92</f>
        <v>0</v>
      </c>
      <c r="K56" s="163">
        <f>'дод 2'!L92</f>
        <v>0</v>
      </c>
      <c r="L56" s="163">
        <f>'дод 2'!M92</f>
        <v>0</v>
      </c>
      <c r="M56" s="163">
        <f>'дод 2'!N92</f>
        <v>0</v>
      </c>
      <c r="N56" s="163">
        <f>'дод 2'!O92</f>
        <v>0</v>
      </c>
      <c r="O56" s="163">
        <f>'дод 2'!P92</f>
        <v>0</v>
      </c>
    </row>
    <row r="57" spans="1:15" s="51" customFormat="1" ht="69" hidden="1" customHeight="1" x14ac:dyDescent="0.25">
      <c r="A57" s="37">
        <v>1062</v>
      </c>
      <c r="B57" s="56" t="s">
        <v>54</v>
      </c>
      <c r="C57" s="57" t="s">
        <v>488</v>
      </c>
      <c r="D57" s="162">
        <f>'дод 2'!E93</f>
        <v>0</v>
      </c>
      <c r="E57" s="162">
        <f>'дод 2'!F93</f>
        <v>0</v>
      </c>
      <c r="F57" s="162">
        <f>'дод 2'!G93</f>
        <v>0</v>
      </c>
      <c r="G57" s="162">
        <f>'дод 2'!H93</f>
        <v>0</v>
      </c>
      <c r="H57" s="162">
        <f>'дод 2'!I93</f>
        <v>0</v>
      </c>
      <c r="I57" s="162">
        <f>'дод 2'!J93</f>
        <v>0</v>
      </c>
      <c r="J57" s="162">
        <f>'дод 2'!K93</f>
        <v>0</v>
      </c>
      <c r="K57" s="162">
        <f>'дод 2'!L93</f>
        <v>0</v>
      </c>
      <c r="L57" s="162">
        <f>'дод 2'!M93</f>
        <v>0</v>
      </c>
      <c r="M57" s="162">
        <f>'дод 2'!N93</f>
        <v>0</v>
      </c>
      <c r="N57" s="162">
        <f>'дод 2'!O93</f>
        <v>0</v>
      </c>
      <c r="O57" s="162">
        <f>'дод 2'!P93</f>
        <v>0</v>
      </c>
    </row>
    <row r="58" spans="1:15" s="51" customFormat="1" ht="32.25" hidden="1" customHeight="1" x14ac:dyDescent="0.25">
      <c r="A58" s="71"/>
      <c r="B58" s="76"/>
      <c r="C58" s="79" t="s">
        <v>518</v>
      </c>
      <c r="D58" s="163">
        <f>'дод 2'!E94</f>
        <v>0</v>
      </c>
      <c r="E58" s="163">
        <f>'дод 2'!F94</f>
        <v>0</v>
      </c>
      <c r="F58" s="163">
        <f>'дод 2'!G94</f>
        <v>0</v>
      </c>
      <c r="G58" s="163">
        <f>'дод 2'!H94</f>
        <v>0</v>
      </c>
      <c r="H58" s="163">
        <f>'дод 2'!I94</f>
        <v>0</v>
      </c>
      <c r="I58" s="163">
        <f>'дод 2'!J94</f>
        <v>0</v>
      </c>
      <c r="J58" s="163">
        <f>'дод 2'!K94</f>
        <v>0</v>
      </c>
      <c r="K58" s="163">
        <f>'дод 2'!L94</f>
        <v>0</v>
      </c>
      <c r="L58" s="163">
        <f>'дод 2'!M94</f>
        <v>0</v>
      </c>
      <c r="M58" s="163">
        <f>'дод 2'!N94</f>
        <v>0</v>
      </c>
      <c r="N58" s="163">
        <f>'дод 2'!O94</f>
        <v>0</v>
      </c>
      <c r="O58" s="163">
        <f>'дод 2'!P94</f>
        <v>0</v>
      </c>
    </row>
    <row r="59" spans="1:15" s="51" customFormat="1" ht="38.25" customHeight="1" x14ac:dyDescent="0.25">
      <c r="A59" s="56" t="s">
        <v>53</v>
      </c>
      <c r="B59" s="56" t="s">
        <v>56</v>
      </c>
      <c r="C59" s="57" t="s">
        <v>360</v>
      </c>
      <c r="D59" s="162">
        <f>'дод 2'!E95</f>
        <v>43917700</v>
      </c>
      <c r="E59" s="162">
        <f>'дод 2'!F95</f>
        <v>43917700</v>
      </c>
      <c r="F59" s="162">
        <f>'дод 2'!G95</f>
        <v>30235200</v>
      </c>
      <c r="G59" s="162">
        <f>'дод 2'!H95</f>
        <v>5804900</v>
      </c>
      <c r="H59" s="162">
        <f>'дод 2'!I95</f>
        <v>0</v>
      </c>
      <c r="I59" s="162">
        <f>'дод 2'!J95</f>
        <v>400000</v>
      </c>
      <c r="J59" s="162">
        <f>'дод 2'!K95</f>
        <v>400000</v>
      </c>
      <c r="K59" s="162">
        <f>'дод 2'!L95</f>
        <v>0</v>
      </c>
      <c r="L59" s="162">
        <f>'дод 2'!M95</f>
        <v>0</v>
      </c>
      <c r="M59" s="162">
        <f>'дод 2'!N95</f>
        <v>0</v>
      </c>
      <c r="N59" s="162">
        <f>'дод 2'!O95</f>
        <v>400000</v>
      </c>
      <c r="O59" s="162">
        <f>'дод 2'!P95</f>
        <v>44317700</v>
      </c>
    </row>
    <row r="60" spans="1:15" s="51" customFormat="1" ht="27.75" customHeight="1" x14ac:dyDescent="0.25">
      <c r="A60" s="84">
        <v>1080</v>
      </c>
      <c r="B60" s="56" t="s">
        <v>56</v>
      </c>
      <c r="C60" s="57" t="s">
        <v>577</v>
      </c>
      <c r="D60" s="162">
        <f>'дод 2'!E220</f>
        <v>55584500</v>
      </c>
      <c r="E60" s="162">
        <f>'дод 2'!F220</f>
        <v>55584500</v>
      </c>
      <c r="F60" s="162">
        <f>'дод 2'!G220</f>
        <v>43494200</v>
      </c>
      <c r="G60" s="162">
        <f>'дод 2'!H220</f>
        <v>1592300</v>
      </c>
      <c r="H60" s="162">
        <f>'дод 2'!I220</f>
        <v>0</v>
      </c>
      <c r="I60" s="162">
        <f>'дод 2'!J220</f>
        <v>3174570</v>
      </c>
      <c r="J60" s="162">
        <f>'дод 2'!K220</f>
        <v>300000</v>
      </c>
      <c r="K60" s="162">
        <f>'дод 2'!L220</f>
        <v>2871440</v>
      </c>
      <c r="L60" s="162">
        <f>'дод 2'!M220</f>
        <v>2346150</v>
      </c>
      <c r="M60" s="162">
        <f>'дод 2'!N220</f>
        <v>0</v>
      </c>
      <c r="N60" s="162">
        <f>'дод 2'!O220</f>
        <v>303130</v>
      </c>
      <c r="O60" s="162">
        <f>'дод 2'!P220</f>
        <v>58759070</v>
      </c>
    </row>
    <row r="61" spans="1:15" s="51" customFormat="1" ht="47.25" x14ac:dyDescent="0.25">
      <c r="A61" s="84">
        <v>1091</v>
      </c>
      <c r="B61" s="56" t="s">
        <v>602</v>
      </c>
      <c r="C61" s="57" t="s">
        <v>603</v>
      </c>
      <c r="D61" s="162">
        <f>'дод 2'!E96</f>
        <v>149164200</v>
      </c>
      <c r="E61" s="162">
        <f>'дод 2'!F96</f>
        <v>149164200</v>
      </c>
      <c r="F61" s="162">
        <f>'дод 2'!G96</f>
        <v>78676200</v>
      </c>
      <c r="G61" s="162">
        <f>'дод 2'!H96</f>
        <v>20084950</v>
      </c>
      <c r="H61" s="162">
        <f>'дод 2'!I96</f>
        <v>0</v>
      </c>
      <c r="I61" s="162">
        <f>'дод 2'!J96</f>
        <v>10665879</v>
      </c>
      <c r="J61" s="162">
        <f>'дод 2'!K96</f>
        <v>0</v>
      </c>
      <c r="K61" s="162">
        <f>'дод 2'!L96</f>
        <v>10583189</v>
      </c>
      <c r="L61" s="162">
        <f>'дод 2'!M96</f>
        <v>2780588</v>
      </c>
      <c r="M61" s="162">
        <f>'дод 2'!N96</f>
        <v>4889684</v>
      </c>
      <c r="N61" s="162">
        <f>'дод 2'!O96</f>
        <v>82690</v>
      </c>
      <c r="O61" s="162">
        <f>'дод 2'!P96</f>
        <v>159830079</v>
      </c>
    </row>
    <row r="62" spans="1:15" s="51" customFormat="1" ht="62.25" customHeight="1" x14ac:dyDescent="0.25">
      <c r="A62" s="84">
        <v>1092</v>
      </c>
      <c r="B62" s="56" t="s">
        <v>602</v>
      </c>
      <c r="C62" s="57" t="s">
        <v>605</v>
      </c>
      <c r="D62" s="162">
        <f>'дод 2'!E97</f>
        <v>24077400</v>
      </c>
      <c r="E62" s="162">
        <f>'дод 2'!F97</f>
        <v>24077400</v>
      </c>
      <c r="F62" s="162">
        <f>'дод 2'!G97</f>
        <v>19735600</v>
      </c>
      <c r="G62" s="162">
        <f>'дод 2'!H97</f>
        <v>0</v>
      </c>
      <c r="H62" s="162">
        <f>'дод 2'!I97</f>
        <v>0</v>
      </c>
      <c r="I62" s="162">
        <f>'дод 2'!J97</f>
        <v>0</v>
      </c>
      <c r="J62" s="162">
        <f>'дод 2'!K97</f>
        <v>0</v>
      </c>
      <c r="K62" s="162">
        <f>'дод 2'!L97</f>
        <v>0</v>
      </c>
      <c r="L62" s="162">
        <f>'дод 2'!M97</f>
        <v>0</v>
      </c>
      <c r="M62" s="162">
        <f>'дод 2'!N97</f>
        <v>0</v>
      </c>
      <c r="N62" s="162">
        <f>'дод 2'!O97</f>
        <v>0</v>
      </c>
      <c r="O62" s="162">
        <f>'дод 2'!P97</f>
        <v>24077400</v>
      </c>
    </row>
    <row r="63" spans="1:15" s="51" customFormat="1" ht="31.5" x14ac:dyDescent="0.25">
      <c r="A63" s="97"/>
      <c r="B63" s="76"/>
      <c r="C63" s="79" t="s">
        <v>384</v>
      </c>
      <c r="D63" s="163">
        <f>'дод 2'!E98</f>
        <v>24077400</v>
      </c>
      <c r="E63" s="163">
        <f>'дод 2'!F98</f>
        <v>24077400</v>
      </c>
      <c r="F63" s="163">
        <f>'дод 2'!G98</f>
        <v>19735600</v>
      </c>
      <c r="G63" s="163">
        <f>'дод 2'!H98</f>
        <v>0</v>
      </c>
      <c r="H63" s="163">
        <f>'дод 2'!I98</f>
        <v>0</v>
      </c>
      <c r="I63" s="163">
        <f>'дод 2'!J98</f>
        <v>0</v>
      </c>
      <c r="J63" s="163">
        <f>'дод 2'!K98</f>
        <v>0</v>
      </c>
      <c r="K63" s="163">
        <f>'дод 2'!L98</f>
        <v>0</v>
      </c>
      <c r="L63" s="163">
        <f>'дод 2'!M98</f>
        <v>0</v>
      </c>
      <c r="M63" s="163">
        <f>'дод 2'!N98</f>
        <v>0</v>
      </c>
      <c r="N63" s="163">
        <f>'дод 2'!O98</f>
        <v>0</v>
      </c>
      <c r="O63" s="163">
        <f>'дод 2'!P98</f>
        <v>24077400</v>
      </c>
    </row>
    <row r="64" spans="1:15" s="51" customFormat="1" ht="29.25" customHeight="1" x14ac:dyDescent="0.25">
      <c r="A64" s="56" t="s">
        <v>463</v>
      </c>
      <c r="B64" s="56" t="s">
        <v>57</v>
      </c>
      <c r="C64" s="36" t="s">
        <v>492</v>
      </c>
      <c r="D64" s="162">
        <f>'дод 2'!E99</f>
        <v>13057600</v>
      </c>
      <c r="E64" s="162">
        <f>'дод 2'!F99</f>
        <v>13057600</v>
      </c>
      <c r="F64" s="162">
        <f>'дод 2'!G99</f>
        <v>9323800</v>
      </c>
      <c r="G64" s="162">
        <f>'дод 2'!H99</f>
        <v>1054400</v>
      </c>
      <c r="H64" s="162">
        <f>'дод 2'!I99</f>
        <v>0</v>
      </c>
      <c r="I64" s="162">
        <f>'дод 2'!J99</f>
        <v>100000</v>
      </c>
      <c r="J64" s="162">
        <f>'дод 2'!K99</f>
        <v>100000</v>
      </c>
      <c r="K64" s="162">
        <f>'дод 2'!L99</f>
        <v>0</v>
      </c>
      <c r="L64" s="162">
        <f>'дод 2'!M99</f>
        <v>0</v>
      </c>
      <c r="M64" s="162">
        <f>'дод 2'!N99</f>
        <v>0</v>
      </c>
      <c r="N64" s="162">
        <f>'дод 2'!O99</f>
        <v>100000</v>
      </c>
      <c r="O64" s="162">
        <f>'дод 2'!P99</f>
        <v>13157600</v>
      </c>
    </row>
    <row r="65" spans="1:15" ht="24" customHeight="1" x14ac:dyDescent="0.25">
      <c r="A65" s="56" t="s">
        <v>465</v>
      </c>
      <c r="B65" s="56" t="s">
        <v>57</v>
      </c>
      <c r="C65" s="36" t="s">
        <v>278</v>
      </c>
      <c r="D65" s="162">
        <f>'дод 2'!E100</f>
        <v>1124100</v>
      </c>
      <c r="E65" s="162">
        <f>'дод 2'!F100</f>
        <v>1124100</v>
      </c>
      <c r="F65" s="162">
        <f>'дод 2'!G100</f>
        <v>0</v>
      </c>
      <c r="G65" s="162">
        <f>'дод 2'!H100</f>
        <v>0</v>
      </c>
      <c r="H65" s="162">
        <f>'дод 2'!I100</f>
        <v>0</v>
      </c>
      <c r="I65" s="162">
        <f>'дод 2'!J100</f>
        <v>0</v>
      </c>
      <c r="J65" s="162">
        <f>'дод 2'!K100</f>
        <v>0</v>
      </c>
      <c r="K65" s="162">
        <f>'дод 2'!L100</f>
        <v>0</v>
      </c>
      <c r="L65" s="162">
        <f>'дод 2'!M100</f>
        <v>0</v>
      </c>
      <c r="M65" s="162">
        <f>'дод 2'!N100</f>
        <v>0</v>
      </c>
      <c r="N65" s="162">
        <f>'дод 2'!O100</f>
        <v>0</v>
      </c>
      <c r="O65" s="162">
        <f>'дод 2'!P100</f>
        <v>1124100</v>
      </c>
    </row>
    <row r="66" spans="1:15" ht="31.5" x14ac:dyDescent="0.25">
      <c r="A66" s="56" t="s">
        <v>467</v>
      </c>
      <c r="B66" s="56" t="s">
        <v>57</v>
      </c>
      <c r="C66" s="57" t="s">
        <v>468</v>
      </c>
      <c r="D66" s="162">
        <f>'дод 2'!E101</f>
        <v>556800</v>
      </c>
      <c r="E66" s="162">
        <f>'дод 2'!F101</f>
        <v>556800</v>
      </c>
      <c r="F66" s="162">
        <f>'дод 2'!G101</f>
        <v>312400</v>
      </c>
      <c r="G66" s="162">
        <f>'дод 2'!H101</f>
        <v>118400</v>
      </c>
      <c r="H66" s="162">
        <f>'дод 2'!I101</f>
        <v>0</v>
      </c>
      <c r="I66" s="162">
        <f>'дод 2'!J101</f>
        <v>0</v>
      </c>
      <c r="J66" s="162">
        <f>'дод 2'!K101</f>
        <v>0</v>
      </c>
      <c r="K66" s="162">
        <f>'дод 2'!L101</f>
        <v>0</v>
      </c>
      <c r="L66" s="162">
        <f>'дод 2'!M101</f>
        <v>0</v>
      </c>
      <c r="M66" s="162">
        <f>'дод 2'!N101</f>
        <v>0</v>
      </c>
      <c r="N66" s="162">
        <f>'дод 2'!O101</f>
        <v>0</v>
      </c>
      <c r="O66" s="162">
        <f>'дод 2'!P101</f>
        <v>556800</v>
      </c>
    </row>
    <row r="67" spans="1:15" ht="36.75" customHeight="1" x14ac:dyDescent="0.25">
      <c r="A67" s="56" t="s">
        <v>470</v>
      </c>
      <c r="B67" s="56" t="s">
        <v>57</v>
      </c>
      <c r="C67" s="57" t="s">
        <v>493</v>
      </c>
      <c r="D67" s="162">
        <f>'дод 2'!E102</f>
        <v>1952020</v>
      </c>
      <c r="E67" s="162">
        <f>'дод 2'!F102</f>
        <v>1952020</v>
      </c>
      <c r="F67" s="162">
        <f>'дод 2'!G102</f>
        <v>1600020</v>
      </c>
      <c r="G67" s="162">
        <f>'дод 2'!H102</f>
        <v>0</v>
      </c>
      <c r="H67" s="162">
        <f>'дод 2'!I102</f>
        <v>0</v>
      </c>
      <c r="I67" s="162">
        <f>'дод 2'!J102</f>
        <v>0</v>
      </c>
      <c r="J67" s="162">
        <f>'дод 2'!K102</f>
        <v>0</v>
      </c>
      <c r="K67" s="162">
        <f>'дод 2'!L102</f>
        <v>0</v>
      </c>
      <c r="L67" s="162">
        <f>'дод 2'!M102</f>
        <v>0</v>
      </c>
      <c r="M67" s="162">
        <f>'дод 2'!N102</f>
        <v>0</v>
      </c>
      <c r="N67" s="162">
        <f>'дод 2'!O102</f>
        <v>0</v>
      </c>
      <c r="O67" s="162">
        <f>'дод 2'!P102</f>
        <v>1952020</v>
      </c>
    </row>
    <row r="68" spans="1:15" ht="49.5" customHeight="1" x14ac:dyDescent="0.25">
      <c r="A68" s="37"/>
      <c r="B68" s="37"/>
      <c r="C68" s="79" t="s">
        <v>379</v>
      </c>
      <c r="D68" s="163">
        <f>'дод 2'!E103</f>
        <v>1952020</v>
      </c>
      <c r="E68" s="163">
        <f>'дод 2'!F103</f>
        <v>1952020</v>
      </c>
      <c r="F68" s="163">
        <f>'дод 2'!G103</f>
        <v>1600020</v>
      </c>
      <c r="G68" s="163">
        <f>'дод 2'!H103</f>
        <v>0</v>
      </c>
      <c r="H68" s="163">
        <f>'дод 2'!I103</f>
        <v>0</v>
      </c>
      <c r="I68" s="163">
        <f>'дод 2'!J103</f>
        <v>0</v>
      </c>
      <c r="J68" s="163">
        <f>'дод 2'!K103</f>
        <v>0</v>
      </c>
      <c r="K68" s="163">
        <f>'дод 2'!L103</f>
        <v>0</v>
      </c>
      <c r="L68" s="163">
        <f>'дод 2'!M103</f>
        <v>0</v>
      </c>
      <c r="M68" s="163">
        <f>'дод 2'!N103</f>
        <v>0</v>
      </c>
      <c r="N68" s="163">
        <f>'дод 2'!O103</f>
        <v>0</v>
      </c>
      <c r="O68" s="163">
        <f>'дод 2'!P103</f>
        <v>1952020</v>
      </c>
    </row>
    <row r="69" spans="1:15" s="51" customFormat="1" ht="31.5" x14ac:dyDescent="0.25">
      <c r="A69" s="56" t="s">
        <v>472</v>
      </c>
      <c r="B69" s="56" t="str">
        <f>'дод 5'!A18</f>
        <v>0160</v>
      </c>
      <c r="C69" s="57" t="s">
        <v>473</v>
      </c>
      <c r="D69" s="162">
        <f>'дод 2'!E104</f>
        <v>3137600</v>
      </c>
      <c r="E69" s="162">
        <f>'дод 2'!F104</f>
        <v>3137600</v>
      </c>
      <c r="F69" s="162">
        <f>'дод 2'!G104</f>
        <v>2115300</v>
      </c>
      <c r="G69" s="162">
        <f>'дод 2'!H104</f>
        <v>378300</v>
      </c>
      <c r="H69" s="162">
        <f>'дод 2'!I104</f>
        <v>0</v>
      </c>
      <c r="I69" s="162">
        <f>'дод 2'!J104</f>
        <v>0</v>
      </c>
      <c r="J69" s="162">
        <f>'дод 2'!K104</f>
        <v>0</v>
      </c>
      <c r="K69" s="162">
        <f>'дод 2'!L104</f>
        <v>0</v>
      </c>
      <c r="L69" s="162">
        <f>'дод 2'!M104</f>
        <v>0</v>
      </c>
      <c r="M69" s="162">
        <f>'дод 2'!N104</f>
        <v>0</v>
      </c>
      <c r="N69" s="162">
        <f>'дод 2'!O104</f>
        <v>0</v>
      </c>
      <c r="O69" s="162">
        <f>'дод 2'!P104</f>
        <v>3137600</v>
      </c>
    </row>
    <row r="70" spans="1:15" s="51" customFormat="1" ht="66" customHeight="1" x14ac:dyDescent="0.25">
      <c r="A70" s="56" t="s">
        <v>543</v>
      </c>
      <c r="B70" s="56" t="s">
        <v>57</v>
      </c>
      <c r="C70" s="57" t="s">
        <v>546</v>
      </c>
      <c r="D70" s="162">
        <f>'дод 2'!E105</f>
        <v>0</v>
      </c>
      <c r="E70" s="162">
        <f>'дод 2'!F105</f>
        <v>0</v>
      </c>
      <c r="F70" s="162">
        <f>'дод 2'!G105</f>
        <v>0</v>
      </c>
      <c r="G70" s="162">
        <f>'дод 2'!H105</f>
        <v>0</v>
      </c>
      <c r="H70" s="162">
        <f>'дод 2'!I105</f>
        <v>0</v>
      </c>
      <c r="I70" s="162">
        <f>'дод 2'!J105</f>
        <v>2000000</v>
      </c>
      <c r="J70" s="162">
        <f>'дод 2'!K105</f>
        <v>2000000</v>
      </c>
      <c r="K70" s="162">
        <f>'дод 2'!L105</f>
        <v>0</v>
      </c>
      <c r="L70" s="162">
        <f>'дод 2'!M105</f>
        <v>0</v>
      </c>
      <c r="M70" s="162">
        <f>'дод 2'!N105</f>
        <v>0</v>
      </c>
      <c r="N70" s="162">
        <f>'дод 2'!O105</f>
        <v>2000000</v>
      </c>
      <c r="O70" s="162">
        <f>'дод 2'!P105</f>
        <v>2000000</v>
      </c>
    </row>
    <row r="71" spans="1:15" s="51" customFormat="1" ht="65.25" hidden="1" customHeight="1" x14ac:dyDescent="0.25">
      <c r="A71" s="56" t="s">
        <v>534</v>
      </c>
      <c r="B71" s="56" t="s">
        <v>57</v>
      </c>
      <c r="C71" s="57" t="s">
        <v>572</v>
      </c>
      <c r="D71" s="141">
        <f>'дод 2'!E106</f>
        <v>0</v>
      </c>
      <c r="E71" s="141">
        <f>'дод 2'!F106</f>
        <v>0</v>
      </c>
      <c r="F71" s="141">
        <f>'дод 2'!G106</f>
        <v>0</v>
      </c>
      <c r="G71" s="141">
        <f>'дод 2'!H106</f>
        <v>0</v>
      </c>
      <c r="H71" s="141">
        <f>'дод 2'!I106</f>
        <v>0</v>
      </c>
      <c r="I71" s="141">
        <f>'дод 2'!J106</f>
        <v>0</v>
      </c>
      <c r="J71" s="141">
        <f>'дод 2'!K106</f>
        <v>0</v>
      </c>
      <c r="K71" s="141">
        <f>'дод 2'!L106</f>
        <v>0</v>
      </c>
      <c r="L71" s="141">
        <f>'дод 2'!M106</f>
        <v>0</v>
      </c>
      <c r="M71" s="141">
        <f>'дод 2'!N106</f>
        <v>0</v>
      </c>
      <c r="N71" s="141">
        <f>'дод 2'!O106</f>
        <v>0</v>
      </c>
      <c r="O71" s="141">
        <f>'дод 2'!P106</f>
        <v>0</v>
      </c>
    </row>
    <row r="72" spans="1:15" s="51" customFormat="1" ht="47.25" hidden="1" customHeight="1" x14ac:dyDescent="0.25">
      <c r="A72" s="76"/>
      <c r="B72" s="76"/>
      <c r="C72" s="79" t="s">
        <v>564</v>
      </c>
      <c r="D72" s="142">
        <f>'дод 2'!E107</f>
        <v>0</v>
      </c>
      <c r="E72" s="142">
        <f>'дод 2'!F107</f>
        <v>0</v>
      </c>
      <c r="F72" s="142">
        <f>'дод 2'!G107</f>
        <v>0</v>
      </c>
      <c r="G72" s="142">
        <f>'дод 2'!H107</f>
        <v>0</v>
      </c>
      <c r="H72" s="142">
        <f>'дод 2'!I107</f>
        <v>0</v>
      </c>
      <c r="I72" s="142">
        <f>'дод 2'!J107</f>
        <v>0</v>
      </c>
      <c r="J72" s="142">
        <f>'дод 2'!K107</f>
        <v>0</v>
      </c>
      <c r="K72" s="142">
        <f>'дод 2'!L107</f>
        <v>0</v>
      </c>
      <c r="L72" s="142">
        <f>'дод 2'!M107</f>
        <v>0</v>
      </c>
      <c r="M72" s="142">
        <f>'дод 2'!N107</f>
        <v>0</v>
      </c>
      <c r="N72" s="142">
        <f>'дод 2'!O107</f>
        <v>0</v>
      </c>
      <c r="O72" s="142">
        <f>'дод 2'!P107</f>
        <v>0</v>
      </c>
    </row>
    <row r="73" spans="1:15" s="51" customFormat="1" ht="63" x14ac:dyDescent="0.25">
      <c r="A73" s="56" t="s">
        <v>545</v>
      </c>
      <c r="B73" s="56" t="s">
        <v>57</v>
      </c>
      <c r="C73" s="57" t="s">
        <v>587</v>
      </c>
      <c r="D73" s="141">
        <f>'дод 2'!E108</f>
        <v>3000000</v>
      </c>
      <c r="E73" s="141">
        <f>'дод 2'!F108</f>
        <v>3000000</v>
      </c>
      <c r="F73" s="141">
        <f>'дод 2'!G108</f>
        <v>0</v>
      </c>
      <c r="G73" s="141">
        <f>'дод 2'!H108</f>
        <v>0</v>
      </c>
      <c r="H73" s="141">
        <f>'дод 2'!I108</f>
        <v>0</v>
      </c>
      <c r="I73" s="141">
        <f>'дод 2'!J108</f>
        <v>0</v>
      </c>
      <c r="J73" s="141">
        <f>'дод 2'!K108</f>
        <v>0</v>
      </c>
      <c r="K73" s="141">
        <f>'дод 2'!L108</f>
        <v>0</v>
      </c>
      <c r="L73" s="141">
        <f>'дод 2'!M108</f>
        <v>0</v>
      </c>
      <c r="M73" s="141">
        <f>'дод 2'!N108</f>
        <v>0</v>
      </c>
      <c r="N73" s="141">
        <f>'дод 2'!O108</f>
        <v>0</v>
      </c>
      <c r="O73" s="141">
        <f>'дод 2'!P108</f>
        <v>3000000</v>
      </c>
    </row>
    <row r="74" spans="1:15" s="51" customFormat="1" ht="15.75" hidden="1" customHeight="1" x14ac:dyDescent="0.25">
      <c r="A74" s="76"/>
      <c r="B74" s="76"/>
      <c r="C74" s="79" t="s">
        <v>390</v>
      </c>
      <c r="D74" s="142">
        <f>'дод 2'!E109</f>
        <v>0</v>
      </c>
      <c r="E74" s="142">
        <f>'дод 2'!F109</f>
        <v>0</v>
      </c>
      <c r="F74" s="142">
        <f>'дод 2'!G109</f>
        <v>0</v>
      </c>
      <c r="G74" s="142">
        <f>'дод 2'!H109</f>
        <v>0</v>
      </c>
      <c r="H74" s="142">
        <f>'дод 2'!I109</f>
        <v>0</v>
      </c>
      <c r="I74" s="142">
        <f>'дод 2'!J109</f>
        <v>0</v>
      </c>
      <c r="J74" s="142">
        <f>'дод 2'!K109</f>
        <v>0</v>
      </c>
      <c r="K74" s="142">
        <f>'дод 2'!L109</f>
        <v>0</v>
      </c>
      <c r="L74" s="142">
        <f>'дод 2'!M109</f>
        <v>0</v>
      </c>
      <c r="M74" s="142">
        <f>'дод 2'!N109</f>
        <v>0</v>
      </c>
      <c r="N74" s="142">
        <f>'дод 2'!O109</f>
        <v>0</v>
      </c>
      <c r="O74" s="142">
        <f>'дод 2'!P109</f>
        <v>0</v>
      </c>
    </row>
    <row r="75" spans="1:15" s="51" customFormat="1" ht="78.75" hidden="1" customHeight="1" x14ac:dyDescent="0.25">
      <c r="A75" s="56" t="s">
        <v>535</v>
      </c>
      <c r="B75" s="56" t="s">
        <v>57</v>
      </c>
      <c r="C75" s="57" t="s">
        <v>565</v>
      </c>
      <c r="D75" s="162">
        <f>'дод 2'!E110</f>
        <v>0</v>
      </c>
      <c r="E75" s="162">
        <f>'дод 2'!F110</f>
        <v>0</v>
      </c>
      <c r="F75" s="162">
        <f>'дод 2'!G110</f>
        <v>0</v>
      </c>
      <c r="G75" s="162">
        <f>'дод 2'!H110</f>
        <v>0</v>
      </c>
      <c r="H75" s="162">
        <f>'дод 2'!I110</f>
        <v>0</v>
      </c>
      <c r="I75" s="162">
        <f>'дод 2'!J110</f>
        <v>0</v>
      </c>
      <c r="J75" s="162">
        <f>'дод 2'!K110</f>
        <v>0</v>
      </c>
      <c r="K75" s="162">
        <f>'дод 2'!L110</f>
        <v>0</v>
      </c>
      <c r="L75" s="162">
        <f>'дод 2'!M110</f>
        <v>0</v>
      </c>
      <c r="M75" s="162">
        <f>'дод 2'!N110</f>
        <v>0</v>
      </c>
      <c r="N75" s="162">
        <f>'дод 2'!O110</f>
        <v>0</v>
      </c>
      <c r="O75" s="162">
        <f>'дод 2'!P110</f>
        <v>0</v>
      </c>
    </row>
    <row r="76" spans="1:15" s="51" customFormat="1" ht="68.25" hidden="1" customHeight="1" x14ac:dyDescent="0.25">
      <c r="A76" s="76"/>
      <c r="B76" s="76"/>
      <c r="C76" s="79" t="s">
        <v>536</v>
      </c>
      <c r="D76" s="163">
        <f>'дод 2'!E111</f>
        <v>0</v>
      </c>
      <c r="E76" s="163">
        <f>'дод 2'!F111</f>
        <v>0</v>
      </c>
      <c r="F76" s="163">
        <f>'дод 2'!G111</f>
        <v>0</v>
      </c>
      <c r="G76" s="163">
        <f>'дод 2'!H111</f>
        <v>0</v>
      </c>
      <c r="H76" s="163">
        <f>'дод 2'!I111</f>
        <v>0</v>
      </c>
      <c r="I76" s="163">
        <f>'дод 2'!J111</f>
        <v>0</v>
      </c>
      <c r="J76" s="163">
        <f>'дод 2'!K111</f>
        <v>0</v>
      </c>
      <c r="K76" s="163">
        <f>'дод 2'!L111</f>
        <v>0</v>
      </c>
      <c r="L76" s="163">
        <f>'дод 2'!M111</f>
        <v>0</v>
      </c>
      <c r="M76" s="163">
        <f>'дод 2'!N111</f>
        <v>0</v>
      </c>
      <c r="N76" s="163">
        <f>'дод 2'!O111</f>
        <v>0</v>
      </c>
      <c r="O76" s="163">
        <f>'дод 2'!P111</f>
        <v>0</v>
      </c>
    </row>
    <row r="77" spans="1:15" s="51" customFormat="1" ht="63" hidden="1" customHeight="1" x14ac:dyDescent="0.25">
      <c r="A77" s="56" t="s">
        <v>475</v>
      </c>
      <c r="B77" s="56" t="s">
        <v>57</v>
      </c>
      <c r="C77" s="85" t="s">
        <v>494</v>
      </c>
      <c r="D77" s="162">
        <f>'дод 2'!E112</f>
        <v>0</v>
      </c>
      <c r="E77" s="162">
        <f>'дод 2'!F112</f>
        <v>0</v>
      </c>
      <c r="F77" s="162">
        <f>'дод 2'!G112</f>
        <v>0</v>
      </c>
      <c r="G77" s="162">
        <f>'дод 2'!H112</f>
        <v>0</v>
      </c>
      <c r="H77" s="162">
        <f>'дод 2'!I112</f>
        <v>0</v>
      </c>
      <c r="I77" s="162">
        <f>'дод 2'!J112</f>
        <v>0</v>
      </c>
      <c r="J77" s="162">
        <f>'дод 2'!K112</f>
        <v>0</v>
      </c>
      <c r="K77" s="162">
        <f>'дод 2'!L112</f>
        <v>0</v>
      </c>
      <c r="L77" s="162">
        <f>'дод 2'!M112</f>
        <v>0</v>
      </c>
      <c r="M77" s="162">
        <f>'дод 2'!N112</f>
        <v>0</v>
      </c>
      <c r="N77" s="162">
        <f>'дод 2'!O112</f>
        <v>0</v>
      </c>
      <c r="O77" s="162">
        <f>'дод 2'!P112</f>
        <v>0</v>
      </c>
    </row>
    <row r="78" spans="1:15" s="51" customFormat="1" ht="65.25" hidden="1" customHeight="1" x14ac:dyDescent="0.25">
      <c r="A78" s="56"/>
      <c r="B78" s="56"/>
      <c r="C78" s="79" t="s">
        <v>378</v>
      </c>
      <c r="D78" s="163">
        <f>'дод 2'!E113</f>
        <v>0</v>
      </c>
      <c r="E78" s="163">
        <f>'дод 2'!F113</f>
        <v>0</v>
      </c>
      <c r="F78" s="163">
        <f>'дод 2'!G113</f>
        <v>0</v>
      </c>
      <c r="G78" s="163">
        <f>'дод 2'!H113</f>
        <v>0</v>
      </c>
      <c r="H78" s="163">
        <f>'дод 2'!I113</f>
        <v>0</v>
      </c>
      <c r="I78" s="163">
        <f>'дод 2'!J113</f>
        <v>0</v>
      </c>
      <c r="J78" s="163">
        <f>'дод 2'!K113</f>
        <v>0</v>
      </c>
      <c r="K78" s="163">
        <f>'дод 2'!L113</f>
        <v>0</v>
      </c>
      <c r="L78" s="163">
        <f>'дод 2'!M113</f>
        <v>0</v>
      </c>
      <c r="M78" s="163">
        <f>'дод 2'!N113</f>
        <v>0</v>
      </c>
      <c r="N78" s="163">
        <f>'дод 2'!O113</f>
        <v>0</v>
      </c>
      <c r="O78" s="163">
        <f>'дод 2'!P113</f>
        <v>0</v>
      </c>
    </row>
    <row r="79" spans="1:15" s="51" customFormat="1" ht="63" hidden="1" customHeight="1" x14ac:dyDescent="0.25">
      <c r="A79" s="56" t="s">
        <v>505</v>
      </c>
      <c r="B79" s="56" t="s">
        <v>57</v>
      </c>
      <c r="C79" s="36" t="s">
        <v>503</v>
      </c>
      <c r="D79" s="162">
        <f>'дод 2'!E114</f>
        <v>0</v>
      </c>
      <c r="E79" s="162">
        <f>'дод 2'!F114</f>
        <v>0</v>
      </c>
      <c r="F79" s="162">
        <f>'дод 2'!G114</f>
        <v>0</v>
      </c>
      <c r="G79" s="162">
        <f>'дод 2'!H114</f>
        <v>0</v>
      </c>
      <c r="H79" s="162">
        <f>'дод 2'!I114</f>
        <v>0</v>
      </c>
      <c r="I79" s="162">
        <f>'дод 2'!J114</f>
        <v>0</v>
      </c>
      <c r="J79" s="162">
        <f>'дод 2'!K114</f>
        <v>0</v>
      </c>
      <c r="K79" s="162">
        <f>'дод 2'!L114</f>
        <v>0</v>
      </c>
      <c r="L79" s="162">
        <f>'дод 2'!M114</f>
        <v>0</v>
      </c>
      <c r="M79" s="162">
        <f>'дод 2'!N114</f>
        <v>0</v>
      </c>
      <c r="N79" s="162">
        <f>'дод 2'!O114</f>
        <v>0</v>
      </c>
      <c r="O79" s="162">
        <f>'дод 2'!P114</f>
        <v>0</v>
      </c>
    </row>
    <row r="80" spans="1:15" s="51" customFormat="1" ht="63" hidden="1" customHeight="1" x14ac:dyDescent="0.25">
      <c r="A80" s="56"/>
      <c r="B80" s="56"/>
      <c r="C80" s="79" t="s">
        <v>504</v>
      </c>
      <c r="D80" s="163">
        <f>'дод 2'!E115</f>
        <v>0</v>
      </c>
      <c r="E80" s="163">
        <f>'дод 2'!F115</f>
        <v>0</v>
      </c>
      <c r="F80" s="163">
        <f>'дод 2'!G115</f>
        <v>0</v>
      </c>
      <c r="G80" s="163">
        <f>'дод 2'!H115</f>
        <v>0</v>
      </c>
      <c r="H80" s="163">
        <f>'дод 2'!I115</f>
        <v>0</v>
      </c>
      <c r="I80" s="163">
        <f>'дод 2'!J115</f>
        <v>0</v>
      </c>
      <c r="J80" s="163">
        <f>'дод 2'!K115</f>
        <v>0</v>
      </c>
      <c r="K80" s="163">
        <f>'дод 2'!L115</f>
        <v>0</v>
      </c>
      <c r="L80" s="163">
        <f>'дод 2'!M115</f>
        <v>0</v>
      </c>
      <c r="M80" s="163">
        <f>'дод 2'!N115</f>
        <v>0</v>
      </c>
      <c r="N80" s="163">
        <f>'дод 2'!O115</f>
        <v>0</v>
      </c>
      <c r="O80" s="163">
        <f>'дод 2'!P115</f>
        <v>0</v>
      </c>
    </row>
    <row r="81" spans="1:15" s="49" customFormat="1" ht="19.5" customHeight="1" x14ac:dyDescent="0.25">
      <c r="A81" s="38" t="s">
        <v>58</v>
      </c>
      <c r="B81" s="39"/>
      <c r="C81" s="9" t="s">
        <v>590</v>
      </c>
      <c r="D81" s="47">
        <f>D86+D91+D93+D95+D97+D100+D101+D90</f>
        <v>100901000</v>
      </c>
      <c r="E81" s="47">
        <f t="shared" ref="E81:O81" si="12">E86+E91+E93+E95+E97+E100+E101+E90</f>
        <v>100901000</v>
      </c>
      <c r="F81" s="47">
        <f t="shared" si="12"/>
        <v>2645800</v>
      </c>
      <c r="G81" s="47">
        <f t="shared" si="12"/>
        <v>158000</v>
      </c>
      <c r="H81" s="47">
        <f t="shared" si="12"/>
        <v>0</v>
      </c>
      <c r="I81" s="47">
        <f t="shared" si="12"/>
        <v>85330000</v>
      </c>
      <c r="J81" s="47">
        <f t="shared" si="12"/>
        <v>85330000</v>
      </c>
      <c r="K81" s="47">
        <f t="shared" si="12"/>
        <v>0</v>
      </c>
      <c r="L81" s="47">
        <f t="shared" si="12"/>
        <v>0</v>
      </c>
      <c r="M81" s="47">
        <f t="shared" si="12"/>
        <v>0</v>
      </c>
      <c r="N81" s="47">
        <f t="shared" si="12"/>
        <v>85330000</v>
      </c>
      <c r="O81" s="47">
        <f t="shared" si="12"/>
        <v>186231000</v>
      </c>
    </row>
    <row r="82" spans="1:15" s="50" customFormat="1" ht="31.5" hidden="1" customHeight="1" x14ac:dyDescent="0.25">
      <c r="A82" s="65"/>
      <c r="B82" s="68"/>
      <c r="C82" s="69" t="s">
        <v>385</v>
      </c>
      <c r="D82" s="164">
        <f>D87+D92+D94</f>
        <v>0</v>
      </c>
      <c r="E82" s="164">
        <f t="shared" ref="E82:O82" si="13">E87+E92+E94</f>
        <v>0</v>
      </c>
      <c r="F82" s="164">
        <f t="shared" si="13"/>
        <v>0</v>
      </c>
      <c r="G82" s="164">
        <f t="shared" si="13"/>
        <v>0</v>
      </c>
      <c r="H82" s="164">
        <f t="shared" si="13"/>
        <v>0</v>
      </c>
      <c r="I82" s="164">
        <f t="shared" si="13"/>
        <v>0</v>
      </c>
      <c r="J82" s="164">
        <f t="shared" si="13"/>
        <v>0</v>
      </c>
      <c r="K82" s="164">
        <f t="shared" si="13"/>
        <v>0</v>
      </c>
      <c r="L82" s="164">
        <f t="shared" si="13"/>
        <v>0</v>
      </c>
      <c r="M82" s="164">
        <f t="shared" si="13"/>
        <v>0</v>
      </c>
      <c r="N82" s="164">
        <f t="shared" si="13"/>
        <v>0</v>
      </c>
      <c r="O82" s="164">
        <f t="shared" si="13"/>
        <v>0</v>
      </c>
    </row>
    <row r="83" spans="1:15" s="50" customFormat="1" ht="47.25" hidden="1" customHeight="1" x14ac:dyDescent="0.25">
      <c r="A83" s="65"/>
      <c r="B83" s="68"/>
      <c r="C83" s="69" t="s">
        <v>386</v>
      </c>
      <c r="D83" s="164">
        <f>D88+D98</f>
        <v>0</v>
      </c>
      <c r="E83" s="164">
        <f t="shared" ref="E83:O83" si="14">E88+E98</f>
        <v>0</v>
      </c>
      <c r="F83" s="164">
        <f t="shared" si="14"/>
        <v>0</v>
      </c>
      <c r="G83" s="164">
        <f t="shared" si="14"/>
        <v>0</v>
      </c>
      <c r="H83" s="164">
        <f t="shared" si="14"/>
        <v>0</v>
      </c>
      <c r="I83" s="164">
        <f t="shared" si="14"/>
        <v>0</v>
      </c>
      <c r="J83" s="164">
        <f t="shared" si="14"/>
        <v>0</v>
      </c>
      <c r="K83" s="164">
        <f t="shared" si="14"/>
        <v>0</v>
      </c>
      <c r="L83" s="164">
        <f t="shared" si="14"/>
        <v>0</v>
      </c>
      <c r="M83" s="164">
        <f t="shared" si="14"/>
        <v>0</v>
      </c>
      <c r="N83" s="164">
        <f t="shared" si="14"/>
        <v>0</v>
      </c>
      <c r="O83" s="164">
        <f t="shared" si="14"/>
        <v>0</v>
      </c>
    </row>
    <row r="84" spans="1:15" s="50" customFormat="1" ht="66.75" hidden="1" customHeight="1" x14ac:dyDescent="0.25">
      <c r="A84" s="65"/>
      <c r="B84" s="68"/>
      <c r="C84" s="69" t="s">
        <v>387</v>
      </c>
      <c r="D84" s="164">
        <f>D96+D99</f>
        <v>0</v>
      </c>
      <c r="E84" s="164">
        <f t="shared" ref="E84:O84" si="15">E96+E99</f>
        <v>0</v>
      </c>
      <c r="F84" s="164">
        <f t="shared" si="15"/>
        <v>0</v>
      </c>
      <c r="G84" s="164">
        <f t="shared" si="15"/>
        <v>0</v>
      </c>
      <c r="H84" s="164">
        <f t="shared" si="15"/>
        <v>0</v>
      </c>
      <c r="I84" s="164">
        <f t="shared" si="15"/>
        <v>0</v>
      </c>
      <c r="J84" s="164">
        <f t="shared" si="15"/>
        <v>0</v>
      </c>
      <c r="K84" s="164">
        <f t="shared" si="15"/>
        <v>0</v>
      </c>
      <c r="L84" s="164">
        <f t="shared" si="15"/>
        <v>0</v>
      </c>
      <c r="M84" s="164">
        <f t="shared" si="15"/>
        <v>0</v>
      </c>
      <c r="N84" s="164">
        <f t="shared" si="15"/>
        <v>0</v>
      </c>
      <c r="O84" s="164">
        <f t="shared" si="15"/>
        <v>0</v>
      </c>
    </row>
    <row r="85" spans="1:15" s="50" customFormat="1" ht="15.75" hidden="1" customHeight="1" x14ac:dyDescent="0.25">
      <c r="A85" s="65"/>
      <c r="B85" s="68"/>
      <c r="C85" s="69" t="s">
        <v>388</v>
      </c>
      <c r="D85" s="164">
        <f>D89</f>
        <v>0</v>
      </c>
      <c r="E85" s="164">
        <f t="shared" ref="E85:O85" si="16">E89</f>
        <v>0</v>
      </c>
      <c r="F85" s="164">
        <f t="shared" si="16"/>
        <v>0</v>
      </c>
      <c r="G85" s="164">
        <f t="shared" si="16"/>
        <v>0</v>
      </c>
      <c r="H85" s="164">
        <f t="shared" si="16"/>
        <v>0</v>
      </c>
      <c r="I85" s="164">
        <f t="shared" si="16"/>
        <v>0</v>
      </c>
      <c r="J85" s="164">
        <f t="shared" si="16"/>
        <v>0</v>
      </c>
      <c r="K85" s="164">
        <f t="shared" si="16"/>
        <v>0</v>
      </c>
      <c r="L85" s="164">
        <f t="shared" si="16"/>
        <v>0</v>
      </c>
      <c r="M85" s="164">
        <f t="shared" si="16"/>
        <v>0</v>
      </c>
      <c r="N85" s="164">
        <f t="shared" si="16"/>
        <v>0</v>
      </c>
      <c r="O85" s="164">
        <f t="shared" si="16"/>
        <v>0</v>
      </c>
    </row>
    <row r="86" spans="1:15" ht="33" customHeight="1" x14ac:dyDescent="0.25">
      <c r="A86" s="37" t="s">
        <v>59</v>
      </c>
      <c r="B86" s="37" t="s">
        <v>60</v>
      </c>
      <c r="C86" s="6" t="s">
        <v>589</v>
      </c>
      <c r="D86" s="162">
        <f>'дод 2'!E141+'дод 2'!E285</f>
        <v>52837500</v>
      </c>
      <c r="E86" s="162">
        <f>'дод 2'!F141+'дод 2'!F285</f>
        <v>52837500</v>
      </c>
      <c r="F86" s="162">
        <f>'дод 2'!G141+'дод 2'!G285</f>
        <v>0</v>
      </c>
      <c r="G86" s="162">
        <f>'дод 2'!H141+'дод 2'!H285</f>
        <v>0</v>
      </c>
      <c r="H86" s="162">
        <f>'дод 2'!I141+'дод 2'!I285</f>
        <v>0</v>
      </c>
      <c r="I86" s="162">
        <f>'дод 2'!J141+'дод 2'!J285</f>
        <v>5000000</v>
      </c>
      <c r="J86" s="162">
        <f>'дод 2'!K141+'дод 2'!K285</f>
        <v>5000000</v>
      </c>
      <c r="K86" s="162">
        <f>'дод 2'!L141+'дод 2'!L285</f>
        <v>0</v>
      </c>
      <c r="L86" s="162">
        <f>'дод 2'!M141+'дод 2'!M285</f>
        <v>0</v>
      </c>
      <c r="M86" s="162">
        <f>'дод 2'!N141+'дод 2'!N285</f>
        <v>0</v>
      </c>
      <c r="N86" s="162">
        <f>'дод 2'!O141+'дод 2'!O285</f>
        <v>5000000</v>
      </c>
      <c r="O86" s="162">
        <f>'дод 2'!P141+'дод 2'!P285</f>
        <v>57837500</v>
      </c>
    </row>
    <row r="87" spans="1:15" s="51" customFormat="1" ht="31.5" hidden="1" customHeight="1" x14ac:dyDescent="0.25">
      <c r="A87" s="71"/>
      <c r="B87" s="71"/>
      <c r="C87" s="72" t="s">
        <v>385</v>
      </c>
      <c r="D87" s="163">
        <f>'дод 2'!E142</f>
        <v>0</v>
      </c>
      <c r="E87" s="163">
        <f>'дод 2'!F142</f>
        <v>0</v>
      </c>
      <c r="F87" s="163">
        <f>'дод 2'!G142</f>
        <v>0</v>
      </c>
      <c r="G87" s="163">
        <f>'дод 2'!H142</f>
        <v>0</v>
      </c>
      <c r="H87" s="163">
        <f>'дод 2'!I142</f>
        <v>0</v>
      </c>
      <c r="I87" s="163">
        <f>'дод 2'!J142</f>
        <v>0</v>
      </c>
      <c r="J87" s="163">
        <f>'дод 2'!K142</f>
        <v>0</v>
      </c>
      <c r="K87" s="163">
        <f>'дод 2'!L142</f>
        <v>0</v>
      </c>
      <c r="L87" s="163">
        <f>'дод 2'!M142</f>
        <v>0</v>
      </c>
      <c r="M87" s="163">
        <f>'дод 2'!N142</f>
        <v>0</v>
      </c>
      <c r="N87" s="163">
        <f>'дод 2'!O142</f>
        <v>0</v>
      </c>
      <c r="O87" s="163">
        <f>'дод 2'!P142</f>
        <v>0</v>
      </c>
    </row>
    <row r="88" spans="1:15" s="51" customFormat="1" ht="47.25" hidden="1" customHeight="1" x14ac:dyDescent="0.25">
      <c r="A88" s="71"/>
      <c r="B88" s="71"/>
      <c r="C88" s="72" t="s">
        <v>386</v>
      </c>
      <c r="D88" s="163">
        <f>'дод 2'!E143</f>
        <v>0</v>
      </c>
      <c r="E88" s="163">
        <f>'дод 2'!F143</f>
        <v>0</v>
      </c>
      <c r="F88" s="163">
        <f>'дод 2'!G143</f>
        <v>0</v>
      </c>
      <c r="G88" s="163">
        <f>'дод 2'!H143</f>
        <v>0</v>
      </c>
      <c r="H88" s="163">
        <f>'дод 2'!I143</f>
        <v>0</v>
      </c>
      <c r="I88" s="163">
        <f>'дод 2'!J143</f>
        <v>0</v>
      </c>
      <c r="J88" s="163">
        <f>'дод 2'!K143</f>
        <v>0</v>
      </c>
      <c r="K88" s="163">
        <f>'дод 2'!L143</f>
        <v>0</v>
      </c>
      <c r="L88" s="163">
        <f>'дод 2'!M143</f>
        <v>0</v>
      </c>
      <c r="M88" s="163">
        <f>'дод 2'!N143</f>
        <v>0</v>
      </c>
      <c r="N88" s="163">
        <f>'дод 2'!O143</f>
        <v>0</v>
      </c>
      <c r="O88" s="163">
        <f>'дод 2'!P143</f>
        <v>0</v>
      </c>
    </row>
    <row r="89" spans="1:15" s="51" customFormat="1" ht="15.75" hidden="1" customHeight="1" x14ac:dyDescent="0.25">
      <c r="A89" s="71"/>
      <c r="B89" s="71"/>
      <c r="C89" s="72" t="s">
        <v>388</v>
      </c>
      <c r="D89" s="163">
        <f>'дод 2'!E144</f>
        <v>0</v>
      </c>
      <c r="E89" s="163">
        <f>'дод 2'!F144</f>
        <v>0</v>
      </c>
      <c r="F89" s="163">
        <f>'дод 2'!G144</f>
        <v>0</v>
      </c>
      <c r="G89" s="163">
        <f>'дод 2'!H144</f>
        <v>0</v>
      </c>
      <c r="H89" s="163">
        <f>'дод 2'!I144</f>
        <v>0</v>
      </c>
      <c r="I89" s="163">
        <f>'дод 2'!J144</f>
        <v>0</v>
      </c>
      <c r="J89" s="163">
        <f>'дод 2'!K144</f>
        <v>0</v>
      </c>
      <c r="K89" s="163">
        <f>'дод 2'!L144</f>
        <v>0</v>
      </c>
      <c r="L89" s="163">
        <f>'дод 2'!M144</f>
        <v>0</v>
      </c>
      <c r="M89" s="163">
        <f>'дод 2'!N144</f>
        <v>0</v>
      </c>
      <c r="N89" s="163">
        <f>'дод 2'!O144</f>
        <v>0</v>
      </c>
      <c r="O89" s="163">
        <f>'дод 2'!P144</f>
        <v>0</v>
      </c>
    </row>
    <row r="90" spans="1:15" ht="31.5" hidden="1" customHeight="1" x14ac:dyDescent="0.25">
      <c r="A90" s="37">
        <v>2020</v>
      </c>
      <c r="B90" s="55" t="s">
        <v>437</v>
      </c>
      <c r="C90" s="6" t="s">
        <v>438</v>
      </c>
      <c r="D90" s="162">
        <f>'дод 2'!E145</f>
        <v>0</v>
      </c>
      <c r="E90" s="162">
        <f>'дод 2'!F145</f>
        <v>0</v>
      </c>
      <c r="F90" s="162">
        <f>'дод 2'!G145</f>
        <v>0</v>
      </c>
      <c r="G90" s="162">
        <f>'дод 2'!H145</f>
        <v>0</v>
      </c>
      <c r="H90" s="162">
        <f>'дод 2'!I145</f>
        <v>0</v>
      </c>
      <c r="I90" s="162">
        <f>'дод 2'!J145</f>
        <v>0</v>
      </c>
      <c r="J90" s="162">
        <f>'дод 2'!K145</f>
        <v>0</v>
      </c>
      <c r="K90" s="162">
        <f>'дод 2'!L145</f>
        <v>0</v>
      </c>
      <c r="L90" s="162">
        <f>'дод 2'!M145</f>
        <v>0</v>
      </c>
      <c r="M90" s="162">
        <f>'дод 2'!N145</f>
        <v>0</v>
      </c>
      <c r="N90" s="162">
        <f>'дод 2'!O145</f>
        <v>0</v>
      </c>
      <c r="O90" s="162">
        <f>'дод 2'!P145</f>
        <v>0</v>
      </c>
    </row>
    <row r="91" spans="1:15" ht="36.75" customHeight="1" x14ac:dyDescent="0.25">
      <c r="A91" s="37" t="s">
        <v>118</v>
      </c>
      <c r="B91" s="37" t="s">
        <v>61</v>
      </c>
      <c r="C91" s="6" t="s">
        <v>451</v>
      </c>
      <c r="D91" s="162">
        <f>'дод 2'!E146</f>
        <v>5125600</v>
      </c>
      <c r="E91" s="162">
        <f>'дод 2'!F146</f>
        <v>5125600</v>
      </c>
      <c r="F91" s="162">
        <f>'дод 2'!G146</f>
        <v>0</v>
      </c>
      <c r="G91" s="162">
        <f>'дод 2'!H146</f>
        <v>0</v>
      </c>
      <c r="H91" s="162">
        <f>'дод 2'!I146</f>
        <v>0</v>
      </c>
      <c r="I91" s="162">
        <f>'дод 2'!J146</f>
        <v>0</v>
      </c>
      <c r="J91" s="162">
        <f>'дод 2'!K146</f>
        <v>0</v>
      </c>
      <c r="K91" s="162">
        <f>'дод 2'!L146</f>
        <v>0</v>
      </c>
      <c r="L91" s="162">
        <f>'дод 2'!M146</f>
        <v>0</v>
      </c>
      <c r="M91" s="162">
        <f>'дод 2'!N146</f>
        <v>0</v>
      </c>
      <c r="N91" s="162">
        <f>'дод 2'!O146</f>
        <v>0</v>
      </c>
      <c r="O91" s="162">
        <f>'дод 2'!P146</f>
        <v>5125600</v>
      </c>
    </row>
    <row r="92" spans="1:15" s="51" customFormat="1" ht="31.5" hidden="1" customHeight="1" x14ac:dyDescent="0.25">
      <c r="A92" s="71"/>
      <c r="B92" s="71"/>
      <c r="C92" s="72" t="s">
        <v>385</v>
      </c>
      <c r="D92" s="163">
        <f>'дод 2'!E147</f>
        <v>0</v>
      </c>
      <c r="E92" s="163">
        <f>'дод 2'!F147</f>
        <v>0</v>
      </c>
      <c r="F92" s="163">
        <f>'дод 2'!G147</f>
        <v>0</v>
      </c>
      <c r="G92" s="163">
        <f>'дод 2'!H147</f>
        <v>0</v>
      </c>
      <c r="H92" s="163">
        <f>'дод 2'!I147</f>
        <v>0</v>
      </c>
      <c r="I92" s="163">
        <f>'дод 2'!J147</f>
        <v>0</v>
      </c>
      <c r="J92" s="163">
        <f>'дод 2'!K147</f>
        <v>0</v>
      </c>
      <c r="K92" s="163">
        <f>'дод 2'!L147</f>
        <v>0</v>
      </c>
      <c r="L92" s="163">
        <f>'дод 2'!M147</f>
        <v>0</v>
      </c>
      <c r="M92" s="163">
        <f>'дод 2'!N147</f>
        <v>0</v>
      </c>
      <c r="N92" s="163">
        <f>'дод 2'!O147</f>
        <v>0</v>
      </c>
      <c r="O92" s="163">
        <f>'дод 2'!P147</f>
        <v>0</v>
      </c>
    </row>
    <row r="93" spans="1:15" ht="19.5" customHeight="1" x14ac:dyDescent="0.25">
      <c r="A93" s="37" t="s">
        <v>119</v>
      </c>
      <c r="B93" s="37" t="s">
        <v>62</v>
      </c>
      <c r="C93" s="6" t="s">
        <v>452</v>
      </c>
      <c r="D93" s="162">
        <f>'дод 2'!E148</f>
        <v>12388700</v>
      </c>
      <c r="E93" s="162">
        <f>'дод 2'!F148</f>
        <v>12388700</v>
      </c>
      <c r="F93" s="162">
        <f>'дод 2'!G148</f>
        <v>0</v>
      </c>
      <c r="G93" s="162">
        <f>'дод 2'!H148</f>
        <v>0</v>
      </c>
      <c r="H93" s="162">
        <f>'дод 2'!I148</f>
        <v>0</v>
      </c>
      <c r="I93" s="162">
        <f>'дод 2'!J148</f>
        <v>0</v>
      </c>
      <c r="J93" s="162">
        <f>'дод 2'!K148</f>
        <v>0</v>
      </c>
      <c r="K93" s="162">
        <f>'дод 2'!L148</f>
        <v>0</v>
      </c>
      <c r="L93" s="162">
        <f>'дод 2'!M148</f>
        <v>0</v>
      </c>
      <c r="M93" s="162">
        <f>'дод 2'!N148</f>
        <v>0</v>
      </c>
      <c r="N93" s="162">
        <f>'дод 2'!O148</f>
        <v>0</v>
      </c>
      <c r="O93" s="162">
        <f>'дод 2'!P148</f>
        <v>12388700</v>
      </c>
    </row>
    <row r="94" spans="1:15" s="51" customFormat="1" ht="31.5" hidden="1" customHeight="1" x14ac:dyDescent="0.25">
      <c r="A94" s="71"/>
      <c r="B94" s="71"/>
      <c r="C94" s="72" t="s">
        <v>385</v>
      </c>
      <c r="D94" s="163">
        <f>'дод 2'!E149</f>
        <v>0</v>
      </c>
      <c r="E94" s="163">
        <f>'дод 2'!F149</f>
        <v>0</v>
      </c>
      <c r="F94" s="163">
        <f>'дод 2'!G149</f>
        <v>0</v>
      </c>
      <c r="G94" s="163">
        <f>'дод 2'!H149</f>
        <v>0</v>
      </c>
      <c r="H94" s="163">
        <f>'дод 2'!I149</f>
        <v>0</v>
      </c>
      <c r="I94" s="163">
        <f>'дод 2'!J149</f>
        <v>0</v>
      </c>
      <c r="J94" s="163">
        <f>'дод 2'!K149</f>
        <v>0</v>
      </c>
      <c r="K94" s="163">
        <f>'дод 2'!L149</f>
        <v>0</v>
      </c>
      <c r="L94" s="163">
        <f>'дод 2'!M149</f>
        <v>0</v>
      </c>
      <c r="M94" s="163">
        <f>'дод 2'!N149</f>
        <v>0</v>
      </c>
      <c r="N94" s="163">
        <f>'дод 2'!O149</f>
        <v>0</v>
      </c>
      <c r="O94" s="163">
        <f>'дод 2'!P149</f>
        <v>0</v>
      </c>
    </row>
    <row r="95" spans="1:15" ht="48.75" customHeight="1" x14ac:dyDescent="0.25">
      <c r="A95" s="37" t="s">
        <v>120</v>
      </c>
      <c r="B95" s="37" t="s">
        <v>308</v>
      </c>
      <c r="C95" s="6" t="s">
        <v>453</v>
      </c>
      <c r="D95" s="162">
        <f>'дод 2'!E150</f>
        <v>5307100</v>
      </c>
      <c r="E95" s="162">
        <f>'дод 2'!F150</f>
        <v>5307100</v>
      </c>
      <c r="F95" s="162">
        <f>'дод 2'!G150</f>
        <v>0</v>
      </c>
      <c r="G95" s="162">
        <f>'дод 2'!H150</f>
        <v>0</v>
      </c>
      <c r="H95" s="162">
        <f>'дод 2'!I150</f>
        <v>0</v>
      </c>
      <c r="I95" s="162">
        <f>'дод 2'!J150</f>
        <v>0</v>
      </c>
      <c r="J95" s="162">
        <f>'дод 2'!K150</f>
        <v>0</v>
      </c>
      <c r="K95" s="162">
        <f>'дод 2'!L150</f>
        <v>0</v>
      </c>
      <c r="L95" s="162">
        <f>'дод 2'!M150</f>
        <v>0</v>
      </c>
      <c r="M95" s="162">
        <f>'дод 2'!N150</f>
        <v>0</v>
      </c>
      <c r="N95" s="162">
        <f>'дод 2'!O150</f>
        <v>0</v>
      </c>
      <c r="O95" s="162">
        <f>'дод 2'!P150</f>
        <v>5307100</v>
      </c>
    </row>
    <row r="96" spans="1:15" s="51" customFormat="1" ht="47.25" hidden="1" customHeight="1" x14ac:dyDescent="0.25">
      <c r="A96" s="71"/>
      <c r="B96" s="71"/>
      <c r="C96" s="73" t="s">
        <v>387</v>
      </c>
      <c r="D96" s="163">
        <f>'дод 2'!E151</f>
        <v>0</v>
      </c>
      <c r="E96" s="163">
        <f>'дод 2'!F151</f>
        <v>0</v>
      </c>
      <c r="F96" s="163">
        <f>'дод 2'!G151</f>
        <v>0</v>
      </c>
      <c r="G96" s="163">
        <f>'дод 2'!H151</f>
        <v>0</v>
      </c>
      <c r="H96" s="163">
        <f>'дод 2'!I151</f>
        <v>0</v>
      </c>
      <c r="I96" s="163">
        <f>'дод 2'!J151</f>
        <v>0</v>
      </c>
      <c r="J96" s="163">
        <f>'дод 2'!K151</f>
        <v>0</v>
      </c>
      <c r="K96" s="163">
        <f>'дод 2'!L151</f>
        <v>0</v>
      </c>
      <c r="L96" s="163">
        <f>'дод 2'!M151</f>
        <v>0</v>
      </c>
      <c r="M96" s="163">
        <f>'дод 2'!N151</f>
        <v>0</v>
      </c>
      <c r="N96" s="163">
        <f>'дод 2'!O151</f>
        <v>0</v>
      </c>
      <c r="O96" s="163">
        <f>'дод 2'!P151</f>
        <v>0</v>
      </c>
    </row>
    <row r="97" spans="1:15" ht="31.5" hidden="1" customHeight="1" x14ac:dyDescent="0.25">
      <c r="A97" s="40">
        <v>2144</v>
      </c>
      <c r="B97" s="37" t="s">
        <v>63</v>
      </c>
      <c r="C97" s="6" t="s">
        <v>398</v>
      </c>
      <c r="D97" s="162">
        <f>'дод 2'!E152</f>
        <v>0</v>
      </c>
      <c r="E97" s="162">
        <f>'дод 2'!F152</f>
        <v>0</v>
      </c>
      <c r="F97" s="162">
        <f>'дод 2'!G152</f>
        <v>0</v>
      </c>
      <c r="G97" s="162">
        <f>'дод 2'!H152</f>
        <v>0</v>
      </c>
      <c r="H97" s="162">
        <f>'дод 2'!I152</f>
        <v>0</v>
      </c>
      <c r="I97" s="162">
        <f>'дод 2'!J152</f>
        <v>0</v>
      </c>
      <c r="J97" s="162">
        <f>'дод 2'!K152</f>
        <v>0</v>
      </c>
      <c r="K97" s="162">
        <f>'дод 2'!L152</f>
        <v>0</v>
      </c>
      <c r="L97" s="162">
        <f>'дод 2'!M152</f>
        <v>0</v>
      </c>
      <c r="M97" s="162">
        <f>'дод 2'!N152</f>
        <v>0</v>
      </c>
      <c r="N97" s="162">
        <f>'дод 2'!O152</f>
        <v>0</v>
      </c>
      <c r="O97" s="162">
        <f>'дод 2'!P152</f>
        <v>0</v>
      </c>
    </row>
    <row r="98" spans="1:15" s="51" customFormat="1" ht="47.25" hidden="1" customHeight="1" x14ac:dyDescent="0.25">
      <c r="A98" s="74"/>
      <c r="B98" s="71"/>
      <c r="C98" s="72" t="s">
        <v>386</v>
      </c>
      <c r="D98" s="163">
        <f>'дод 2'!E153</f>
        <v>0</v>
      </c>
      <c r="E98" s="163">
        <f>'дод 2'!F153</f>
        <v>0</v>
      </c>
      <c r="F98" s="163">
        <f>'дод 2'!G153</f>
        <v>0</v>
      </c>
      <c r="G98" s="163">
        <f>'дод 2'!H153</f>
        <v>0</v>
      </c>
      <c r="H98" s="163">
        <f>'дод 2'!I153</f>
        <v>0</v>
      </c>
      <c r="I98" s="163">
        <f>'дод 2'!J153</f>
        <v>0</v>
      </c>
      <c r="J98" s="163">
        <f>'дод 2'!K153</f>
        <v>0</v>
      </c>
      <c r="K98" s="163">
        <f>'дод 2'!L153</f>
        <v>0</v>
      </c>
      <c r="L98" s="163">
        <f>'дод 2'!M153</f>
        <v>0</v>
      </c>
      <c r="M98" s="163">
        <f>'дод 2'!N153</f>
        <v>0</v>
      </c>
      <c r="N98" s="163">
        <f>'дод 2'!O153</f>
        <v>0</v>
      </c>
      <c r="O98" s="163">
        <f>'дод 2'!P153</f>
        <v>0</v>
      </c>
    </row>
    <row r="99" spans="1:15" s="51" customFormat="1" ht="63" hidden="1" customHeight="1" x14ac:dyDescent="0.25">
      <c r="A99" s="74"/>
      <c r="B99" s="71"/>
      <c r="C99" s="72" t="s">
        <v>387</v>
      </c>
      <c r="D99" s="163">
        <f>'дод 2'!E154</f>
        <v>0</v>
      </c>
      <c r="E99" s="163">
        <f>'дод 2'!F154</f>
        <v>0</v>
      </c>
      <c r="F99" s="163">
        <f>'дод 2'!G154</f>
        <v>0</v>
      </c>
      <c r="G99" s="163">
        <f>'дод 2'!H154</f>
        <v>0</v>
      </c>
      <c r="H99" s="163">
        <f>'дод 2'!I154</f>
        <v>0</v>
      </c>
      <c r="I99" s="163">
        <f>'дод 2'!J154</f>
        <v>0</v>
      </c>
      <c r="J99" s="163">
        <f>'дод 2'!K154</f>
        <v>0</v>
      </c>
      <c r="K99" s="163">
        <f>'дод 2'!L154</f>
        <v>0</v>
      </c>
      <c r="L99" s="163">
        <f>'дод 2'!M154</f>
        <v>0</v>
      </c>
      <c r="M99" s="163">
        <f>'дод 2'!N154</f>
        <v>0</v>
      </c>
      <c r="N99" s="163">
        <f>'дод 2'!O154</f>
        <v>0</v>
      </c>
      <c r="O99" s="163">
        <f>'дод 2'!P154</f>
        <v>0</v>
      </c>
    </row>
    <row r="100" spans="1:15" ht="33.75" customHeight="1" x14ac:dyDescent="0.25">
      <c r="A100" s="37" t="s">
        <v>279</v>
      </c>
      <c r="B100" s="37" t="s">
        <v>63</v>
      </c>
      <c r="C100" s="3" t="s">
        <v>595</v>
      </c>
      <c r="D100" s="162">
        <f>'дод 2'!E155</f>
        <v>3518500</v>
      </c>
      <c r="E100" s="162">
        <f>'дод 2'!F155</f>
        <v>3518500</v>
      </c>
      <c r="F100" s="162">
        <f>'дод 2'!G155</f>
        <v>2645800</v>
      </c>
      <c r="G100" s="162">
        <f>'дод 2'!H155</f>
        <v>158000</v>
      </c>
      <c r="H100" s="162">
        <f>'дод 2'!I155</f>
        <v>0</v>
      </c>
      <c r="I100" s="162">
        <f>'дод 2'!J155</f>
        <v>300000</v>
      </c>
      <c r="J100" s="162">
        <f>'дод 2'!K155</f>
        <v>300000</v>
      </c>
      <c r="K100" s="162">
        <f>'дод 2'!L155</f>
        <v>0</v>
      </c>
      <c r="L100" s="162">
        <f>'дод 2'!M155</f>
        <v>0</v>
      </c>
      <c r="M100" s="162">
        <f>'дод 2'!N155</f>
        <v>0</v>
      </c>
      <c r="N100" s="162">
        <f>'дод 2'!O155</f>
        <v>300000</v>
      </c>
      <c r="O100" s="162">
        <f>'дод 2'!P155</f>
        <v>3818500</v>
      </c>
    </row>
    <row r="101" spans="1:15" ht="21.75" customHeight="1" x14ac:dyDescent="0.25">
      <c r="A101" s="37" t="s">
        <v>280</v>
      </c>
      <c r="B101" s="37" t="s">
        <v>63</v>
      </c>
      <c r="C101" s="3" t="s">
        <v>596</v>
      </c>
      <c r="D101" s="162">
        <f>'дод 2'!E156</f>
        <v>21723600</v>
      </c>
      <c r="E101" s="162">
        <f>'дод 2'!F156</f>
        <v>21723600</v>
      </c>
      <c r="F101" s="162">
        <f>'дод 2'!G156</f>
        <v>0</v>
      </c>
      <c r="G101" s="162">
        <f>'дод 2'!H156</f>
        <v>0</v>
      </c>
      <c r="H101" s="162">
        <f>'дод 2'!I156</f>
        <v>0</v>
      </c>
      <c r="I101" s="162">
        <f>'дод 2'!J156</f>
        <v>80030000</v>
      </c>
      <c r="J101" s="162">
        <f>'дод 2'!K156</f>
        <v>80030000</v>
      </c>
      <c r="K101" s="162">
        <f>'дод 2'!L156</f>
        <v>0</v>
      </c>
      <c r="L101" s="162">
        <f>'дод 2'!M156</f>
        <v>0</v>
      </c>
      <c r="M101" s="162">
        <f>'дод 2'!N156</f>
        <v>0</v>
      </c>
      <c r="N101" s="162">
        <f>'дод 2'!O156</f>
        <v>80030000</v>
      </c>
      <c r="O101" s="162">
        <f>'дод 2'!P156</f>
        <v>101753600</v>
      </c>
    </row>
    <row r="102" spans="1:15" s="49" customFormat="1" ht="33" customHeight="1" x14ac:dyDescent="0.25">
      <c r="A102" s="38" t="s">
        <v>64</v>
      </c>
      <c r="B102" s="41"/>
      <c r="C102" s="2" t="s">
        <v>495</v>
      </c>
      <c r="D102" s="47">
        <f>D108+D109+D110+D112+D113+D114+D116+D118+D119+D120+D121+D122+D124+D125+D126+D128+D130+D131+D132+D133+D134+D135+D137+D141+D142+D123</f>
        <v>195875333</v>
      </c>
      <c r="E102" s="47">
        <f t="shared" ref="E102:O102" si="17">E108+E109+E110+E112+E113+E114+E116+E118+E119+E120+E121+E122+E124+E125+E126+E128+E130+E131+E132+E133+E134+E135+E137+E141+E142+E123</f>
        <v>195875333</v>
      </c>
      <c r="F102" s="47">
        <f t="shared" si="17"/>
        <v>24880000</v>
      </c>
      <c r="G102" s="47">
        <f t="shared" si="17"/>
        <v>2128300</v>
      </c>
      <c r="H102" s="47">
        <f t="shared" si="17"/>
        <v>0</v>
      </c>
      <c r="I102" s="47">
        <f t="shared" si="17"/>
        <v>2103200</v>
      </c>
      <c r="J102" s="47">
        <f t="shared" si="17"/>
        <v>1872000</v>
      </c>
      <c r="K102" s="47">
        <f t="shared" si="17"/>
        <v>201758</v>
      </c>
      <c r="L102" s="47">
        <f t="shared" si="17"/>
        <v>78600</v>
      </c>
      <c r="M102" s="47">
        <f t="shared" si="17"/>
        <v>45558</v>
      </c>
      <c r="N102" s="47">
        <f t="shared" si="17"/>
        <v>1901442</v>
      </c>
      <c r="O102" s="47">
        <f t="shared" si="17"/>
        <v>197978533</v>
      </c>
    </row>
    <row r="103" spans="1:15" s="50" customFormat="1" ht="262.5" hidden="1" customHeight="1" x14ac:dyDescent="0.25">
      <c r="A103" s="65"/>
      <c r="B103" s="66"/>
      <c r="C103" s="69" t="s">
        <v>434</v>
      </c>
      <c r="D103" s="164">
        <f>D136</f>
        <v>0</v>
      </c>
      <c r="E103" s="164">
        <f t="shared" ref="E103:O103" si="18">E136</f>
        <v>0</v>
      </c>
      <c r="F103" s="164">
        <f t="shared" si="18"/>
        <v>0</v>
      </c>
      <c r="G103" s="164">
        <f t="shared" si="18"/>
        <v>0</v>
      </c>
      <c r="H103" s="164">
        <f t="shared" si="18"/>
        <v>0</v>
      </c>
      <c r="I103" s="164">
        <f t="shared" si="18"/>
        <v>0</v>
      </c>
      <c r="J103" s="164">
        <f t="shared" si="18"/>
        <v>0</v>
      </c>
      <c r="K103" s="164">
        <f t="shared" si="18"/>
        <v>0</v>
      </c>
      <c r="L103" s="164">
        <f t="shared" si="18"/>
        <v>0</v>
      </c>
      <c r="M103" s="164">
        <f t="shared" si="18"/>
        <v>0</v>
      </c>
      <c r="N103" s="164">
        <f t="shared" si="18"/>
        <v>0</v>
      </c>
      <c r="O103" s="164">
        <f t="shared" si="18"/>
        <v>0</v>
      </c>
    </row>
    <row r="104" spans="1:15" s="50" customFormat="1" ht="231" hidden="1" customHeight="1" x14ac:dyDescent="0.25">
      <c r="A104" s="65"/>
      <c r="B104" s="66"/>
      <c r="C104" s="69" t="s">
        <v>433</v>
      </c>
      <c r="D104" s="164">
        <f>D140</f>
        <v>0</v>
      </c>
      <c r="E104" s="164">
        <f t="shared" ref="E104:O104" si="19">E140</f>
        <v>0</v>
      </c>
      <c r="F104" s="164">
        <f t="shared" si="19"/>
        <v>0</v>
      </c>
      <c r="G104" s="164">
        <f t="shared" si="19"/>
        <v>0</v>
      </c>
      <c r="H104" s="164">
        <f t="shared" si="19"/>
        <v>0</v>
      </c>
      <c r="I104" s="164">
        <f t="shared" si="19"/>
        <v>0</v>
      </c>
      <c r="J104" s="164">
        <f t="shared" si="19"/>
        <v>0</v>
      </c>
      <c r="K104" s="164">
        <f t="shared" si="19"/>
        <v>0</v>
      </c>
      <c r="L104" s="164">
        <f t="shared" si="19"/>
        <v>0</v>
      </c>
      <c r="M104" s="164">
        <f t="shared" si="19"/>
        <v>0</v>
      </c>
      <c r="N104" s="164">
        <f t="shared" si="19"/>
        <v>0</v>
      </c>
      <c r="O104" s="164">
        <f t="shared" si="19"/>
        <v>0</v>
      </c>
    </row>
    <row r="105" spans="1:15" s="50" customFormat="1" x14ac:dyDescent="0.25">
      <c r="A105" s="65"/>
      <c r="B105" s="66"/>
      <c r="C105" s="69" t="s">
        <v>390</v>
      </c>
      <c r="D105" s="164">
        <f>D111+D115+D117+D127+D129+D143</f>
        <v>1293200</v>
      </c>
      <c r="E105" s="164">
        <f t="shared" ref="E105:O105" si="20">E111+E115+E117+E127+E129+E143</f>
        <v>1293200</v>
      </c>
      <c r="F105" s="164">
        <f t="shared" si="20"/>
        <v>0</v>
      </c>
      <c r="G105" s="164">
        <f t="shared" si="20"/>
        <v>0</v>
      </c>
      <c r="H105" s="164">
        <f t="shared" si="20"/>
        <v>0</v>
      </c>
      <c r="I105" s="164">
        <f t="shared" si="20"/>
        <v>0</v>
      </c>
      <c r="J105" s="164">
        <f t="shared" si="20"/>
        <v>0</v>
      </c>
      <c r="K105" s="164">
        <f t="shared" si="20"/>
        <v>0</v>
      </c>
      <c r="L105" s="164">
        <f t="shared" si="20"/>
        <v>0</v>
      </c>
      <c r="M105" s="164">
        <f t="shared" si="20"/>
        <v>0</v>
      </c>
      <c r="N105" s="164">
        <f t="shared" si="20"/>
        <v>0</v>
      </c>
      <c r="O105" s="164">
        <f t="shared" si="20"/>
        <v>1293200</v>
      </c>
    </row>
    <row r="106" spans="1:15" s="50" customFormat="1" ht="291" hidden="1" customHeight="1" x14ac:dyDescent="0.25">
      <c r="A106" s="65"/>
      <c r="B106" s="66"/>
      <c r="C106" s="70" t="s">
        <v>549</v>
      </c>
      <c r="D106" s="164">
        <f>D136</f>
        <v>0</v>
      </c>
      <c r="E106" s="164">
        <f t="shared" ref="E106:O106" si="21">E136</f>
        <v>0</v>
      </c>
      <c r="F106" s="164">
        <f t="shared" si="21"/>
        <v>0</v>
      </c>
      <c r="G106" s="164">
        <f t="shared" si="21"/>
        <v>0</v>
      </c>
      <c r="H106" s="164">
        <f t="shared" si="21"/>
        <v>0</v>
      </c>
      <c r="I106" s="164">
        <f t="shared" si="21"/>
        <v>0</v>
      </c>
      <c r="J106" s="164">
        <f t="shared" si="21"/>
        <v>0</v>
      </c>
      <c r="K106" s="164">
        <f t="shared" si="21"/>
        <v>0</v>
      </c>
      <c r="L106" s="164">
        <f t="shared" si="21"/>
        <v>0</v>
      </c>
      <c r="M106" s="164">
        <f t="shared" si="21"/>
        <v>0</v>
      </c>
      <c r="N106" s="164">
        <f t="shared" si="21"/>
        <v>0</v>
      </c>
      <c r="O106" s="164">
        <f t="shared" si="21"/>
        <v>0</v>
      </c>
    </row>
    <row r="107" spans="1:15" s="50" customFormat="1" ht="350.25" hidden="1" customHeight="1" x14ac:dyDescent="0.25">
      <c r="A107" s="65"/>
      <c r="B107" s="66"/>
      <c r="C107" s="70" t="s">
        <v>566</v>
      </c>
      <c r="D107" s="164">
        <f>D138</f>
        <v>0</v>
      </c>
      <c r="E107" s="164">
        <f t="shared" ref="E107:O107" si="22">E138</f>
        <v>0</v>
      </c>
      <c r="F107" s="164">
        <f t="shared" si="22"/>
        <v>0</v>
      </c>
      <c r="G107" s="164">
        <f t="shared" si="22"/>
        <v>0</v>
      </c>
      <c r="H107" s="164">
        <f t="shared" si="22"/>
        <v>0</v>
      </c>
      <c r="I107" s="164">
        <f t="shared" si="22"/>
        <v>0</v>
      </c>
      <c r="J107" s="164">
        <f t="shared" si="22"/>
        <v>0</v>
      </c>
      <c r="K107" s="164">
        <f t="shared" si="22"/>
        <v>0</v>
      </c>
      <c r="L107" s="164">
        <f t="shared" si="22"/>
        <v>0</v>
      </c>
      <c r="M107" s="164">
        <f t="shared" si="22"/>
        <v>0</v>
      </c>
      <c r="N107" s="164">
        <f t="shared" si="22"/>
        <v>0</v>
      </c>
      <c r="O107" s="164">
        <f t="shared" si="22"/>
        <v>0</v>
      </c>
    </row>
    <row r="108" spans="1:15" ht="38.25" customHeight="1" x14ac:dyDescent="0.25">
      <c r="A108" s="37" t="s">
        <v>97</v>
      </c>
      <c r="B108" s="37" t="s">
        <v>51</v>
      </c>
      <c r="C108" s="3" t="s">
        <v>121</v>
      </c>
      <c r="D108" s="162">
        <f>'дод 2'!E174</f>
        <v>675400</v>
      </c>
      <c r="E108" s="162">
        <f>'дод 2'!F174</f>
        <v>675400</v>
      </c>
      <c r="F108" s="162">
        <f>'дод 2'!G174</f>
        <v>0</v>
      </c>
      <c r="G108" s="162">
        <f>'дод 2'!H174</f>
        <v>0</v>
      </c>
      <c r="H108" s="162">
        <f>'дод 2'!I174</f>
        <v>0</v>
      </c>
      <c r="I108" s="162">
        <f>'дод 2'!J174</f>
        <v>0</v>
      </c>
      <c r="J108" s="162">
        <f>'дод 2'!K174</f>
        <v>0</v>
      </c>
      <c r="K108" s="162">
        <f>'дод 2'!L174</f>
        <v>0</v>
      </c>
      <c r="L108" s="162">
        <f>'дод 2'!M174</f>
        <v>0</v>
      </c>
      <c r="M108" s="162">
        <f>'дод 2'!N174</f>
        <v>0</v>
      </c>
      <c r="N108" s="162">
        <f>'дод 2'!O174</f>
        <v>0</v>
      </c>
      <c r="O108" s="162">
        <f>'дод 2'!P174</f>
        <v>675400</v>
      </c>
    </row>
    <row r="109" spans="1:15" ht="36.75" customHeight="1" x14ac:dyDescent="0.25">
      <c r="A109" s="37" t="s">
        <v>122</v>
      </c>
      <c r="B109" s="37" t="s">
        <v>53</v>
      </c>
      <c r="C109" s="3" t="s">
        <v>355</v>
      </c>
      <c r="D109" s="162">
        <f>'дод 2'!E175</f>
        <v>1023300</v>
      </c>
      <c r="E109" s="162">
        <f>'дод 2'!F175</f>
        <v>1023300</v>
      </c>
      <c r="F109" s="162">
        <f>'дод 2'!G175</f>
        <v>0</v>
      </c>
      <c r="G109" s="162">
        <f>'дод 2'!H175</f>
        <v>0</v>
      </c>
      <c r="H109" s="162">
        <f>'дод 2'!I175</f>
        <v>0</v>
      </c>
      <c r="I109" s="162">
        <f>'дод 2'!J175</f>
        <v>0</v>
      </c>
      <c r="J109" s="162">
        <f>'дод 2'!K175</f>
        <v>0</v>
      </c>
      <c r="K109" s="162">
        <f>'дод 2'!L175</f>
        <v>0</v>
      </c>
      <c r="L109" s="162">
        <f>'дод 2'!M175</f>
        <v>0</v>
      </c>
      <c r="M109" s="162">
        <f>'дод 2'!N175</f>
        <v>0</v>
      </c>
      <c r="N109" s="162">
        <f>'дод 2'!O175</f>
        <v>0</v>
      </c>
      <c r="O109" s="162">
        <f>'дод 2'!P175</f>
        <v>1023300</v>
      </c>
    </row>
    <row r="110" spans="1:15" ht="47.25" x14ac:dyDescent="0.25">
      <c r="A110" s="37" t="s">
        <v>98</v>
      </c>
      <c r="B110" s="37" t="s">
        <v>53</v>
      </c>
      <c r="C110" s="3" t="s">
        <v>405</v>
      </c>
      <c r="D110" s="162">
        <f>'дод 2'!E176+'дод 2'!E25</f>
        <v>30572100</v>
      </c>
      <c r="E110" s="162">
        <f>'дод 2'!F176+'дод 2'!F25</f>
        <v>30572100</v>
      </c>
      <c r="F110" s="162">
        <f>'дод 2'!G176+'дод 2'!G25</f>
        <v>0</v>
      </c>
      <c r="G110" s="162">
        <f>'дод 2'!H176+'дод 2'!H25</f>
        <v>0</v>
      </c>
      <c r="H110" s="162">
        <f>'дод 2'!I176+'дод 2'!I25</f>
        <v>0</v>
      </c>
      <c r="I110" s="162">
        <f>'дод 2'!J176+'дод 2'!J25</f>
        <v>0</v>
      </c>
      <c r="J110" s="162">
        <f>'дод 2'!K176+'дод 2'!K25</f>
        <v>0</v>
      </c>
      <c r="K110" s="162">
        <f>'дод 2'!L176+'дод 2'!L25</f>
        <v>0</v>
      </c>
      <c r="L110" s="162">
        <f>'дод 2'!M176+'дод 2'!M25</f>
        <v>0</v>
      </c>
      <c r="M110" s="162">
        <f>'дод 2'!N176+'дод 2'!N25</f>
        <v>0</v>
      </c>
      <c r="N110" s="162">
        <f>'дод 2'!O176+'дод 2'!O25</f>
        <v>0</v>
      </c>
      <c r="O110" s="162">
        <f>'дод 2'!P176+'дод 2'!P25</f>
        <v>30572100</v>
      </c>
    </row>
    <row r="111" spans="1:15" s="51" customFormat="1" ht="21.75" hidden="1" customHeight="1" x14ac:dyDescent="0.25">
      <c r="A111" s="71"/>
      <c r="B111" s="71"/>
      <c r="C111" s="72" t="s">
        <v>388</v>
      </c>
      <c r="D111" s="163">
        <f>'дод 2'!E177</f>
        <v>0</v>
      </c>
      <c r="E111" s="163">
        <f>'дод 2'!F177</f>
        <v>0</v>
      </c>
      <c r="F111" s="163">
        <f>'дод 2'!G177</f>
        <v>0</v>
      </c>
      <c r="G111" s="163">
        <f>'дод 2'!H177</f>
        <v>0</v>
      </c>
      <c r="H111" s="163">
        <f>'дод 2'!I177</f>
        <v>0</v>
      </c>
      <c r="I111" s="163">
        <f>'дод 2'!J177</f>
        <v>0</v>
      </c>
      <c r="J111" s="163">
        <f>'дод 2'!K177</f>
        <v>0</v>
      </c>
      <c r="K111" s="163">
        <f>'дод 2'!L177</f>
        <v>0</v>
      </c>
      <c r="L111" s="163">
        <f>'дод 2'!M177</f>
        <v>0</v>
      </c>
      <c r="M111" s="163">
        <f>'дод 2'!N177</f>
        <v>0</v>
      </c>
      <c r="N111" s="163">
        <f>'дод 2'!O177</f>
        <v>0</v>
      </c>
      <c r="O111" s="163">
        <f>'дод 2'!P177</f>
        <v>0</v>
      </c>
    </row>
    <row r="112" spans="1:15" ht="36" customHeight="1" x14ac:dyDescent="0.25">
      <c r="A112" s="37" t="s">
        <v>318</v>
      </c>
      <c r="B112" s="37" t="s">
        <v>53</v>
      </c>
      <c r="C112" s="3" t="s">
        <v>317</v>
      </c>
      <c r="D112" s="162">
        <f>'дод 2'!E178</f>
        <v>2000000</v>
      </c>
      <c r="E112" s="162">
        <f>'дод 2'!F178</f>
        <v>2000000</v>
      </c>
      <c r="F112" s="162">
        <f>'дод 2'!G178</f>
        <v>0</v>
      </c>
      <c r="G112" s="162">
        <f>'дод 2'!H178</f>
        <v>0</v>
      </c>
      <c r="H112" s="162">
        <f>'дод 2'!I178</f>
        <v>0</v>
      </c>
      <c r="I112" s="162">
        <f>'дод 2'!J178</f>
        <v>0</v>
      </c>
      <c r="J112" s="162">
        <f>'дод 2'!K178</f>
        <v>0</v>
      </c>
      <c r="K112" s="162">
        <f>'дод 2'!L178</f>
        <v>0</v>
      </c>
      <c r="L112" s="162">
        <f>'дод 2'!M178</f>
        <v>0</v>
      </c>
      <c r="M112" s="162">
        <f>'дод 2'!N178</f>
        <v>0</v>
      </c>
      <c r="N112" s="162">
        <f>'дод 2'!O178</f>
        <v>0</v>
      </c>
      <c r="O112" s="162">
        <f>'дод 2'!P178</f>
        <v>2000000</v>
      </c>
    </row>
    <row r="113" spans="1:15" ht="44.25" customHeight="1" x14ac:dyDescent="0.25">
      <c r="A113" s="37" t="s">
        <v>123</v>
      </c>
      <c r="B113" s="37" t="s">
        <v>53</v>
      </c>
      <c r="C113" s="3" t="s">
        <v>19</v>
      </c>
      <c r="D113" s="162">
        <f>'дод 2'!E179+'дод 2'!E26</f>
        <v>60096800</v>
      </c>
      <c r="E113" s="162">
        <f>'дод 2'!F179+'дод 2'!F26</f>
        <v>60096800</v>
      </c>
      <c r="F113" s="162">
        <f>'дод 2'!G179+'дод 2'!G26</f>
        <v>0</v>
      </c>
      <c r="G113" s="162">
        <f>'дод 2'!H179+'дод 2'!H26</f>
        <v>0</v>
      </c>
      <c r="H113" s="162">
        <f>'дод 2'!I179+'дод 2'!I26</f>
        <v>0</v>
      </c>
      <c r="I113" s="162">
        <f>'дод 2'!J179+'дод 2'!J26</f>
        <v>0</v>
      </c>
      <c r="J113" s="162">
        <f>'дод 2'!K179+'дод 2'!K26</f>
        <v>0</v>
      </c>
      <c r="K113" s="162">
        <f>'дод 2'!L179+'дод 2'!L26</f>
        <v>0</v>
      </c>
      <c r="L113" s="162">
        <f>'дод 2'!M179+'дод 2'!M26</f>
        <v>0</v>
      </c>
      <c r="M113" s="162">
        <f>'дод 2'!N179+'дод 2'!N26</f>
        <v>0</v>
      </c>
      <c r="N113" s="162">
        <f>'дод 2'!O179+'дод 2'!O26</f>
        <v>0</v>
      </c>
      <c r="O113" s="162">
        <f>'дод 2'!P179+'дод 2'!P26</f>
        <v>60096800</v>
      </c>
    </row>
    <row r="114" spans="1:15" ht="37.5" customHeight="1" x14ac:dyDescent="0.25">
      <c r="A114" s="37" t="s">
        <v>100</v>
      </c>
      <c r="B114" s="37" t="s">
        <v>53</v>
      </c>
      <c r="C114" s="3" t="s">
        <v>403</v>
      </c>
      <c r="D114" s="162">
        <f>'дод 2'!E180</f>
        <v>713800</v>
      </c>
      <c r="E114" s="162">
        <f>'дод 2'!F180</f>
        <v>713800</v>
      </c>
      <c r="F114" s="162">
        <f>'дод 2'!G180</f>
        <v>0</v>
      </c>
      <c r="G114" s="162">
        <f>'дод 2'!H180</f>
        <v>0</v>
      </c>
      <c r="H114" s="162">
        <f>'дод 2'!I180</f>
        <v>0</v>
      </c>
      <c r="I114" s="162">
        <f>'дод 2'!J180</f>
        <v>0</v>
      </c>
      <c r="J114" s="162">
        <f>'дод 2'!K180</f>
        <v>0</v>
      </c>
      <c r="K114" s="162">
        <f>'дод 2'!L180</f>
        <v>0</v>
      </c>
      <c r="L114" s="162">
        <f>'дод 2'!M180</f>
        <v>0</v>
      </c>
      <c r="M114" s="162">
        <f>'дод 2'!N180</f>
        <v>0</v>
      </c>
      <c r="N114" s="162">
        <f>'дод 2'!O180</f>
        <v>0</v>
      </c>
      <c r="O114" s="162">
        <f>'дод 2'!P180</f>
        <v>713800</v>
      </c>
    </row>
    <row r="115" spans="1:15" s="51" customFormat="1" x14ac:dyDescent="0.25">
      <c r="A115" s="71"/>
      <c r="B115" s="71"/>
      <c r="C115" s="72" t="s">
        <v>388</v>
      </c>
      <c r="D115" s="163">
        <f>'дод 2'!E181</f>
        <v>713800</v>
      </c>
      <c r="E115" s="163">
        <f>'дод 2'!F181</f>
        <v>713800</v>
      </c>
      <c r="F115" s="163">
        <f>'дод 2'!G181</f>
        <v>0</v>
      </c>
      <c r="G115" s="163">
        <f>'дод 2'!H181</f>
        <v>0</v>
      </c>
      <c r="H115" s="163">
        <f>'дод 2'!I181</f>
        <v>0</v>
      </c>
      <c r="I115" s="163">
        <f>'дод 2'!J181</f>
        <v>0</v>
      </c>
      <c r="J115" s="163">
        <f>'дод 2'!K181</f>
        <v>0</v>
      </c>
      <c r="K115" s="163">
        <f>'дод 2'!L181</f>
        <v>0</v>
      </c>
      <c r="L115" s="163">
        <f>'дод 2'!M181</f>
        <v>0</v>
      </c>
      <c r="M115" s="163">
        <f>'дод 2'!N181</f>
        <v>0</v>
      </c>
      <c r="N115" s="163">
        <f>'дод 2'!O181</f>
        <v>0</v>
      </c>
      <c r="O115" s="163">
        <f>'дод 2'!P181</f>
        <v>713800</v>
      </c>
    </row>
    <row r="116" spans="1:15" ht="40.5" customHeight="1" x14ac:dyDescent="0.25">
      <c r="A116" s="37" t="s">
        <v>310</v>
      </c>
      <c r="B116" s="37" t="s">
        <v>51</v>
      </c>
      <c r="C116" s="3" t="s">
        <v>404</v>
      </c>
      <c r="D116" s="162">
        <f>'дод 2'!E182</f>
        <v>260200</v>
      </c>
      <c r="E116" s="162">
        <f>'дод 2'!F182</f>
        <v>260200</v>
      </c>
      <c r="F116" s="162">
        <f>'дод 2'!G182</f>
        <v>0</v>
      </c>
      <c r="G116" s="162">
        <f>'дод 2'!H182</f>
        <v>0</v>
      </c>
      <c r="H116" s="162">
        <f>'дод 2'!I182</f>
        <v>0</v>
      </c>
      <c r="I116" s="162">
        <f>'дод 2'!J182</f>
        <v>0</v>
      </c>
      <c r="J116" s="162">
        <f>'дод 2'!K182</f>
        <v>0</v>
      </c>
      <c r="K116" s="162">
        <f>'дод 2'!L182</f>
        <v>0</v>
      </c>
      <c r="L116" s="162">
        <f>'дод 2'!M182</f>
        <v>0</v>
      </c>
      <c r="M116" s="162">
        <f>'дод 2'!N182</f>
        <v>0</v>
      </c>
      <c r="N116" s="162">
        <f>'дод 2'!O182</f>
        <v>0</v>
      </c>
      <c r="O116" s="162">
        <f>'дод 2'!P182</f>
        <v>260200</v>
      </c>
    </row>
    <row r="117" spans="1:15" s="51" customFormat="1" x14ac:dyDescent="0.25">
      <c r="A117" s="71"/>
      <c r="B117" s="71"/>
      <c r="C117" s="72" t="s">
        <v>388</v>
      </c>
      <c r="D117" s="163">
        <f>'дод 2'!E183</f>
        <v>260200</v>
      </c>
      <c r="E117" s="163">
        <f>'дод 2'!F183</f>
        <v>260200</v>
      </c>
      <c r="F117" s="163">
        <f>'дод 2'!G183</f>
        <v>0</v>
      </c>
      <c r="G117" s="163">
        <f>'дод 2'!H183</f>
        <v>0</v>
      </c>
      <c r="H117" s="163">
        <f>'дод 2'!I183</f>
        <v>0</v>
      </c>
      <c r="I117" s="163">
        <f>'дод 2'!J183</f>
        <v>0</v>
      </c>
      <c r="J117" s="163">
        <f>'дод 2'!K183</f>
        <v>0</v>
      </c>
      <c r="K117" s="163">
        <f>'дод 2'!L183</f>
        <v>0</v>
      </c>
      <c r="L117" s="163">
        <f>'дод 2'!M183</f>
        <v>0</v>
      </c>
      <c r="M117" s="163">
        <f>'дод 2'!N183</f>
        <v>0</v>
      </c>
      <c r="N117" s="163">
        <f>'дод 2'!O183</f>
        <v>0</v>
      </c>
      <c r="O117" s="163">
        <f>'дод 2'!P183</f>
        <v>260200</v>
      </c>
    </row>
    <row r="118" spans="1:15" ht="63.75" customHeight="1" x14ac:dyDescent="0.25">
      <c r="A118" s="37" t="s">
        <v>101</v>
      </c>
      <c r="B118" s="37" t="s">
        <v>49</v>
      </c>
      <c r="C118" s="3" t="s">
        <v>29</v>
      </c>
      <c r="D118" s="162">
        <f>'дод 2'!E184</f>
        <v>20984700</v>
      </c>
      <c r="E118" s="162">
        <f>'дод 2'!F184</f>
        <v>20984700</v>
      </c>
      <c r="F118" s="162">
        <f>'дод 2'!G184</f>
        <v>15797400</v>
      </c>
      <c r="G118" s="162">
        <f>'дод 2'!H184</f>
        <v>658300</v>
      </c>
      <c r="H118" s="162">
        <f>'дод 2'!I184</f>
        <v>0</v>
      </c>
      <c r="I118" s="162">
        <f>'дод 2'!J184</f>
        <v>596200</v>
      </c>
      <c r="J118" s="162">
        <f>'дод 2'!K184</f>
        <v>500000</v>
      </c>
      <c r="K118" s="162">
        <f>'дод 2'!L184</f>
        <v>96200</v>
      </c>
      <c r="L118" s="162">
        <f>'дод 2'!M184</f>
        <v>78600</v>
      </c>
      <c r="M118" s="162">
        <f>'дод 2'!N184</f>
        <v>0</v>
      </c>
      <c r="N118" s="162">
        <f>'дод 2'!O184</f>
        <v>500000</v>
      </c>
      <c r="O118" s="162">
        <f>'дод 2'!P184</f>
        <v>21580900</v>
      </c>
    </row>
    <row r="119" spans="1:15" ht="69.75" customHeight="1" x14ac:dyDescent="0.25">
      <c r="A119" s="37" t="s">
        <v>327</v>
      </c>
      <c r="B119" s="37" t="s">
        <v>99</v>
      </c>
      <c r="C119" s="36" t="s">
        <v>328</v>
      </c>
      <c r="D119" s="162">
        <f>SUM('дод 2'!E212)</f>
        <v>227280</v>
      </c>
      <c r="E119" s="162">
        <f>SUM('дод 2'!F212)</f>
        <v>227280</v>
      </c>
      <c r="F119" s="162">
        <f>SUM('дод 2'!G212)</f>
        <v>0</v>
      </c>
      <c r="G119" s="162">
        <f>SUM('дод 2'!H212)</f>
        <v>0</v>
      </c>
      <c r="H119" s="162">
        <f>SUM('дод 2'!I212)</f>
        <v>0</v>
      </c>
      <c r="I119" s="162">
        <f>SUM('дод 2'!J212)</f>
        <v>0</v>
      </c>
      <c r="J119" s="162">
        <f>SUM('дод 2'!K212)</f>
        <v>0</v>
      </c>
      <c r="K119" s="162">
        <f>SUM('дод 2'!L212)</f>
        <v>0</v>
      </c>
      <c r="L119" s="162">
        <f>SUM('дод 2'!M212)</f>
        <v>0</v>
      </c>
      <c r="M119" s="162">
        <f>SUM('дод 2'!N212)</f>
        <v>0</v>
      </c>
      <c r="N119" s="162">
        <f>SUM('дод 2'!O212)</f>
        <v>0</v>
      </c>
      <c r="O119" s="162">
        <f>SUM('дод 2'!P212)</f>
        <v>227280</v>
      </c>
    </row>
    <row r="120" spans="1:15" s="51" customFormat="1" ht="36" customHeight="1" x14ac:dyDescent="0.25">
      <c r="A120" s="37" t="s">
        <v>102</v>
      </c>
      <c r="B120" s="37" t="s">
        <v>99</v>
      </c>
      <c r="C120" s="3" t="s">
        <v>30</v>
      </c>
      <c r="D120" s="162">
        <f>'дод 2'!E213</f>
        <v>195460</v>
      </c>
      <c r="E120" s="162">
        <f>'дод 2'!F213</f>
        <v>195460</v>
      </c>
      <c r="F120" s="162">
        <f>'дод 2'!G213</f>
        <v>0</v>
      </c>
      <c r="G120" s="162">
        <f>'дод 2'!H213</f>
        <v>0</v>
      </c>
      <c r="H120" s="162">
        <f>'дод 2'!I213</f>
        <v>0</v>
      </c>
      <c r="I120" s="162">
        <f>'дод 2'!J213</f>
        <v>0</v>
      </c>
      <c r="J120" s="162">
        <f>'дод 2'!K213</f>
        <v>0</v>
      </c>
      <c r="K120" s="162">
        <f>'дод 2'!L213</f>
        <v>0</v>
      </c>
      <c r="L120" s="162">
        <f>'дод 2'!M213</f>
        <v>0</v>
      </c>
      <c r="M120" s="162">
        <f>'дод 2'!N213</f>
        <v>0</v>
      </c>
      <c r="N120" s="162">
        <f>'дод 2'!O213</f>
        <v>0</v>
      </c>
      <c r="O120" s="162">
        <f>'дод 2'!P213</f>
        <v>195460</v>
      </c>
    </row>
    <row r="121" spans="1:15" s="51" customFormat="1" ht="38.25" customHeight="1" x14ac:dyDescent="0.25">
      <c r="A121" s="37" t="s">
        <v>124</v>
      </c>
      <c r="B121" s="37" t="s">
        <v>99</v>
      </c>
      <c r="C121" s="3" t="s">
        <v>597</v>
      </c>
      <c r="D121" s="162">
        <f>'дод 2'!E27</f>
        <v>3552000</v>
      </c>
      <c r="E121" s="162">
        <f>'дод 2'!F27</f>
        <v>3552000</v>
      </c>
      <c r="F121" s="162">
        <f>'дод 2'!G27</f>
        <v>2624000</v>
      </c>
      <c r="G121" s="162">
        <f>'дод 2'!H27</f>
        <v>84700</v>
      </c>
      <c r="H121" s="162">
        <f>'дод 2'!I27</f>
        <v>0</v>
      </c>
      <c r="I121" s="162">
        <f>'дод 2'!J27</f>
        <v>200000</v>
      </c>
      <c r="J121" s="162">
        <f>'дод 2'!K27</f>
        <v>200000</v>
      </c>
      <c r="K121" s="162">
        <f>'дод 2'!L27</f>
        <v>0</v>
      </c>
      <c r="L121" s="162">
        <f>'дод 2'!M27</f>
        <v>0</v>
      </c>
      <c r="M121" s="162">
        <f>'дод 2'!N27</f>
        <v>0</v>
      </c>
      <c r="N121" s="162">
        <f>'дод 2'!O27</f>
        <v>200000</v>
      </c>
      <c r="O121" s="162">
        <f>'дод 2'!P27</f>
        <v>3752000</v>
      </c>
    </row>
    <row r="122" spans="1:15" s="51" customFormat="1" ht="55.5" customHeight="1" x14ac:dyDescent="0.25">
      <c r="A122" s="40" t="s">
        <v>106</v>
      </c>
      <c r="B122" s="40" t="s">
        <v>99</v>
      </c>
      <c r="C122" s="3" t="s">
        <v>335</v>
      </c>
      <c r="D122" s="162">
        <f>'дод 2'!E28</f>
        <v>2009310</v>
      </c>
      <c r="E122" s="162">
        <f>'дод 2'!F28</f>
        <v>2009310</v>
      </c>
      <c r="F122" s="162">
        <f>'дод 2'!G28</f>
        <v>0</v>
      </c>
      <c r="G122" s="162">
        <f>'дод 2'!H28</f>
        <v>0</v>
      </c>
      <c r="H122" s="162">
        <f>'дод 2'!I28</f>
        <v>0</v>
      </c>
      <c r="I122" s="162">
        <f>'дод 2'!J28</f>
        <v>0</v>
      </c>
      <c r="J122" s="162">
        <f>'дод 2'!K28</f>
        <v>0</v>
      </c>
      <c r="K122" s="162">
        <f>'дод 2'!L28</f>
        <v>0</v>
      </c>
      <c r="L122" s="162">
        <f>'дод 2'!M28</f>
        <v>0</v>
      </c>
      <c r="M122" s="162">
        <f>'дод 2'!N28</f>
        <v>0</v>
      </c>
      <c r="N122" s="162">
        <f>'дод 2'!O28</f>
        <v>0</v>
      </c>
      <c r="O122" s="162">
        <f>'дод 2'!P28</f>
        <v>2009310</v>
      </c>
    </row>
    <row r="123" spans="1:15" s="51" customFormat="1" ht="26.25" customHeight="1" x14ac:dyDescent="0.25">
      <c r="A123" s="40">
        <v>3133</v>
      </c>
      <c r="B123" s="40">
        <v>1040</v>
      </c>
      <c r="C123" s="3" t="s">
        <v>580</v>
      </c>
      <c r="D123" s="162">
        <f>'дод 2'!E29</f>
        <v>5884800</v>
      </c>
      <c r="E123" s="162">
        <f>'дод 2'!F29</f>
        <v>5884800</v>
      </c>
      <c r="F123" s="162">
        <f>'дод 2'!G29</f>
        <v>2768700</v>
      </c>
      <c r="G123" s="162">
        <f>'дод 2'!H29</f>
        <v>779400</v>
      </c>
      <c r="H123" s="162">
        <f>'дод 2'!I29</f>
        <v>0</v>
      </c>
      <c r="I123" s="162">
        <f>'дод 2'!J29</f>
        <v>1235000</v>
      </c>
      <c r="J123" s="162">
        <f>'дод 2'!K29</f>
        <v>1100000</v>
      </c>
      <c r="K123" s="162">
        <f>'дод 2'!L29</f>
        <v>105558</v>
      </c>
      <c r="L123" s="162">
        <f>'дод 2'!M29</f>
        <v>0</v>
      </c>
      <c r="M123" s="162">
        <f>'дод 2'!N29</f>
        <v>45558</v>
      </c>
      <c r="N123" s="162">
        <f>'дод 2'!O29</f>
        <v>1129442</v>
      </c>
      <c r="O123" s="162">
        <f>'дод 2'!P29</f>
        <v>7119800</v>
      </c>
    </row>
    <row r="124" spans="1:15" ht="69" customHeight="1" x14ac:dyDescent="0.25">
      <c r="A124" s="37" t="s">
        <v>107</v>
      </c>
      <c r="B124" s="37" t="s">
        <v>99</v>
      </c>
      <c r="C124" s="6" t="s">
        <v>20</v>
      </c>
      <c r="D124" s="162">
        <f>'дод 2'!E30+'дод 2'!E116+'дод 2'!E185</f>
        <v>9089400</v>
      </c>
      <c r="E124" s="162">
        <f>'дод 2'!F30+'дод 2'!F116+'дод 2'!F185</f>
        <v>9089400</v>
      </c>
      <c r="F124" s="162">
        <f>'дод 2'!G30+'дод 2'!G116+'дод 2'!G185</f>
        <v>0</v>
      </c>
      <c r="G124" s="162">
        <f>'дод 2'!H30+'дод 2'!H116+'дод 2'!H185</f>
        <v>0</v>
      </c>
      <c r="H124" s="162">
        <f>'дод 2'!I30+'дод 2'!I116+'дод 2'!I185</f>
        <v>0</v>
      </c>
      <c r="I124" s="162">
        <f>'дод 2'!J30+'дод 2'!J116+'дод 2'!J185</f>
        <v>0</v>
      </c>
      <c r="J124" s="162">
        <f>'дод 2'!K30+'дод 2'!K116+'дод 2'!K185</f>
        <v>0</v>
      </c>
      <c r="K124" s="162">
        <f>'дод 2'!L30+'дод 2'!L116+'дод 2'!L185</f>
        <v>0</v>
      </c>
      <c r="L124" s="162">
        <f>'дод 2'!M30+'дод 2'!M116+'дод 2'!M185</f>
        <v>0</v>
      </c>
      <c r="M124" s="162">
        <f>'дод 2'!N30+'дод 2'!N116+'дод 2'!N185</f>
        <v>0</v>
      </c>
      <c r="N124" s="162">
        <f>'дод 2'!O30+'дод 2'!O116+'дод 2'!O185</f>
        <v>0</v>
      </c>
      <c r="O124" s="162">
        <f>'дод 2'!P30+'дод 2'!P116+'дод 2'!P185</f>
        <v>9089400</v>
      </c>
    </row>
    <row r="125" spans="1:15" ht="78.75" x14ac:dyDescent="0.25">
      <c r="A125" s="37" t="s">
        <v>108</v>
      </c>
      <c r="B125" s="37">
        <v>1010</v>
      </c>
      <c r="C125" s="3" t="s">
        <v>281</v>
      </c>
      <c r="D125" s="162">
        <f>'дод 2'!E186</f>
        <v>5461975</v>
      </c>
      <c r="E125" s="162">
        <f>'дод 2'!F186</f>
        <v>5461975</v>
      </c>
      <c r="F125" s="162">
        <f>'дод 2'!G186</f>
        <v>0</v>
      </c>
      <c r="G125" s="162">
        <f>'дод 2'!H186</f>
        <v>0</v>
      </c>
      <c r="H125" s="162">
        <f>'дод 2'!I186</f>
        <v>0</v>
      </c>
      <c r="I125" s="162">
        <f>'дод 2'!J186</f>
        <v>0</v>
      </c>
      <c r="J125" s="162">
        <f>'дод 2'!K186</f>
        <v>0</v>
      </c>
      <c r="K125" s="162">
        <f>'дод 2'!L186</f>
        <v>0</v>
      </c>
      <c r="L125" s="162">
        <f>'дод 2'!M186</f>
        <v>0</v>
      </c>
      <c r="M125" s="162">
        <f>'дод 2'!N186</f>
        <v>0</v>
      </c>
      <c r="N125" s="162">
        <f>'дод 2'!O186</f>
        <v>0</v>
      </c>
      <c r="O125" s="162">
        <f>'дод 2'!P186</f>
        <v>5461975</v>
      </c>
    </row>
    <row r="126" spans="1:15" s="51" customFormat="1" ht="63" hidden="1" customHeight="1" x14ac:dyDescent="0.25">
      <c r="A126" s="37" t="s">
        <v>311</v>
      </c>
      <c r="B126" s="37">
        <v>1010</v>
      </c>
      <c r="C126" s="3" t="s">
        <v>399</v>
      </c>
      <c r="D126" s="162">
        <f>'дод 2'!E187</f>
        <v>0</v>
      </c>
      <c r="E126" s="162">
        <f>'дод 2'!F187</f>
        <v>0</v>
      </c>
      <c r="F126" s="162">
        <f>'дод 2'!G187</f>
        <v>0</v>
      </c>
      <c r="G126" s="162">
        <f>'дод 2'!H187</f>
        <v>0</v>
      </c>
      <c r="H126" s="162">
        <f>'дод 2'!I187</f>
        <v>0</v>
      </c>
      <c r="I126" s="162">
        <f>'дод 2'!J187</f>
        <v>0</v>
      </c>
      <c r="J126" s="162">
        <f>'дод 2'!K187</f>
        <v>0</v>
      </c>
      <c r="K126" s="162">
        <f>'дод 2'!L187</f>
        <v>0</v>
      </c>
      <c r="L126" s="162">
        <f>'дод 2'!M187</f>
        <v>0</v>
      </c>
      <c r="M126" s="162">
        <f>'дод 2'!N187</f>
        <v>0</v>
      </c>
      <c r="N126" s="162">
        <f>'дод 2'!O187</f>
        <v>0</v>
      </c>
      <c r="O126" s="162">
        <f>'дод 2'!P187</f>
        <v>0</v>
      </c>
    </row>
    <row r="127" spans="1:15" s="51" customFormat="1" ht="15.75" hidden="1" customHeight="1" x14ac:dyDescent="0.25">
      <c r="A127" s="71"/>
      <c r="B127" s="71"/>
      <c r="C127" s="72" t="s">
        <v>388</v>
      </c>
      <c r="D127" s="163">
        <f>'дод 2'!E188</f>
        <v>0</v>
      </c>
      <c r="E127" s="163">
        <f>'дод 2'!F188</f>
        <v>0</v>
      </c>
      <c r="F127" s="163">
        <f>'дод 2'!G188</f>
        <v>0</v>
      </c>
      <c r="G127" s="163">
        <f>'дод 2'!H188</f>
        <v>0</v>
      </c>
      <c r="H127" s="163">
        <f>'дод 2'!I188</f>
        <v>0</v>
      </c>
      <c r="I127" s="163">
        <f>'дод 2'!J188</f>
        <v>0</v>
      </c>
      <c r="J127" s="163">
        <f>'дод 2'!K188</f>
        <v>0</v>
      </c>
      <c r="K127" s="163">
        <f>'дод 2'!L188</f>
        <v>0</v>
      </c>
      <c r="L127" s="163">
        <f>'дод 2'!M188</f>
        <v>0</v>
      </c>
      <c r="M127" s="163">
        <f>'дод 2'!N188</f>
        <v>0</v>
      </c>
      <c r="N127" s="163">
        <f>'дод 2'!O188</f>
        <v>0</v>
      </c>
      <c r="O127" s="163">
        <f>'дод 2'!P188</f>
        <v>0</v>
      </c>
    </row>
    <row r="128" spans="1:15" s="51" customFormat="1" ht="36" hidden="1" customHeight="1" x14ac:dyDescent="0.25">
      <c r="A128" s="37" t="s">
        <v>312</v>
      </c>
      <c r="B128" s="37">
        <v>1010</v>
      </c>
      <c r="C128" s="3" t="s">
        <v>400</v>
      </c>
      <c r="D128" s="162">
        <f>'дод 2'!E189</f>
        <v>0</v>
      </c>
      <c r="E128" s="162">
        <f>'дод 2'!F189</f>
        <v>0</v>
      </c>
      <c r="F128" s="162">
        <f>'дод 2'!G189</f>
        <v>0</v>
      </c>
      <c r="G128" s="162">
        <f>'дод 2'!H189</f>
        <v>0</v>
      </c>
      <c r="H128" s="162">
        <f>'дод 2'!I189</f>
        <v>0</v>
      </c>
      <c r="I128" s="162">
        <f>'дод 2'!J189</f>
        <v>0</v>
      </c>
      <c r="J128" s="162">
        <f>'дод 2'!K189</f>
        <v>0</v>
      </c>
      <c r="K128" s="162">
        <f>'дод 2'!L189</f>
        <v>0</v>
      </c>
      <c r="L128" s="162">
        <f>'дод 2'!M189</f>
        <v>0</v>
      </c>
      <c r="M128" s="162">
        <f>'дод 2'!N189</f>
        <v>0</v>
      </c>
      <c r="N128" s="162">
        <f>'дод 2'!O189</f>
        <v>0</v>
      </c>
      <c r="O128" s="162">
        <f>'дод 2'!P189</f>
        <v>0</v>
      </c>
    </row>
    <row r="129" spans="1:15" s="51" customFormat="1" ht="15.75" hidden="1" customHeight="1" x14ac:dyDescent="0.25">
      <c r="A129" s="71"/>
      <c r="B129" s="71"/>
      <c r="C129" s="72" t="s">
        <v>388</v>
      </c>
      <c r="D129" s="163">
        <f>'дод 2'!E190</f>
        <v>0</v>
      </c>
      <c r="E129" s="163">
        <f>'дод 2'!F190</f>
        <v>0</v>
      </c>
      <c r="F129" s="163">
        <f>'дод 2'!G190</f>
        <v>0</v>
      </c>
      <c r="G129" s="163">
        <f>'дод 2'!H190</f>
        <v>0</v>
      </c>
      <c r="H129" s="163">
        <f>'дод 2'!I190</f>
        <v>0</v>
      </c>
      <c r="I129" s="163">
        <f>'дод 2'!J190</f>
        <v>0</v>
      </c>
      <c r="J129" s="163">
        <f>'дод 2'!K190</f>
        <v>0</v>
      </c>
      <c r="K129" s="163">
        <f>'дод 2'!L190</f>
        <v>0</v>
      </c>
      <c r="L129" s="163">
        <f>'дод 2'!M190</f>
        <v>0</v>
      </c>
      <c r="M129" s="163">
        <f>'дод 2'!N190</f>
        <v>0</v>
      </c>
      <c r="N129" s="163">
        <f>'дод 2'!O190</f>
        <v>0</v>
      </c>
      <c r="O129" s="163">
        <f>'дод 2'!P190</f>
        <v>0</v>
      </c>
    </row>
    <row r="130" spans="1:15" ht="72.75" customHeight="1" x14ac:dyDescent="0.25">
      <c r="A130" s="37" t="s">
        <v>103</v>
      </c>
      <c r="B130" s="37" t="s">
        <v>52</v>
      </c>
      <c r="C130" s="3" t="s">
        <v>336</v>
      </c>
      <c r="D130" s="162">
        <f>'дод 2'!E191</f>
        <v>318346</v>
      </c>
      <c r="E130" s="162">
        <f>'дод 2'!F191</f>
        <v>318346</v>
      </c>
      <c r="F130" s="162">
        <f>'дод 2'!G191</f>
        <v>0</v>
      </c>
      <c r="G130" s="162">
        <f>'дод 2'!H191</f>
        <v>0</v>
      </c>
      <c r="H130" s="162">
        <f>'дод 2'!I191</f>
        <v>0</v>
      </c>
      <c r="I130" s="162">
        <f>'дод 2'!J191</f>
        <v>0</v>
      </c>
      <c r="J130" s="162">
        <f>'дод 2'!K191</f>
        <v>0</v>
      </c>
      <c r="K130" s="162">
        <f>'дод 2'!L191</f>
        <v>0</v>
      </c>
      <c r="L130" s="162">
        <f>'дод 2'!M191</f>
        <v>0</v>
      </c>
      <c r="M130" s="162">
        <f>'дод 2'!N191</f>
        <v>0</v>
      </c>
      <c r="N130" s="162">
        <f>'дод 2'!O191</f>
        <v>0</v>
      </c>
      <c r="O130" s="162">
        <f>'дод 2'!P191</f>
        <v>318346</v>
      </c>
    </row>
    <row r="131" spans="1:15" s="51" customFormat="1" ht="34.5" customHeight="1" x14ac:dyDescent="0.25">
      <c r="A131" s="37" t="s">
        <v>282</v>
      </c>
      <c r="B131" s="37" t="s">
        <v>51</v>
      </c>
      <c r="C131" s="3" t="s">
        <v>18</v>
      </c>
      <c r="D131" s="162">
        <f>'дод 2'!E192</f>
        <v>2522957</v>
      </c>
      <c r="E131" s="162">
        <f>'дод 2'!F192</f>
        <v>2522957</v>
      </c>
      <c r="F131" s="162">
        <f>'дод 2'!G192</f>
        <v>0</v>
      </c>
      <c r="G131" s="162">
        <f>'дод 2'!H192</f>
        <v>0</v>
      </c>
      <c r="H131" s="162">
        <f>'дод 2'!I192</f>
        <v>0</v>
      </c>
      <c r="I131" s="162">
        <f>'дод 2'!J192</f>
        <v>0</v>
      </c>
      <c r="J131" s="162">
        <f>'дод 2'!K192</f>
        <v>0</v>
      </c>
      <c r="K131" s="162">
        <f>'дод 2'!L192</f>
        <v>0</v>
      </c>
      <c r="L131" s="162">
        <f>'дод 2'!M192</f>
        <v>0</v>
      </c>
      <c r="M131" s="162">
        <f>'дод 2'!N192</f>
        <v>0</v>
      </c>
      <c r="N131" s="162">
        <f>'дод 2'!O192</f>
        <v>0</v>
      </c>
      <c r="O131" s="162">
        <f>'дод 2'!P192</f>
        <v>2522957</v>
      </c>
    </row>
    <row r="132" spans="1:15" s="51" customFormat="1" ht="51" customHeight="1" x14ac:dyDescent="0.25">
      <c r="A132" s="37" t="s">
        <v>283</v>
      </c>
      <c r="B132" s="37" t="s">
        <v>51</v>
      </c>
      <c r="C132" s="57" t="s">
        <v>485</v>
      </c>
      <c r="D132" s="162">
        <f>'дод 2'!E193</f>
        <v>2390210</v>
      </c>
      <c r="E132" s="162">
        <f>'дод 2'!F193</f>
        <v>2390210</v>
      </c>
      <c r="F132" s="162">
        <f>'дод 2'!G193</f>
        <v>0</v>
      </c>
      <c r="G132" s="162">
        <f>'дод 2'!H193</f>
        <v>0</v>
      </c>
      <c r="H132" s="162">
        <f>'дод 2'!I193</f>
        <v>0</v>
      </c>
      <c r="I132" s="162">
        <f>'дод 2'!J193</f>
        <v>0</v>
      </c>
      <c r="J132" s="162">
        <f>'дод 2'!K193</f>
        <v>0</v>
      </c>
      <c r="K132" s="162">
        <f>'дод 2'!L193</f>
        <v>0</v>
      </c>
      <c r="L132" s="162">
        <f>'дод 2'!M193</f>
        <v>0</v>
      </c>
      <c r="M132" s="162">
        <f>'дод 2'!N193</f>
        <v>0</v>
      </c>
      <c r="N132" s="162">
        <f>'дод 2'!O193</f>
        <v>0</v>
      </c>
      <c r="O132" s="162">
        <f>'дод 2'!P193</f>
        <v>2390210</v>
      </c>
    </row>
    <row r="133" spans="1:15" ht="36.75" customHeight="1" x14ac:dyDescent="0.25">
      <c r="A133" s="37" t="s">
        <v>104</v>
      </c>
      <c r="B133" s="37" t="s">
        <v>55</v>
      </c>
      <c r="C133" s="3" t="s">
        <v>337</v>
      </c>
      <c r="D133" s="162">
        <f>'дод 2'!E194</f>
        <v>96800</v>
      </c>
      <c r="E133" s="162">
        <f>'дод 2'!F194</f>
        <v>96800</v>
      </c>
      <c r="F133" s="162">
        <f>'дод 2'!G194</f>
        <v>0</v>
      </c>
      <c r="G133" s="162">
        <f>'дод 2'!H194</f>
        <v>0</v>
      </c>
      <c r="H133" s="162">
        <f>'дод 2'!I194</f>
        <v>0</v>
      </c>
      <c r="I133" s="162">
        <f>'дод 2'!J194</f>
        <v>0</v>
      </c>
      <c r="J133" s="162">
        <f>'дод 2'!K194</f>
        <v>0</v>
      </c>
      <c r="K133" s="162">
        <f>'дод 2'!L194</f>
        <v>0</v>
      </c>
      <c r="L133" s="162">
        <f>'дод 2'!M194</f>
        <v>0</v>
      </c>
      <c r="M133" s="162">
        <f>'дод 2'!N194</f>
        <v>0</v>
      </c>
      <c r="N133" s="162">
        <f>'дод 2'!O194</f>
        <v>0</v>
      </c>
      <c r="O133" s="162">
        <f>'дод 2'!P194</f>
        <v>96800</v>
      </c>
    </row>
    <row r="134" spans="1:15" ht="20.25" customHeight="1" x14ac:dyDescent="0.25">
      <c r="A134" s="37" t="s">
        <v>284</v>
      </c>
      <c r="B134" s="37" t="s">
        <v>105</v>
      </c>
      <c r="C134" s="3" t="s">
        <v>36</v>
      </c>
      <c r="D134" s="162">
        <f>'дод 2'!E195+'дод 2'!E238</f>
        <v>250000</v>
      </c>
      <c r="E134" s="162">
        <f>'дод 2'!F195+'дод 2'!F238</f>
        <v>250000</v>
      </c>
      <c r="F134" s="162">
        <f>'дод 2'!G195+'дод 2'!G238</f>
        <v>40900</v>
      </c>
      <c r="G134" s="162">
        <f>'дод 2'!H195+'дод 2'!H238</f>
        <v>0</v>
      </c>
      <c r="H134" s="162">
        <f>'дод 2'!I195+'дод 2'!I238</f>
        <v>0</v>
      </c>
      <c r="I134" s="162">
        <f>'дод 2'!J195+'дод 2'!J238</f>
        <v>0</v>
      </c>
      <c r="J134" s="162">
        <f>'дод 2'!K195+'дод 2'!K238</f>
        <v>0</v>
      </c>
      <c r="K134" s="162">
        <f>'дод 2'!L195+'дод 2'!L238</f>
        <v>0</v>
      </c>
      <c r="L134" s="162">
        <f>'дод 2'!M195+'дод 2'!M238</f>
        <v>0</v>
      </c>
      <c r="M134" s="162">
        <f>'дод 2'!N195+'дод 2'!N238</f>
        <v>0</v>
      </c>
      <c r="N134" s="162">
        <f>'дод 2'!O195+'дод 2'!O238</f>
        <v>0</v>
      </c>
      <c r="O134" s="162">
        <f>'дод 2'!P195+'дод 2'!P238</f>
        <v>250000</v>
      </c>
    </row>
    <row r="135" spans="1:15" ht="240.75" hidden="1" customHeight="1" x14ac:dyDescent="0.25">
      <c r="A135" s="37">
        <v>3221</v>
      </c>
      <c r="B135" s="55" t="s">
        <v>52</v>
      </c>
      <c r="C135" s="36" t="s">
        <v>550</v>
      </c>
      <c r="D135" s="162">
        <f>'дод 2'!E196</f>
        <v>0</v>
      </c>
      <c r="E135" s="162">
        <f>'дод 2'!F196</f>
        <v>0</v>
      </c>
      <c r="F135" s="162">
        <f>'дод 2'!G196</f>
        <v>0</v>
      </c>
      <c r="G135" s="162">
        <f>'дод 2'!H196</f>
        <v>0</v>
      </c>
      <c r="H135" s="162">
        <f>'дод 2'!I196</f>
        <v>0</v>
      </c>
      <c r="I135" s="162">
        <f>'дод 2'!J196</f>
        <v>0</v>
      </c>
      <c r="J135" s="162">
        <f>'дод 2'!K196</f>
        <v>0</v>
      </c>
      <c r="K135" s="162">
        <f>'дод 2'!L196</f>
        <v>0</v>
      </c>
      <c r="L135" s="162">
        <f>'дод 2'!M196</f>
        <v>0</v>
      </c>
      <c r="M135" s="162">
        <f>'дод 2'!N196</f>
        <v>0</v>
      </c>
      <c r="N135" s="162">
        <f>'дод 2'!O196</f>
        <v>0</v>
      </c>
      <c r="O135" s="162">
        <f>'дод 2'!P196</f>
        <v>0</v>
      </c>
    </row>
    <row r="136" spans="1:15" s="51" customFormat="1" ht="267.75" hidden="1" customHeight="1" x14ac:dyDescent="0.25">
      <c r="A136" s="71"/>
      <c r="B136" s="81"/>
      <c r="C136" s="79" t="s">
        <v>549</v>
      </c>
      <c r="D136" s="163">
        <f>'дод 2'!E197</f>
        <v>0</v>
      </c>
      <c r="E136" s="163">
        <f>'дод 2'!F197</f>
        <v>0</v>
      </c>
      <c r="F136" s="163">
        <f>'дод 2'!G197</f>
        <v>0</v>
      </c>
      <c r="G136" s="163">
        <f>'дод 2'!H197</f>
        <v>0</v>
      </c>
      <c r="H136" s="163">
        <f>'дод 2'!I197</f>
        <v>0</v>
      </c>
      <c r="I136" s="163">
        <f>'дод 2'!J197</f>
        <v>0</v>
      </c>
      <c r="J136" s="163">
        <f>'дод 2'!K197</f>
        <v>0</v>
      </c>
      <c r="K136" s="163">
        <f>'дод 2'!L197</f>
        <v>0</v>
      </c>
      <c r="L136" s="163">
        <f>'дод 2'!M197</f>
        <v>0</v>
      </c>
      <c r="M136" s="163">
        <f>'дод 2'!N197</f>
        <v>0</v>
      </c>
      <c r="N136" s="163">
        <f>'дод 2'!O197</f>
        <v>0</v>
      </c>
      <c r="O136" s="163">
        <f>'дод 2'!P197</f>
        <v>0</v>
      </c>
    </row>
    <row r="137" spans="1:15" s="51" customFormat="1" ht="293.25" hidden="1" customHeight="1" x14ac:dyDescent="0.25">
      <c r="A137" s="42">
        <v>3222</v>
      </c>
      <c r="B137" s="89" t="s">
        <v>52</v>
      </c>
      <c r="C137" s="36" t="s">
        <v>573</v>
      </c>
      <c r="D137" s="162">
        <f>'дод 2'!E198</f>
        <v>0</v>
      </c>
      <c r="E137" s="162">
        <f>'дод 2'!F198</f>
        <v>0</v>
      </c>
      <c r="F137" s="162">
        <f>'дод 2'!G198</f>
        <v>0</v>
      </c>
      <c r="G137" s="162">
        <f>'дод 2'!H198</f>
        <v>0</v>
      </c>
      <c r="H137" s="162">
        <f>'дод 2'!I198</f>
        <v>0</v>
      </c>
      <c r="I137" s="162">
        <f>'дод 2'!J198</f>
        <v>0</v>
      </c>
      <c r="J137" s="162">
        <f>'дод 2'!K198</f>
        <v>0</v>
      </c>
      <c r="K137" s="162">
        <f>'дод 2'!L198</f>
        <v>0</v>
      </c>
      <c r="L137" s="162">
        <f>'дод 2'!M198</f>
        <v>0</v>
      </c>
      <c r="M137" s="162">
        <f>'дод 2'!N198</f>
        <v>0</v>
      </c>
      <c r="N137" s="162">
        <f>'дод 2'!O198</f>
        <v>0</v>
      </c>
      <c r="O137" s="162">
        <f>'дод 2'!P198</f>
        <v>0</v>
      </c>
    </row>
    <row r="138" spans="1:15" s="51" customFormat="1" ht="333.75" hidden="1" customHeight="1" x14ac:dyDescent="0.25">
      <c r="A138" s="71"/>
      <c r="B138" s="81"/>
      <c r="C138" s="79" t="s">
        <v>566</v>
      </c>
      <c r="D138" s="163">
        <f>'дод 2'!E199</f>
        <v>0</v>
      </c>
      <c r="E138" s="163">
        <f>'дод 2'!F199</f>
        <v>0</v>
      </c>
      <c r="F138" s="163">
        <f>'дод 2'!G199</f>
        <v>0</v>
      </c>
      <c r="G138" s="163">
        <f>'дод 2'!H199</f>
        <v>0</v>
      </c>
      <c r="H138" s="163">
        <f>'дод 2'!I199</f>
        <v>0</v>
      </c>
      <c r="I138" s="163">
        <f>'дод 2'!J199</f>
        <v>0</v>
      </c>
      <c r="J138" s="163">
        <f>'дод 2'!K199</f>
        <v>0</v>
      </c>
      <c r="K138" s="163">
        <f>'дод 2'!L199</f>
        <v>0</v>
      </c>
      <c r="L138" s="163">
        <f>'дод 2'!M199</f>
        <v>0</v>
      </c>
      <c r="M138" s="163">
        <f>'дод 2'!N199</f>
        <v>0</v>
      </c>
      <c r="N138" s="163">
        <f>'дод 2'!O199</f>
        <v>0</v>
      </c>
      <c r="O138" s="163">
        <f>'дод 2'!P199</f>
        <v>0</v>
      </c>
    </row>
    <row r="139" spans="1:15" ht="204.75" hidden="1" customHeight="1" x14ac:dyDescent="0.25">
      <c r="A139" s="37">
        <v>3223</v>
      </c>
      <c r="B139" s="55" t="s">
        <v>52</v>
      </c>
      <c r="C139" s="36" t="s">
        <v>432</v>
      </c>
      <c r="D139" s="162">
        <f>'дод 2'!E200</f>
        <v>0</v>
      </c>
      <c r="E139" s="162">
        <f>'дод 2'!F200</f>
        <v>0</v>
      </c>
      <c r="F139" s="162">
        <f>'дод 2'!G200</f>
        <v>0</v>
      </c>
      <c r="G139" s="162">
        <f>'дод 2'!H200</f>
        <v>0</v>
      </c>
      <c r="H139" s="162">
        <f>'дод 2'!I200</f>
        <v>0</v>
      </c>
      <c r="I139" s="162">
        <f>'дод 2'!J200</f>
        <v>0</v>
      </c>
      <c r="J139" s="162">
        <f>'дод 2'!K200</f>
        <v>0</v>
      </c>
      <c r="K139" s="162">
        <f>'дод 2'!L200</f>
        <v>0</v>
      </c>
      <c r="L139" s="162">
        <f>'дод 2'!M200</f>
        <v>0</v>
      </c>
      <c r="M139" s="162">
        <f>'дод 2'!N200</f>
        <v>0</v>
      </c>
      <c r="N139" s="162">
        <f>'дод 2'!O200</f>
        <v>0</v>
      </c>
      <c r="O139" s="162">
        <f>'дод 2'!P200</f>
        <v>0</v>
      </c>
    </row>
    <row r="140" spans="1:15" s="51" customFormat="1" ht="252" hidden="1" customHeight="1" x14ac:dyDescent="0.25">
      <c r="A140" s="71"/>
      <c r="B140" s="81"/>
      <c r="C140" s="79" t="s">
        <v>433</v>
      </c>
      <c r="D140" s="163">
        <f>'дод 2'!E201</f>
        <v>0</v>
      </c>
      <c r="E140" s="163">
        <f>'дод 2'!F201</f>
        <v>0</v>
      </c>
      <c r="F140" s="163">
        <f>'дод 2'!G201</f>
        <v>0</v>
      </c>
      <c r="G140" s="163">
        <f>'дод 2'!H201</f>
        <v>0</v>
      </c>
      <c r="H140" s="163">
        <f>'дод 2'!I201</f>
        <v>0</v>
      </c>
      <c r="I140" s="163">
        <f>'дод 2'!J201</f>
        <v>0</v>
      </c>
      <c r="J140" s="163">
        <f>'дод 2'!K201</f>
        <v>0</v>
      </c>
      <c r="K140" s="163">
        <f>'дод 2'!L201</f>
        <v>0</v>
      </c>
      <c r="L140" s="163">
        <f>'дод 2'!M201</f>
        <v>0</v>
      </c>
      <c r="M140" s="163">
        <f>'дод 2'!N201</f>
        <v>0</v>
      </c>
      <c r="N140" s="163">
        <f>'дод 2'!O201</f>
        <v>0</v>
      </c>
      <c r="O140" s="163">
        <f>'дод 2'!P201</f>
        <v>0</v>
      </c>
    </row>
    <row r="141" spans="1:15" s="51" customFormat="1" ht="32.25" customHeight="1" x14ac:dyDescent="0.25">
      <c r="A141" s="37" t="s">
        <v>285</v>
      </c>
      <c r="B141" s="37" t="s">
        <v>55</v>
      </c>
      <c r="C141" s="3" t="s">
        <v>287</v>
      </c>
      <c r="D141" s="162">
        <f>'дод 2'!E202+'дод 2'!E31</f>
        <v>6300200</v>
      </c>
      <c r="E141" s="162">
        <f>'дод 2'!F202+'дод 2'!F31</f>
        <v>6300200</v>
      </c>
      <c r="F141" s="162">
        <f>'дод 2'!G202+'дод 2'!G31</f>
        <v>3649000</v>
      </c>
      <c r="G141" s="162">
        <f>'дод 2'!H202+'дод 2'!H31</f>
        <v>605900</v>
      </c>
      <c r="H141" s="162">
        <f>'дод 2'!I202+'дод 2'!I31</f>
        <v>0</v>
      </c>
      <c r="I141" s="162">
        <f>'дод 2'!J202+'дод 2'!J31</f>
        <v>0</v>
      </c>
      <c r="J141" s="162">
        <f>'дод 2'!K202+'дод 2'!K31</f>
        <v>0</v>
      </c>
      <c r="K141" s="162">
        <f>'дод 2'!L202+'дод 2'!L31</f>
        <v>0</v>
      </c>
      <c r="L141" s="162">
        <f>'дод 2'!M202+'дод 2'!M31</f>
        <v>0</v>
      </c>
      <c r="M141" s="162">
        <f>'дод 2'!N202+'дод 2'!N31</f>
        <v>0</v>
      </c>
      <c r="N141" s="162">
        <f>'дод 2'!O202+'дод 2'!O31</f>
        <v>0</v>
      </c>
      <c r="O141" s="162">
        <f>'дод 2'!P202+'дод 2'!P31</f>
        <v>6300200</v>
      </c>
    </row>
    <row r="142" spans="1:15" s="51" customFormat="1" ht="31.5" customHeight="1" x14ac:dyDescent="0.25">
      <c r="A142" s="37" t="s">
        <v>286</v>
      </c>
      <c r="B142" s="37" t="s">
        <v>55</v>
      </c>
      <c r="C142" s="3" t="s">
        <v>496</v>
      </c>
      <c r="D142" s="162">
        <f>'дод 2'!E32+'дод 2'!E117+'дод 2'!E203+'дод 2'!E214</f>
        <v>41250295</v>
      </c>
      <c r="E142" s="162">
        <f>'дод 2'!F32+'дод 2'!F117+'дод 2'!F203+'дод 2'!F214</f>
        <v>41250295</v>
      </c>
      <c r="F142" s="162">
        <f>'дод 2'!G32+'дод 2'!G117+'дод 2'!G203+'дод 2'!G214</f>
        <v>0</v>
      </c>
      <c r="G142" s="162">
        <f>'дод 2'!H32+'дод 2'!H117+'дод 2'!H203+'дод 2'!H214</f>
        <v>0</v>
      </c>
      <c r="H142" s="162">
        <f>'дод 2'!I32+'дод 2'!I117+'дод 2'!I203+'дод 2'!I214</f>
        <v>0</v>
      </c>
      <c r="I142" s="162">
        <f>'дод 2'!J32+'дод 2'!J117+'дод 2'!J203+'дод 2'!J214</f>
        <v>72000</v>
      </c>
      <c r="J142" s="162">
        <f>'дод 2'!K32+'дод 2'!K117+'дод 2'!K203+'дод 2'!K214</f>
        <v>72000</v>
      </c>
      <c r="K142" s="162">
        <f>'дод 2'!L32+'дод 2'!L117+'дод 2'!L203+'дод 2'!L214</f>
        <v>0</v>
      </c>
      <c r="L142" s="162">
        <f>'дод 2'!M32+'дод 2'!M117+'дод 2'!M203+'дод 2'!M214</f>
        <v>0</v>
      </c>
      <c r="M142" s="162">
        <f>'дод 2'!N32+'дод 2'!N117+'дод 2'!N203+'дод 2'!N214</f>
        <v>0</v>
      </c>
      <c r="N142" s="162">
        <f>'дод 2'!O32+'дод 2'!O117+'дод 2'!O203+'дод 2'!O214</f>
        <v>72000</v>
      </c>
      <c r="O142" s="162">
        <f>'дод 2'!P32+'дод 2'!P117+'дод 2'!P203+'дод 2'!P214</f>
        <v>41322295</v>
      </c>
    </row>
    <row r="143" spans="1:15" s="51" customFormat="1" x14ac:dyDescent="0.25">
      <c r="A143" s="71"/>
      <c r="B143" s="71"/>
      <c r="C143" s="72" t="s">
        <v>388</v>
      </c>
      <c r="D143" s="163">
        <f>'дод 2'!E204</f>
        <v>319200</v>
      </c>
      <c r="E143" s="163">
        <f>'дод 2'!F204</f>
        <v>319200</v>
      </c>
      <c r="F143" s="163">
        <f>'дод 2'!G204</f>
        <v>0</v>
      </c>
      <c r="G143" s="163">
        <f>'дод 2'!H204</f>
        <v>0</v>
      </c>
      <c r="H143" s="163">
        <f>'дод 2'!I204</f>
        <v>0</v>
      </c>
      <c r="I143" s="163">
        <f>'дод 2'!J204</f>
        <v>0</v>
      </c>
      <c r="J143" s="163">
        <f>'дод 2'!K204</f>
        <v>0</v>
      </c>
      <c r="K143" s="163">
        <f>'дод 2'!L204</f>
        <v>0</v>
      </c>
      <c r="L143" s="163">
        <f>'дод 2'!M204</f>
        <v>0</v>
      </c>
      <c r="M143" s="163">
        <f>'дод 2'!N204</f>
        <v>0</v>
      </c>
      <c r="N143" s="163">
        <f>'дод 2'!O204</f>
        <v>0</v>
      </c>
      <c r="O143" s="163">
        <f>'дод 2'!P204</f>
        <v>319200</v>
      </c>
    </row>
    <row r="144" spans="1:15" s="49" customFormat="1" ht="19.5" customHeight="1" x14ac:dyDescent="0.25">
      <c r="A144" s="38" t="s">
        <v>70</v>
      </c>
      <c r="B144" s="41"/>
      <c r="C144" s="2" t="s">
        <v>71</v>
      </c>
      <c r="D144" s="47">
        <f t="shared" ref="D144:O144" si="23">D145+D146+D147+D148</f>
        <v>38772638</v>
      </c>
      <c r="E144" s="47">
        <f t="shared" si="23"/>
        <v>38772638</v>
      </c>
      <c r="F144" s="47">
        <f t="shared" si="23"/>
        <v>24551085</v>
      </c>
      <c r="G144" s="47">
        <f t="shared" si="23"/>
        <v>3246650</v>
      </c>
      <c r="H144" s="47">
        <f t="shared" si="23"/>
        <v>0</v>
      </c>
      <c r="I144" s="47">
        <f t="shared" si="23"/>
        <v>484000</v>
      </c>
      <c r="J144" s="47">
        <f t="shared" si="23"/>
        <v>450000</v>
      </c>
      <c r="K144" s="47">
        <f t="shared" si="23"/>
        <v>34000</v>
      </c>
      <c r="L144" s="47">
        <f t="shared" si="23"/>
        <v>14560</v>
      </c>
      <c r="M144" s="47">
        <f t="shared" si="23"/>
        <v>3300</v>
      </c>
      <c r="N144" s="47">
        <f t="shared" si="23"/>
        <v>450000</v>
      </c>
      <c r="O144" s="47">
        <f t="shared" si="23"/>
        <v>39256638</v>
      </c>
    </row>
    <row r="145" spans="1:15" ht="22.5" customHeight="1" x14ac:dyDescent="0.25">
      <c r="A145" s="37" t="s">
        <v>72</v>
      </c>
      <c r="B145" s="37" t="s">
        <v>73</v>
      </c>
      <c r="C145" s="3" t="s">
        <v>15</v>
      </c>
      <c r="D145" s="162">
        <f>'дод 2'!E221</f>
        <v>25433800</v>
      </c>
      <c r="E145" s="162">
        <f>'дод 2'!F221</f>
        <v>25433800</v>
      </c>
      <c r="F145" s="162">
        <f>'дод 2'!G221</f>
        <v>17662700</v>
      </c>
      <c r="G145" s="162">
        <f>'дод 2'!H221</f>
        <v>2568100</v>
      </c>
      <c r="H145" s="162">
        <f>'дод 2'!I221</f>
        <v>0</v>
      </c>
      <c r="I145" s="162">
        <f>'дод 2'!J221</f>
        <v>28000</v>
      </c>
      <c r="J145" s="162">
        <f>'дод 2'!K221</f>
        <v>0</v>
      </c>
      <c r="K145" s="162">
        <f>'дод 2'!L221</f>
        <v>28000</v>
      </c>
      <c r="L145" s="162">
        <f>'дод 2'!M221</f>
        <v>14560</v>
      </c>
      <c r="M145" s="162">
        <f>'дод 2'!N221</f>
        <v>0</v>
      </c>
      <c r="N145" s="162">
        <f>'дод 2'!O221</f>
        <v>0</v>
      </c>
      <c r="O145" s="162">
        <f>'дод 2'!P221</f>
        <v>25461800</v>
      </c>
    </row>
    <row r="146" spans="1:15" ht="33.75" customHeight="1" x14ac:dyDescent="0.25">
      <c r="A146" s="37" t="s">
        <v>314</v>
      </c>
      <c r="B146" s="37" t="s">
        <v>315</v>
      </c>
      <c r="C146" s="3" t="s">
        <v>316</v>
      </c>
      <c r="D146" s="162">
        <f>'дод 2'!E33+'дод 2'!E222</f>
        <v>4681038</v>
      </c>
      <c r="E146" s="162">
        <f>'дод 2'!F33+'дод 2'!F222</f>
        <v>4681038</v>
      </c>
      <c r="F146" s="162">
        <f>'дод 2'!G33+'дод 2'!G222</f>
        <v>3173985</v>
      </c>
      <c r="G146" s="162">
        <f>'дод 2'!H33+'дод 2'!H222</f>
        <v>454450</v>
      </c>
      <c r="H146" s="162">
        <f>'дод 2'!I33+'дод 2'!I222</f>
        <v>0</v>
      </c>
      <c r="I146" s="162">
        <f>'дод 2'!J33+'дод 2'!J222</f>
        <v>456000</v>
      </c>
      <c r="J146" s="162">
        <f>'дод 2'!K33+'дод 2'!K222</f>
        <v>450000</v>
      </c>
      <c r="K146" s="162">
        <f>'дод 2'!L33+'дод 2'!L222</f>
        <v>6000</v>
      </c>
      <c r="L146" s="162">
        <f>'дод 2'!M33+'дод 2'!M222</f>
        <v>0</v>
      </c>
      <c r="M146" s="162">
        <f>'дод 2'!N33+'дод 2'!N222</f>
        <v>3300</v>
      </c>
      <c r="N146" s="162">
        <f>'дод 2'!O33+'дод 2'!O222</f>
        <v>450000</v>
      </c>
      <c r="O146" s="162">
        <f>'дод 2'!P33+'дод 2'!P222</f>
        <v>5137038</v>
      </c>
    </row>
    <row r="147" spans="1:15" s="51" customFormat="1" ht="37.5" customHeight="1" x14ac:dyDescent="0.25">
      <c r="A147" s="37" t="s">
        <v>288</v>
      </c>
      <c r="B147" s="37" t="s">
        <v>74</v>
      </c>
      <c r="C147" s="3" t="s">
        <v>338</v>
      </c>
      <c r="D147" s="162">
        <f>'дод 2'!E34+'дод 2'!E223</f>
        <v>5483500</v>
      </c>
      <c r="E147" s="162">
        <f>'дод 2'!F34+'дод 2'!F223</f>
        <v>5483500</v>
      </c>
      <c r="F147" s="162">
        <f>'дод 2'!G34+'дод 2'!G223</f>
        <v>3714400</v>
      </c>
      <c r="G147" s="162">
        <f>'дод 2'!H34+'дод 2'!H223</f>
        <v>224100</v>
      </c>
      <c r="H147" s="162">
        <f>'дод 2'!I34+'дод 2'!I223</f>
        <v>0</v>
      </c>
      <c r="I147" s="162">
        <f>'дод 2'!J34+'дод 2'!J223</f>
        <v>0</v>
      </c>
      <c r="J147" s="162">
        <f>'дод 2'!K34+'дод 2'!K223</f>
        <v>0</v>
      </c>
      <c r="K147" s="162">
        <f>'дод 2'!L34+'дод 2'!L223</f>
        <v>0</v>
      </c>
      <c r="L147" s="162">
        <f>'дод 2'!M34+'дод 2'!M223</f>
        <v>0</v>
      </c>
      <c r="M147" s="162">
        <f>'дод 2'!N34+'дод 2'!N223</f>
        <v>0</v>
      </c>
      <c r="N147" s="162">
        <f>'дод 2'!O34+'дод 2'!O223</f>
        <v>0</v>
      </c>
      <c r="O147" s="162">
        <f>'дод 2'!P34+'дод 2'!P223</f>
        <v>5483500</v>
      </c>
    </row>
    <row r="148" spans="1:15" s="51" customFormat="1" ht="22.5" customHeight="1" x14ac:dyDescent="0.25">
      <c r="A148" s="37" t="s">
        <v>289</v>
      </c>
      <c r="B148" s="37" t="s">
        <v>74</v>
      </c>
      <c r="C148" s="3" t="s">
        <v>290</v>
      </c>
      <c r="D148" s="162">
        <f>'дод 2'!E35+'дод 2'!E224</f>
        <v>3174300</v>
      </c>
      <c r="E148" s="162">
        <f>'дод 2'!F35+'дод 2'!F224</f>
        <v>3174300</v>
      </c>
      <c r="F148" s="162">
        <f>'дод 2'!G35+'дод 2'!G224</f>
        <v>0</v>
      </c>
      <c r="G148" s="162">
        <f>'дод 2'!H35+'дод 2'!H224</f>
        <v>0</v>
      </c>
      <c r="H148" s="162">
        <f>'дод 2'!I35+'дод 2'!I224</f>
        <v>0</v>
      </c>
      <c r="I148" s="162">
        <f>'дод 2'!J35+'дод 2'!J224</f>
        <v>0</v>
      </c>
      <c r="J148" s="162">
        <f>'дод 2'!K35+'дод 2'!K224</f>
        <v>0</v>
      </c>
      <c r="K148" s="162">
        <f>'дод 2'!L35+'дод 2'!L224</f>
        <v>0</v>
      </c>
      <c r="L148" s="162">
        <f>'дод 2'!M35+'дод 2'!M224</f>
        <v>0</v>
      </c>
      <c r="M148" s="162">
        <f>'дод 2'!N35+'дод 2'!N224</f>
        <v>0</v>
      </c>
      <c r="N148" s="162">
        <f>'дод 2'!O35+'дод 2'!O224</f>
        <v>0</v>
      </c>
      <c r="O148" s="162">
        <f>'дод 2'!P35+'дод 2'!P224</f>
        <v>3174300</v>
      </c>
    </row>
    <row r="149" spans="1:15" s="49" customFormat="1" ht="21.75" customHeight="1" x14ac:dyDescent="0.25">
      <c r="A149" s="38" t="s">
        <v>77</v>
      </c>
      <c r="B149" s="41"/>
      <c r="C149" s="2" t="s">
        <v>591</v>
      </c>
      <c r="D149" s="47">
        <f t="shared" ref="D149:O149" si="24">D151+D152+D153+D155+D156+D157</f>
        <v>72889000</v>
      </c>
      <c r="E149" s="47">
        <f t="shared" si="24"/>
        <v>72889000</v>
      </c>
      <c r="F149" s="47">
        <f t="shared" si="24"/>
        <v>26901100</v>
      </c>
      <c r="G149" s="47">
        <f t="shared" si="24"/>
        <v>2482900</v>
      </c>
      <c r="H149" s="47">
        <f t="shared" si="24"/>
        <v>0</v>
      </c>
      <c r="I149" s="47">
        <f t="shared" si="24"/>
        <v>10786660</v>
      </c>
      <c r="J149" s="47">
        <f t="shared" si="24"/>
        <v>10350000</v>
      </c>
      <c r="K149" s="47">
        <f t="shared" si="24"/>
        <v>436660</v>
      </c>
      <c r="L149" s="47">
        <f t="shared" si="24"/>
        <v>288239</v>
      </c>
      <c r="M149" s="47">
        <f t="shared" si="24"/>
        <v>62532</v>
      </c>
      <c r="N149" s="47">
        <f t="shared" si="24"/>
        <v>10350000</v>
      </c>
      <c r="O149" s="47">
        <f t="shared" si="24"/>
        <v>83675660</v>
      </c>
    </row>
    <row r="150" spans="1:15" s="49" customFormat="1" ht="21.75" hidden="1" customHeight="1" x14ac:dyDescent="0.25">
      <c r="A150" s="38"/>
      <c r="B150" s="41"/>
      <c r="C150" s="70" t="s">
        <v>390</v>
      </c>
      <c r="D150" s="164">
        <f>D154</f>
        <v>0</v>
      </c>
      <c r="E150" s="164">
        <f t="shared" ref="E150:O150" si="25">E154</f>
        <v>0</v>
      </c>
      <c r="F150" s="164">
        <f t="shared" si="25"/>
        <v>0</v>
      </c>
      <c r="G150" s="164">
        <f t="shared" si="25"/>
        <v>0</v>
      </c>
      <c r="H150" s="164">
        <f t="shared" si="25"/>
        <v>0</v>
      </c>
      <c r="I150" s="164">
        <f t="shared" si="25"/>
        <v>0</v>
      </c>
      <c r="J150" s="164">
        <f t="shared" si="25"/>
        <v>0</v>
      </c>
      <c r="K150" s="164">
        <f t="shared" si="25"/>
        <v>0</v>
      </c>
      <c r="L150" s="164">
        <f t="shared" si="25"/>
        <v>0</v>
      </c>
      <c r="M150" s="164">
        <f t="shared" si="25"/>
        <v>0</v>
      </c>
      <c r="N150" s="164">
        <f t="shared" si="25"/>
        <v>0</v>
      </c>
      <c r="O150" s="164">
        <f t="shared" si="25"/>
        <v>0</v>
      </c>
    </row>
    <row r="151" spans="1:15" s="51" customFormat="1" ht="37.5" customHeight="1" x14ac:dyDescent="0.25">
      <c r="A151" s="37" t="s">
        <v>78</v>
      </c>
      <c r="B151" s="37" t="s">
        <v>79</v>
      </c>
      <c r="C151" s="3" t="s">
        <v>21</v>
      </c>
      <c r="D151" s="162">
        <f>'дод 2'!E36</f>
        <v>750000</v>
      </c>
      <c r="E151" s="162">
        <f>'дод 2'!F36</f>
        <v>750000</v>
      </c>
      <c r="F151" s="162">
        <f>'дод 2'!G36</f>
        <v>0</v>
      </c>
      <c r="G151" s="162">
        <f>'дод 2'!H36</f>
        <v>0</v>
      </c>
      <c r="H151" s="162">
        <f>'дод 2'!I36</f>
        <v>0</v>
      </c>
      <c r="I151" s="162">
        <f>'дод 2'!J36</f>
        <v>0</v>
      </c>
      <c r="J151" s="162">
        <f>'дод 2'!K36</f>
        <v>0</v>
      </c>
      <c r="K151" s="162">
        <f>'дод 2'!L36</f>
        <v>0</v>
      </c>
      <c r="L151" s="162">
        <f>'дод 2'!M36</f>
        <v>0</v>
      </c>
      <c r="M151" s="162">
        <f>'дод 2'!N36</f>
        <v>0</v>
      </c>
      <c r="N151" s="162">
        <f>'дод 2'!O36</f>
        <v>0</v>
      </c>
      <c r="O151" s="162">
        <f>'дод 2'!P36</f>
        <v>750000</v>
      </c>
    </row>
    <row r="152" spans="1:15" s="51" customFormat="1" ht="34.5" customHeight="1" x14ac:dyDescent="0.25">
      <c r="A152" s="37" t="s">
        <v>80</v>
      </c>
      <c r="B152" s="37" t="s">
        <v>79</v>
      </c>
      <c r="C152" s="3" t="s">
        <v>16</v>
      </c>
      <c r="D152" s="162">
        <f>'дод 2'!E37</f>
        <v>750000</v>
      </c>
      <c r="E152" s="162">
        <f>'дод 2'!F37</f>
        <v>750000</v>
      </c>
      <c r="F152" s="162">
        <f>'дод 2'!G37</f>
        <v>0</v>
      </c>
      <c r="G152" s="162">
        <f>'дод 2'!H37</f>
        <v>0</v>
      </c>
      <c r="H152" s="162">
        <f>'дод 2'!I37</f>
        <v>0</v>
      </c>
      <c r="I152" s="162">
        <f>'дод 2'!J37</f>
        <v>0</v>
      </c>
      <c r="J152" s="162">
        <f>'дод 2'!K37</f>
        <v>0</v>
      </c>
      <c r="K152" s="162">
        <f>'дод 2'!L37</f>
        <v>0</v>
      </c>
      <c r="L152" s="162">
        <f>'дод 2'!M37</f>
        <v>0</v>
      </c>
      <c r="M152" s="162">
        <f>'дод 2'!N37</f>
        <v>0</v>
      </c>
      <c r="N152" s="162">
        <f>'дод 2'!O37</f>
        <v>0</v>
      </c>
      <c r="O152" s="162">
        <f>'дод 2'!P37</f>
        <v>750000</v>
      </c>
    </row>
    <row r="153" spans="1:15" s="51" customFormat="1" ht="36.75" customHeight="1" x14ac:dyDescent="0.25">
      <c r="A153" s="37" t="s">
        <v>114</v>
      </c>
      <c r="B153" s="37" t="s">
        <v>79</v>
      </c>
      <c r="C153" s="3" t="s">
        <v>563</v>
      </c>
      <c r="D153" s="162">
        <f>'дод 2'!E38+'дод 2'!E118</f>
        <v>32404200</v>
      </c>
      <c r="E153" s="162">
        <f>'дод 2'!F38+'дод 2'!F118</f>
        <v>32404200</v>
      </c>
      <c r="F153" s="162">
        <f>'дод 2'!G38+'дод 2'!G118</f>
        <v>23747000</v>
      </c>
      <c r="G153" s="162">
        <f>'дод 2'!H38+'дод 2'!H118</f>
        <v>1852500</v>
      </c>
      <c r="H153" s="162">
        <f>'дод 2'!I38+'дод 2'!I118</f>
        <v>0</v>
      </c>
      <c r="I153" s="162">
        <f>'дод 2'!J38+'дод 2'!J118</f>
        <v>350000</v>
      </c>
      <c r="J153" s="162">
        <f>'дод 2'!K38+'дод 2'!K118</f>
        <v>350000</v>
      </c>
      <c r="K153" s="162">
        <f>'дод 2'!L38+'дод 2'!L118</f>
        <v>0</v>
      </c>
      <c r="L153" s="162">
        <f>'дод 2'!M38+'дод 2'!M118</f>
        <v>0</v>
      </c>
      <c r="M153" s="162">
        <f>'дод 2'!N38+'дод 2'!N118</f>
        <v>0</v>
      </c>
      <c r="N153" s="162">
        <f>'дод 2'!O38+'дод 2'!O118</f>
        <v>350000</v>
      </c>
      <c r="O153" s="162">
        <f>'дод 2'!P38+'дод 2'!P118</f>
        <v>32754200</v>
      </c>
    </row>
    <row r="154" spans="1:15" s="51" customFormat="1" ht="25.5" hidden="1" customHeight="1" x14ac:dyDescent="0.25">
      <c r="A154" s="37"/>
      <c r="B154" s="37"/>
      <c r="C154" s="79" t="s">
        <v>390</v>
      </c>
      <c r="D154" s="163">
        <f>'дод 2'!E119</f>
        <v>0</v>
      </c>
      <c r="E154" s="163">
        <f>'дод 2'!F119</f>
        <v>0</v>
      </c>
      <c r="F154" s="163">
        <f>'дод 2'!G119</f>
        <v>0</v>
      </c>
      <c r="G154" s="163">
        <f>'дод 2'!H119</f>
        <v>0</v>
      </c>
      <c r="H154" s="163">
        <f>'дод 2'!I119</f>
        <v>0</v>
      </c>
      <c r="I154" s="163">
        <f>'дод 2'!J119</f>
        <v>0</v>
      </c>
      <c r="J154" s="163">
        <f>'дод 2'!K119</f>
        <v>0</v>
      </c>
      <c r="K154" s="163">
        <f>'дод 2'!L119</f>
        <v>0</v>
      </c>
      <c r="L154" s="163">
        <f>'дод 2'!M119</f>
        <v>0</v>
      </c>
      <c r="M154" s="163">
        <f>'дод 2'!N119</f>
        <v>0</v>
      </c>
      <c r="N154" s="163">
        <f>'дод 2'!O119</f>
        <v>0</v>
      </c>
      <c r="O154" s="163">
        <f>'дод 2'!P119</f>
        <v>0</v>
      </c>
    </row>
    <row r="155" spans="1:15" s="51" customFormat="1" ht="38.25" customHeight="1" x14ac:dyDescent="0.25">
      <c r="A155" s="37" t="s">
        <v>115</v>
      </c>
      <c r="B155" s="37" t="s">
        <v>79</v>
      </c>
      <c r="C155" s="3" t="s">
        <v>22</v>
      </c>
      <c r="D155" s="162">
        <f>'дод 2'!E39</f>
        <v>15560000</v>
      </c>
      <c r="E155" s="162">
        <f>'дод 2'!F39</f>
        <v>15560000</v>
      </c>
      <c r="F155" s="162">
        <f>'дод 2'!G39</f>
        <v>0</v>
      </c>
      <c r="G155" s="162">
        <f>'дод 2'!H39</f>
        <v>0</v>
      </c>
      <c r="H155" s="162">
        <f>'дод 2'!I39</f>
        <v>0</v>
      </c>
      <c r="I155" s="162">
        <f>'дод 2'!J39</f>
        <v>0</v>
      </c>
      <c r="J155" s="162">
        <f>'дод 2'!K39</f>
        <v>0</v>
      </c>
      <c r="K155" s="162">
        <f>'дод 2'!L39</f>
        <v>0</v>
      </c>
      <c r="L155" s="162">
        <f>'дод 2'!M39</f>
        <v>0</v>
      </c>
      <c r="M155" s="162">
        <f>'дод 2'!N39</f>
        <v>0</v>
      </c>
      <c r="N155" s="162">
        <f>'дод 2'!O39</f>
        <v>0</v>
      </c>
      <c r="O155" s="162">
        <f>'дод 2'!P39</f>
        <v>15560000</v>
      </c>
    </row>
    <row r="156" spans="1:15" s="51" customFormat="1" ht="54" customHeight="1" x14ac:dyDescent="0.25">
      <c r="A156" s="37" t="s">
        <v>111</v>
      </c>
      <c r="B156" s="37" t="s">
        <v>79</v>
      </c>
      <c r="C156" s="3" t="s">
        <v>598</v>
      </c>
      <c r="D156" s="162">
        <f>'дод 2'!E40</f>
        <v>5512100</v>
      </c>
      <c r="E156" s="162">
        <f>'дод 2'!F40</f>
        <v>5512100</v>
      </c>
      <c r="F156" s="162">
        <f>'дод 2'!G40</f>
        <v>3154100</v>
      </c>
      <c r="G156" s="162">
        <f>'дод 2'!H40</f>
        <v>630400</v>
      </c>
      <c r="H156" s="162">
        <f>'дод 2'!I40</f>
        <v>0</v>
      </c>
      <c r="I156" s="162">
        <f>'дод 2'!J40</f>
        <v>10436660</v>
      </c>
      <c r="J156" s="162">
        <f>'дод 2'!K40</f>
        <v>10000000</v>
      </c>
      <c r="K156" s="162">
        <f>'дод 2'!L40</f>
        <v>436660</v>
      </c>
      <c r="L156" s="162">
        <f>'дод 2'!M40</f>
        <v>288239</v>
      </c>
      <c r="M156" s="162">
        <f>'дод 2'!N40</f>
        <v>62532</v>
      </c>
      <c r="N156" s="162">
        <f>'дод 2'!O40</f>
        <v>10000000</v>
      </c>
      <c r="O156" s="162">
        <f>'дод 2'!P40</f>
        <v>15948760</v>
      </c>
    </row>
    <row r="157" spans="1:15" s="51" customFormat="1" ht="36.75" customHeight="1" x14ac:dyDescent="0.25">
      <c r="A157" s="37" t="s">
        <v>113</v>
      </c>
      <c r="B157" s="37" t="s">
        <v>79</v>
      </c>
      <c r="C157" s="3" t="s">
        <v>112</v>
      </c>
      <c r="D157" s="162">
        <f>'дод 2'!E41</f>
        <v>17912700</v>
      </c>
      <c r="E157" s="162">
        <f>'дод 2'!F41</f>
        <v>17912700</v>
      </c>
      <c r="F157" s="162">
        <f>'дод 2'!G41</f>
        <v>0</v>
      </c>
      <c r="G157" s="162">
        <f>'дод 2'!H41</f>
        <v>0</v>
      </c>
      <c r="H157" s="162">
        <f>'дод 2'!I41</f>
        <v>0</v>
      </c>
      <c r="I157" s="162">
        <f>'дод 2'!J41</f>
        <v>0</v>
      </c>
      <c r="J157" s="162">
        <f>'дод 2'!K41</f>
        <v>0</v>
      </c>
      <c r="K157" s="162">
        <f>'дод 2'!L41</f>
        <v>0</v>
      </c>
      <c r="L157" s="162">
        <f>'дод 2'!M41</f>
        <v>0</v>
      </c>
      <c r="M157" s="162">
        <f>'дод 2'!N41</f>
        <v>0</v>
      </c>
      <c r="N157" s="162">
        <f>'дод 2'!O41</f>
        <v>0</v>
      </c>
      <c r="O157" s="162">
        <f>'дод 2'!P41</f>
        <v>17912700</v>
      </c>
    </row>
    <row r="158" spans="1:15" s="49" customFormat="1" ht="18" customHeight="1" x14ac:dyDescent="0.25">
      <c r="A158" s="38" t="s">
        <v>65</v>
      </c>
      <c r="B158" s="41"/>
      <c r="C158" s="2" t="s">
        <v>66</v>
      </c>
      <c r="D158" s="47">
        <f>D160+D161+D162+D163+D164+D165+D167+D169+D170+D166</f>
        <v>400375334</v>
      </c>
      <c r="E158" s="47">
        <f t="shared" ref="E158:O158" si="26">E160+E161+E162+E163+E164+E165+E167+E169+E170+E166</f>
        <v>219393760</v>
      </c>
      <c r="F158" s="47">
        <f t="shared" si="26"/>
        <v>0</v>
      </c>
      <c r="G158" s="47">
        <f t="shared" si="26"/>
        <v>44470000</v>
      </c>
      <c r="H158" s="47">
        <f t="shared" si="26"/>
        <v>180981574</v>
      </c>
      <c r="I158" s="47">
        <f t="shared" si="26"/>
        <v>130672753</v>
      </c>
      <c r="J158" s="47">
        <f t="shared" si="26"/>
        <v>128690000</v>
      </c>
      <c r="K158" s="47">
        <f t="shared" si="26"/>
        <v>1779900</v>
      </c>
      <c r="L158" s="47">
        <f t="shared" si="26"/>
        <v>0</v>
      </c>
      <c r="M158" s="47">
        <f t="shared" si="26"/>
        <v>0</v>
      </c>
      <c r="N158" s="47">
        <f t="shared" si="26"/>
        <v>128892853</v>
      </c>
      <c r="O158" s="47">
        <f t="shared" si="26"/>
        <v>531048087</v>
      </c>
    </row>
    <row r="159" spans="1:15" s="50" customFormat="1" ht="113.25" hidden="1" customHeight="1" x14ac:dyDescent="0.25">
      <c r="A159" s="65"/>
      <c r="B159" s="66"/>
      <c r="C159" s="124" t="s">
        <v>574</v>
      </c>
      <c r="D159" s="164">
        <f>D168</f>
        <v>0</v>
      </c>
      <c r="E159" s="164">
        <f t="shared" ref="E159:O159" si="27">E168</f>
        <v>0</v>
      </c>
      <c r="F159" s="164">
        <f t="shared" si="27"/>
        <v>0</v>
      </c>
      <c r="G159" s="164">
        <f t="shared" si="27"/>
        <v>0</v>
      </c>
      <c r="H159" s="164">
        <f t="shared" si="27"/>
        <v>0</v>
      </c>
      <c r="I159" s="164">
        <f t="shared" si="27"/>
        <v>0</v>
      </c>
      <c r="J159" s="164">
        <f t="shared" si="27"/>
        <v>0</v>
      </c>
      <c r="K159" s="164">
        <f t="shared" si="27"/>
        <v>0</v>
      </c>
      <c r="L159" s="164">
        <f t="shared" si="27"/>
        <v>0</v>
      </c>
      <c r="M159" s="164">
        <f t="shared" si="27"/>
        <v>0</v>
      </c>
      <c r="N159" s="164">
        <f t="shared" si="27"/>
        <v>0</v>
      </c>
      <c r="O159" s="164">
        <f t="shared" si="27"/>
        <v>0</v>
      </c>
    </row>
    <row r="160" spans="1:15" s="51" customFormat="1" ht="31.5" x14ac:dyDescent="0.25">
      <c r="A160" s="37" t="s">
        <v>125</v>
      </c>
      <c r="B160" s="37" t="s">
        <v>67</v>
      </c>
      <c r="C160" s="3" t="s">
        <v>126</v>
      </c>
      <c r="D160" s="162">
        <f>'дод 2'!E239</f>
        <v>0</v>
      </c>
      <c r="E160" s="162">
        <f>'дод 2'!F239</f>
        <v>0</v>
      </c>
      <c r="F160" s="162">
        <f>'дод 2'!G239</f>
        <v>0</v>
      </c>
      <c r="G160" s="162">
        <f>'дод 2'!H239</f>
        <v>0</v>
      </c>
      <c r="H160" s="162">
        <f>'дод 2'!I239</f>
        <v>0</v>
      </c>
      <c r="I160" s="162">
        <f>'дод 2'!J239</f>
        <v>5560000</v>
      </c>
      <c r="J160" s="162">
        <f>'дод 2'!K239</f>
        <v>5560000</v>
      </c>
      <c r="K160" s="162">
        <f>'дод 2'!L239</f>
        <v>0</v>
      </c>
      <c r="L160" s="162">
        <f>'дод 2'!M239</f>
        <v>0</v>
      </c>
      <c r="M160" s="162">
        <f>'дод 2'!N239</f>
        <v>0</v>
      </c>
      <c r="N160" s="162">
        <f>'дод 2'!O239</f>
        <v>5560000</v>
      </c>
      <c r="O160" s="162">
        <f>'дод 2'!P239</f>
        <v>5560000</v>
      </c>
    </row>
    <row r="161" spans="1:15" s="51" customFormat="1" ht="36.75" customHeight="1" x14ac:dyDescent="0.25">
      <c r="A161" s="37" t="s">
        <v>127</v>
      </c>
      <c r="B161" s="37" t="s">
        <v>69</v>
      </c>
      <c r="C161" s="3" t="s">
        <v>144</v>
      </c>
      <c r="D161" s="162">
        <f>'дод 2'!E240</f>
        <v>576000</v>
      </c>
      <c r="E161" s="162">
        <f>'дод 2'!F240</f>
        <v>376000</v>
      </c>
      <c r="F161" s="162">
        <f>'дод 2'!G240</f>
        <v>0</v>
      </c>
      <c r="G161" s="162">
        <f>'дод 2'!H240</f>
        <v>0</v>
      </c>
      <c r="H161" s="162">
        <f>'дод 2'!I240</f>
        <v>200000</v>
      </c>
      <c r="I161" s="162">
        <f>'дод 2'!J240</f>
        <v>0</v>
      </c>
      <c r="J161" s="162">
        <f>'дод 2'!K240</f>
        <v>0</v>
      </c>
      <c r="K161" s="162">
        <f>'дод 2'!L240</f>
        <v>0</v>
      </c>
      <c r="L161" s="162">
        <f>'дод 2'!M240</f>
        <v>0</v>
      </c>
      <c r="M161" s="162">
        <f>'дод 2'!N240</f>
        <v>0</v>
      </c>
      <c r="N161" s="162">
        <f>'дод 2'!O240</f>
        <v>0</v>
      </c>
      <c r="O161" s="162">
        <f>'дод 2'!P240</f>
        <v>576000</v>
      </c>
    </row>
    <row r="162" spans="1:15" s="51" customFormat="1" ht="33" customHeight="1" x14ac:dyDescent="0.25">
      <c r="A162" s="40" t="s">
        <v>257</v>
      </c>
      <c r="B162" s="40" t="s">
        <v>69</v>
      </c>
      <c r="C162" s="3" t="s">
        <v>258</v>
      </c>
      <c r="D162" s="162">
        <f>'дод 2'!E241</f>
        <v>100000</v>
      </c>
      <c r="E162" s="162">
        <f>'дод 2'!F241</f>
        <v>100000</v>
      </c>
      <c r="F162" s="162">
        <f>'дод 2'!G241</f>
        <v>0</v>
      </c>
      <c r="G162" s="162">
        <f>'дод 2'!H241</f>
        <v>0</v>
      </c>
      <c r="H162" s="162">
        <f>'дод 2'!I241</f>
        <v>0</v>
      </c>
      <c r="I162" s="162">
        <f>'дод 2'!J241</f>
        <v>14472274</v>
      </c>
      <c r="J162" s="162">
        <f>'дод 2'!K241</f>
        <v>14380000</v>
      </c>
      <c r="K162" s="162">
        <f>'дод 2'!L241</f>
        <v>0</v>
      </c>
      <c r="L162" s="162">
        <f>'дод 2'!M241</f>
        <v>0</v>
      </c>
      <c r="M162" s="162">
        <f>'дод 2'!N241</f>
        <v>0</v>
      </c>
      <c r="N162" s="162">
        <f>'дод 2'!O241</f>
        <v>14472274</v>
      </c>
      <c r="O162" s="162">
        <f>'дод 2'!P241</f>
        <v>14572274</v>
      </c>
    </row>
    <row r="163" spans="1:15" s="51" customFormat="1" ht="33" customHeight="1" x14ac:dyDescent="0.25">
      <c r="A163" s="37" t="s">
        <v>260</v>
      </c>
      <c r="B163" s="37" t="s">
        <v>69</v>
      </c>
      <c r="C163" s="3" t="s">
        <v>339</v>
      </c>
      <c r="D163" s="162">
        <f>'дод 2'!E242</f>
        <v>110000</v>
      </c>
      <c r="E163" s="162">
        <f>'дод 2'!F242</f>
        <v>110000</v>
      </c>
      <c r="F163" s="162">
        <f>'дод 2'!G242</f>
        <v>0</v>
      </c>
      <c r="G163" s="162">
        <f>'дод 2'!H242</f>
        <v>0</v>
      </c>
      <c r="H163" s="162">
        <f>'дод 2'!I242</f>
        <v>0</v>
      </c>
      <c r="I163" s="162">
        <f>'дод 2'!J242</f>
        <v>0</v>
      </c>
      <c r="J163" s="162">
        <f>'дод 2'!K242</f>
        <v>0</v>
      </c>
      <c r="K163" s="162">
        <f>'дод 2'!L242</f>
        <v>0</v>
      </c>
      <c r="L163" s="162">
        <f>'дод 2'!M242</f>
        <v>0</v>
      </c>
      <c r="M163" s="162">
        <f>'дод 2'!N242</f>
        <v>0</v>
      </c>
      <c r="N163" s="162">
        <f>'дод 2'!O242</f>
        <v>0</v>
      </c>
      <c r="O163" s="162">
        <f>'дод 2'!P242</f>
        <v>110000</v>
      </c>
    </row>
    <row r="164" spans="1:15" s="51" customFormat="1" ht="52.5" customHeight="1" x14ac:dyDescent="0.25">
      <c r="A164" s="37" t="s">
        <v>68</v>
      </c>
      <c r="B164" s="37" t="s">
        <v>69</v>
      </c>
      <c r="C164" s="3" t="s">
        <v>130</v>
      </c>
      <c r="D164" s="162">
        <f>'дод 2'!E243</f>
        <v>350000</v>
      </c>
      <c r="E164" s="162">
        <f>'дод 2'!F243</f>
        <v>0</v>
      </c>
      <c r="F164" s="162">
        <f>'дод 2'!G243</f>
        <v>0</v>
      </c>
      <c r="G164" s="162">
        <f>'дод 2'!H243</f>
        <v>0</v>
      </c>
      <c r="H164" s="162">
        <f>'дод 2'!I243</f>
        <v>350000</v>
      </c>
      <c r="I164" s="162">
        <f>'дод 2'!J243</f>
        <v>0</v>
      </c>
      <c r="J164" s="162">
        <f>'дод 2'!K243</f>
        <v>0</v>
      </c>
      <c r="K164" s="162">
        <f>'дод 2'!L243</f>
        <v>0</v>
      </c>
      <c r="L164" s="162">
        <f>'дод 2'!M243</f>
        <v>0</v>
      </c>
      <c r="M164" s="162">
        <f>'дод 2'!N243</f>
        <v>0</v>
      </c>
      <c r="N164" s="162">
        <f>'дод 2'!O243</f>
        <v>0</v>
      </c>
      <c r="O164" s="162">
        <f>'дод 2'!P243</f>
        <v>350000</v>
      </c>
    </row>
    <row r="165" spans="1:15" ht="24" customHeight="1" x14ac:dyDescent="0.25">
      <c r="A165" s="37" t="s">
        <v>128</v>
      </c>
      <c r="B165" s="37" t="s">
        <v>69</v>
      </c>
      <c r="C165" s="3" t="s">
        <v>129</v>
      </c>
      <c r="D165" s="162">
        <f>'дод 2'!E244+'дод 2'!E286</f>
        <v>190875000</v>
      </c>
      <c r="E165" s="162">
        <f>'дод 2'!F244+'дод 2'!F286</f>
        <v>190661000</v>
      </c>
      <c r="F165" s="162">
        <f>'дод 2'!G244+'дод 2'!G286</f>
        <v>0</v>
      </c>
      <c r="G165" s="162">
        <f>'дод 2'!H244+'дод 2'!H286</f>
        <v>44410000</v>
      </c>
      <c r="H165" s="162">
        <f>'дод 2'!I244+'дод 2'!I286</f>
        <v>214000</v>
      </c>
      <c r="I165" s="162">
        <f>'дод 2'!J244+'дод 2'!J286</f>
        <v>108750000</v>
      </c>
      <c r="J165" s="162">
        <f>'дод 2'!K244+'дод 2'!K286</f>
        <v>108750000</v>
      </c>
      <c r="K165" s="162">
        <f>'дод 2'!L244+'дод 2'!L286</f>
        <v>0</v>
      </c>
      <c r="L165" s="162">
        <f>'дод 2'!M244+'дод 2'!M286</f>
        <v>0</v>
      </c>
      <c r="M165" s="162">
        <f>'дод 2'!N244+'дод 2'!N286</f>
        <v>0</v>
      </c>
      <c r="N165" s="162">
        <f>'дод 2'!O244+'дод 2'!O286</f>
        <v>108750000</v>
      </c>
      <c r="O165" s="162">
        <f>'дод 2'!P244+'дод 2'!P286</f>
        <v>299625000</v>
      </c>
    </row>
    <row r="166" spans="1:15" ht="94.5" x14ac:dyDescent="0.25">
      <c r="A166" s="37">
        <v>6071</v>
      </c>
      <c r="B166" s="56" t="s">
        <v>307</v>
      </c>
      <c r="C166" s="11" t="s">
        <v>584</v>
      </c>
      <c r="D166" s="162">
        <f>'дод 2'!E247</f>
        <v>180117574</v>
      </c>
      <c r="E166" s="162">
        <f>'дод 2'!F247</f>
        <v>0</v>
      </c>
      <c r="F166" s="162">
        <f>'дод 2'!G247</f>
        <v>0</v>
      </c>
      <c r="G166" s="162">
        <f>'дод 2'!H247</f>
        <v>0</v>
      </c>
      <c r="H166" s="162">
        <f>'дод 2'!I247</f>
        <v>180117574</v>
      </c>
      <c r="I166" s="162">
        <f>'дод 2'!J247</f>
        <v>0</v>
      </c>
      <c r="J166" s="162">
        <f>'дод 2'!K247</f>
        <v>0</v>
      </c>
      <c r="K166" s="162">
        <f>'дод 2'!L247</f>
        <v>0</v>
      </c>
      <c r="L166" s="162">
        <f>'дод 2'!M247</f>
        <v>0</v>
      </c>
      <c r="M166" s="162">
        <f>'дод 2'!N247</f>
        <v>0</v>
      </c>
      <c r="N166" s="162">
        <f>'дод 2'!O247</f>
        <v>0</v>
      </c>
      <c r="O166" s="162">
        <f>'дод 2'!P247</f>
        <v>180117574</v>
      </c>
    </row>
    <row r="167" spans="1:15" ht="83.25" hidden="1" customHeight="1" x14ac:dyDescent="0.25">
      <c r="A167" s="37">
        <v>6083</v>
      </c>
      <c r="B167" s="55" t="s">
        <v>67</v>
      </c>
      <c r="C167" s="11" t="s">
        <v>428</v>
      </c>
      <c r="D167" s="162">
        <f>'дод 2'!E215+'дод 2'!E245</f>
        <v>0</v>
      </c>
      <c r="E167" s="162">
        <f>'дод 2'!F215+'дод 2'!F245</f>
        <v>0</v>
      </c>
      <c r="F167" s="162">
        <f>'дод 2'!G215+'дод 2'!G245</f>
        <v>0</v>
      </c>
      <c r="G167" s="162">
        <f>'дод 2'!H215+'дод 2'!H245</f>
        <v>0</v>
      </c>
      <c r="H167" s="162">
        <f>'дод 2'!I215+'дод 2'!I245</f>
        <v>0</v>
      </c>
      <c r="I167" s="162">
        <f>'дод 2'!J215+'дод 2'!J245</f>
        <v>0</v>
      </c>
      <c r="J167" s="162">
        <f>'дод 2'!K215+'дод 2'!K245</f>
        <v>0</v>
      </c>
      <c r="K167" s="162">
        <f>'дод 2'!L215+'дод 2'!L245</f>
        <v>0</v>
      </c>
      <c r="L167" s="162">
        <f>'дод 2'!M215+'дод 2'!M245</f>
        <v>0</v>
      </c>
      <c r="M167" s="162">
        <f>'дод 2'!N215+'дод 2'!N245</f>
        <v>0</v>
      </c>
      <c r="N167" s="162">
        <f>'дод 2'!O215+'дод 2'!O245</f>
        <v>0</v>
      </c>
      <c r="O167" s="162">
        <f>'дод 2'!P215+'дод 2'!P245</f>
        <v>0</v>
      </c>
    </row>
    <row r="168" spans="1:15" s="51" customFormat="1" ht="126" hidden="1" customHeight="1" x14ac:dyDescent="0.25">
      <c r="A168" s="71"/>
      <c r="B168" s="81"/>
      <c r="C168" s="82" t="s">
        <v>574</v>
      </c>
      <c r="D168" s="163">
        <f>'дод 2'!E216+'дод 2'!E246</f>
        <v>0</v>
      </c>
      <c r="E168" s="163">
        <f>'дод 2'!F216+'дод 2'!F246</f>
        <v>0</v>
      </c>
      <c r="F168" s="163">
        <f>'дод 2'!G216+'дод 2'!G246</f>
        <v>0</v>
      </c>
      <c r="G168" s="163">
        <f>'дод 2'!H216+'дод 2'!H246</f>
        <v>0</v>
      </c>
      <c r="H168" s="163">
        <f>'дод 2'!I216+'дод 2'!I246</f>
        <v>0</v>
      </c>
      <c r="I168" s="163">
        <f>'дод 2'!J216+'дод 2'!J246</f>
        <v>0</v>
      </c>
      <c r="J168" s="163">
        <f>'дод 2'!K216+'дод 2'!K246</f>
        <v>0</v>
      </c>
      <c r="K168" s="163">
        <f>'дод 2'!L216+'дод 2'!L246</f>
        <v>0</v>
      </c>
      <c r="L168" s="163">
        <f>'дод 2'!M216+'дод 2'!M246</f>
        <v>0</v>
      </c>
      <c r="M168" s="163">
        <f>'дод 2'!N216+'дод 2'!N246</f>
        <v>0</v>
      </c>
      <c r="N168" s="163">
        <f>'дод 2'!O216+'дод 2'!O246</f>
        <v>0</v>
      </c>
      <c r="O168" s="163">
        <f>'дод 2'!P216+'дод 2'!P246</f>
        <v>0</v>
      </c>
    </row>
    <row r="169" spans="1:15" s="51" customFormat="1" ht="54" customHeight="1" x14ac:dyDescent="0.25">
      <c r="A169" s="37" t="s">
        <v>132</v>
      </c>
      <c r="B169" s="42" t="s">
        <v>67</v>
      </c>
      <c r="C169" s="3" t="s">
        <v>599</v>
      </c>
      <c r="D169" s="162">
        <f>'дод 2'!E287</f>
        <v>0</v>
      </c>
      <c r="E169" s="162">
        <f>'дод 2'!F287</f>
        <v>0</v>
      </c>
      <c r="F169" s="162">
        <f>'дод 2'!G287</f>
        <v>0</v>
      </c>
      <c r="G169" s="162">
        <f>'дод 2'!H287</f>
        <v>0</v>
      </c>
      <c r="H169" s="162">
        <f>'дод 2'!I287</f>
        <v>0</v>
      </c>
      <c r="I169" s="162">
        <f>'дод 2'!J287</f>
        <v>110579</v>
      </c>
      <c r="J169" s="162">
        <f>'дод 2'!K287</f>
        <v>0</v>
      </c>
      <c r="K169" s="162">
        <f>'дод 2'!L287</f>
        <v>0</v>
      </c>
      <c r="L169" s="162">
        <f>'дод 2'!M287</f>
        <v>0</v>
      </c>
      <c r="M169" s="162">
        <f>'дод 2'!N287</f>
        <v>0</v>
      </c>
      <c r="N169" s="162">
        <f>'дод 2'!O287</f>
        <v>110579</v>
      </c>
      <c r="O169" s="162">
        <f>'дод 2'!P287</f>
        <v>110579</v>
      </c>
    </row>
    <row r="170" spans="1:15" ht="36" customHeight="1" x14ac:dyDescent="0.25">
      <c r="A170" s="37" t="s">
        <v>138</v>
      </c>
      <c r="B170" s="42" t="s">
        <v>307</v>
      </c>
      <c r="C170" s="3" t="s">
        <v>139</v>
      </c>
      <c r="D170" s="162">
        <f>'дод 2'!E248+'дод 2'!E306</f>
        <v>28246760</v>
      </c>
      <c r="E170" s="162">
        <f>'дод 2'!F248+'дод 2'!F306</f>
        <v>28146760</v>
      </c>
      <c r="F170" s="162">
        <f>'дод 2'!G248+'дод 2'!G306</f>
        <v>0</v>
      </c>
      <c r="G170" s="162">
        <f>'дод 2'!H248+'дод 2'!H306</f>
        <v>60000</v>
      </c>
      <c r="H170" s="162">
        <f>'дод 2'!I248+'дод 2'!I306</f>
        <v>100000</v>
      </c>
      <c r="I170" s="162">
        <f>'дод 2'!J248+'дод 2'!J306</f>
        <v>1779900</v>
      </c>
      <c r="J170" s="162">
        <f>'дод 2'!K248+'дод 2'!K306</f>
        <v>0</v>
      </c>
      <c r="K170" s="162">
        <f>'дод 2'!L248+'дод 2'!L306</f>
        <v>1779900</v>
      </c>
      <c r="L170" s="162">
        <f>'дод 2'!M248+'дод 2'!M306</f>
        <v>0</v>
      </c>
      <c r="M170" s="162">
        <f>'дод 2'!N248+'дод 2'!N306</f>
        <v>0</v>
      </c>
      <c r="N170" s="162">
        <f>'дод 2'!O248+'дод 2'!O306</f>
        <v>0</v>
      </c>
      <c r="O170" s="162">
        <f>'дод 2'!P248+'дод 2'!P306</f>
        <v>30026660</v>
      </c>
    </row>
    <row r="171" spans="1:15" s="49" customFormat="1" ht="21.75" customHeight="1" x14ac:dyDescent="0.25">
      <c r="A171" s="38" t="s">
        <v>133</v>
      </c>
      <c r="B171" s="41"/>
      <c r="C171" s="2" t="s">
        <v>401</v>
      </c>
      <c r="D171" s="47">
        <f>D176+D178+D198+D214+D216+D228</f>
        <v>82756903</v>
      </c>
      <c r="E171" s="47">
        <f>E176+E178+E198+E214+E216+E228</f>
        <v>17744757</v>
      </c>
      <c r="F171" s="47">
        <f t="shared" ref="F171:O171" si="28">F176+F178+F198+F214+F216+F228</f>
        <v>0</v>
      </c>
      <c r="G171" s="47">
        <f t="shared" si="28"/>
        <v>0</v>
      </c>
      <c r="H171" s="47">
        <f t="shared" si="28"/>
        <v>65012146</v>
      </c>
      <c r="I171" s="47">
        <f t="shared" si="28"/>
        <v>534819360</v>
      </c>
      <c r="J171" s="47">
        <f t="shared" si="28"/>
        <v>527623961</v>
      </c>
      <c r="K171" s="47">
        <f t="shared" si="28"/>
        <v>1292609</v>
      </c>
      <c r="L171" s="47">
        <f t="shared" si="28"/>
        <v>0</v>
      </c>
      <c r="M171" s="47">
        <f t="shared" si="28"/>
        <v>0</v>
      </c>
      <c r="N171" s="47">
        <f t="shared" si="28"/>
        <v>533526751</v>
      </c>
      <c r="O171" s="47">
        <f t="shared" si="28"/>
        <v>617576263</v>
      </c>
    </row>
    <row r="172" spans="1:15" s="50" customFormat="1" ht="47.25" hidden="1" customHeight="1" x14ac:dyDescent="0.25">
      <c r="A172" s="65"/>
      <c r="B172" s="66"/>
      <c r="C172" s="69" t="s">
        <v>383</v>
      </c>
      <c r="D172" s="164">
        <f>D179</f>
        <v>0</v>
      </c>
      <c r="E172" s="164">
        <f t="shared" ref="E172:O172" si="29">E179</f>
        <v>0</v>
      </c>
      <c r="F172" s="164">
        <f t="shared" si="29"/>
        <v>0</v>
      </c>
      <c r="G172" s="164">
        <f t="shared" si="29"/>
        <v>0</v>
      </c>
      <c r="H172" s="164">
        <f t="shared" si="29"/>
        <v>0</v>
      </c>
      <c r="I172" s="164">
        <f t="shared" si="29"/>
        <v>0</v>
      </c>
      <c r="J172" s="164">
        <f t="shared" si="29"/>
        <v>0</v>
      </c>
      <c r="K172" s="164">
        <f t="shared" si="29"/>
        <v>0</v>
      </c>
      <c r="L172" s="164">
        <f t="shared" si="29"/>
        <v>0</v>
      </c>
      <c r="M172" s="164">
        <f t="shared" si="29"/>
        <v>0</v>
      </c>
      <c r="N172" s="164">
        <f t="shared" si="29"/>
        <v>0</v>
      </c>
      <c r="O172" s="164">
        <f t="shared" si="29"/>
        <v>0</v>
      </c>
    </row>
    <row r="173" spans="1:15" s="50" customFormat="1" ht="110.25" hidden="1" customHeight="1" x14ac:dyDescent="0.25">
      <c r="A173" s="65"/>
      <c r="B173" s="66"/>
      <c r="C173" s="69" t="s">
        <v>391</v>
      </c>
      <c r="D173" s="164">
        <f>D199</f>
        <v>0</v>
      </c>
      <c r="E173" s="164">
        <f t="shared" ref="E173:N173" si="30">E199</f>
        <v>0</v>
      </c>
      <c r="F173" s="164">
        <f t="shared" si="30"/>
        <v>0</v>
      </c>
      <c r="G173" s="164">
        <f t="shared" si="30"/>
        <v>0</v>
      </c>
      <c r="H173" s="164">
        <f t="shared" si="30"/>
        <v>0</v>
      </c>
      <c r="I173" s="164">
        <f t="shared" si="30"/>
        <v>0</v>
      </c>
      <c r="J173" s="164">
        <f t="shared" si="30"/>
        <v>0</v>
      </c>
      <c r="K173" s="164">
        <f t="shared" si="30"/>
        <v>0</v>
      </c>
      <c r="L173" s="164">
        <f t="shared" si="30"/>
        <v>0</v>
      </c>
      <c r="M173" s="164">
        <f t="shared" si="30"/>
        <v>0</v>
      </c>
      <c r="N173" s="164">
        <f t="shared" si="30"/>
        <v>0</v>
      </c>
      <c r="O173" s="164">
        <f t="shared" ref="O173" si="31">O199</f>
        <v>0</v>
      </c>
    </row>
    <row r="174" spans="1:15" s="50" customFormat="1" ht="15.75" hidden="1" customHeight="1" x14ac:dyDescent="0.25">
      <c r="A174" s="65"/>
      <c r="B174" s="66"/>
      <c r="C174" s="70" t="s">
        <v>390</v>
      </c>
      <c r="D174" s="164">
        <f>D180+D201</f>
        <v>0</v>
      </c>
      <c r="E174" s="164">
        <f t="shared" ref="E174:O174" si="32">E180+E201</f>
        <v>0</v>
      </c>
      <c r="F174" s="164">
        <f t="shared" si="32"/>
        <v>0</v>
      </c>
      <c r="G174" s="164">
        <f t="shared" si="32"/>
        <v>0</v>
      </c>
      <c r="H174" s="164">
        <f t="shared" si="32"/>
        <v>0</v>
      </c>
      <c r="I174" s="164">
        <f t="shared" si="32"/>
        <v>0</v>
      </c>
      <c r="J174" s="164">
        <f t="shared" si="32"/>
        <v>0</v>
      </c>
      <c r="K174" s="164">
        <f t="shared" si="32"/>
        <v>0</v>
      </c>
      <c r="L174" s="164">
        <f t="shared" si="32"/>
        <v>0</v>
      </c>
      <c r="M174" s="164">
        <f t="shared" si="32"/>
        <v>0</v>
      </c>
      <c r="N174" s="164">
        <f t="shared" si="32"/>
        <v>0</v>
      </c>
      <c r="O174" s="164">
        <f t="shared" si="32"/>
        <v>0</v>
      </c>
    </row>
    <row r="175" spans="1:15" s="50" customFormat="1" ht="18" customHeight="1" x14ac:dyDescent="0.25">
      <c r="A175" s="65"/>
      <c r="B175" s="65"/>
      <c r="C175" s="75" t="s">
        <v>413</v>
      </c>
      <c r="D175" s="164">
        <f>D217</f>
        <v>0</v>
      </c>
      <c r="E175" s="164">
        <f t="shared" ref="E175:O175" si="33">E217</f>
        <v>0</v>
      </c>
      <c r="F175" s="164">
        <f t="shared" si="33"/>
        <v>0</v>
      </c>
      <c r="G175" s="164">
        <f t="shared" si="33"/>
        <v>0</v>
      </c>
      <c r="H175" s="164">
        <f t="shared" si="33"/>
        <v>0</v>
      </c>
      <c r="I175" s="164">
        <f t="shared" si="33"/>
        <v>180458652</v>
      </c>
      <c r="J175" s="164">
        <f t="shared" si="33"/>
        <v>180458652</v>
      </c>
      <c r="K175" s="164">
        <f t="shared" si="33"/>
        <v>0</v>
      </c>
      <c r="L175" s="164">
        <f t="shared" si="33"/>
        <v>0</v>
      </c>
      <c r="M175" s="164">
        <f t="shared" si="33"/>
        <v>0</v>
      </c>
      <c r="N175" s="164">
        <f t="shared" si="33"/>
        <v>180458652</v>
      </c>
      <c r="O175" s="164">
        <f t="shared" si="33"/>
        <v>180458652</v>
      </c>
    </row>
    <row r="176" spans="1:15" s="49" customFormat="1" x14ac:dyDescent="0.25">
      <c r="A176" s="38" t="s">
        <v>140</v>
      </c>
      <c r="B176" s="41"/>
      <c r="C176" s="2" t="s">
        <v>141</v>
      </c>
      <c r="D176" s="47">
        <f t="shared" ref="D176:O176" si="34">D177</f>
        <v>990000</v>
      </c>
      <c r="E176" s="47">
        <f t="shared" si="34"/>
        <v>990000</v>
      </c>
      <c r="F176" s="47">
        <f t="shared" si="34"/>
        <v>0</v>
      </c>
      <c r="G176" s="47">
        <f t="shared" si="34"/>
        <v>0</v>
      </c>
      <c r="H176" s="47">
        <f t="shared" si="34"/>
        <v>0</v>
      </c>
      <c r="I176" s="47">
        <f t="shared" si="34"/>
        <v>0</v>
      </c>
      <c r="J176" s="47">
        <f t="shared" si="34"/>
        <v>0</v>
      </c>
      <c r="K176" s="47">
        <f t="shared" si="34"/>
        <v>0</v>
      </c>
      <c r="L176" s="47">
        <f t="shared" si="34"/>
        <v>0</v>
      </c>
      <c r="M176" s="47">
        <f t="shared" si="34"/>
        <v>0</v>
      </c>
      <c r="N176" s="47">
        <f t="shared" si="34"/>
        <v>0</v>
      </c>
      <c r="O176" s="47">
        <f t="shared" si="34"/>
        <v>990000</v>
      </c>
    </row>
    <row r="177" spans="1:15" ht="24" customHeight="1" x14ac:dyDescent="0.25">
      <c r="A177" s="37" t="s">
        <v>134</v>
      </c>
      <c r="B177" s="37" t="s">
        <v>82</v>
      </c>
      <c r="C177" s="3" t="s">
        <v>340</v>
      </c>
      <c r="D177" s="162">
        <f>'дод 2'!E317</f>
        <v>990000</v>
      </c>
      <c r="E177" s="162">
        <f>'дод 2'!F317</f>
        <v>990000</v>
      </c>
      <c r="F177" s="162">
        <f>'дод 2'!G317</f>
        <v>0</v>
      </c>
      <c r="G177" s="162">
        <f>'дод 2'!H317</f>
        <v>0</v>
      </c>
      <c r="H177" s="162">
        <f>'дод 2'!I317</f>
        <v>0</v>
      </c>
      <c r="I177" s="162">
        <f>'дод 2'!J317</f>
        <v>0</v>
      </c>
      <c r="J177" s="162">
        <f>'дод 2'!K317</f>
        <v>0</v>
      </c>
      <c r="K177" s="162">
        <f>'дод 2'!L317</f>
        <v>0</v>
      </c>
      <c r="L177" s="162">
        <f>'дод 2'!M317</f>
        <v>0</v>
      </c>
      <c r="M177" s="162">
        <f>'дод 2'!N317</f>
        <v>0</v>
      </c>
      <c r="N177" s="162">
        <f>'дод 2'!O317</f>
        <v>0</v>
      </c>
      <c r="O177" s="162">
        <f>'дод 2'!P317</f>
        <v>990000</v>
      </c>
    </row>
    <row r="178" spans="1:15" s="49" customFormat="1" x14ac:dyDescent="0.25">
      <c r="A178" s="38" t="s">
        <v>96</v>
      </c>
      <c r="B178" s="38"/>
      <c r="C178" s="13" t="s">
        <v>592</v>
      </c>
      <c r="D178" s="47">
        <f>D181+D182+D184+D185+D186+D187+D188+D189+D190+D191+D193+D195+D197</f>
        <v>3397500</v>
      </c>
      <c r="E178" s="47">
        <f t="shared" ref="E178:O178" si="35">E181+E182+E184+E185+E186+E187+E188+E189+E190+E191+E193+E195+E197</f>
        <v>247500</v>
      </c>
      <c r="F178" s="47">
        <f t="shared" si="35"/>
        <v>0</v>
      </c>
      <c r="G178" s="47">
        <f t="shared" si="35"/>
        <v>0</v>
      </c>
      <c r="H178" s="47">
        <f t="shared" si="35"/>
        <v>3150000</v>
      </c>
      <c r="I178" s="47">
        <f t="shared" si="35"/>
        <v>275276115</v>
      </c>
      <c r="J178" s="47">
        <f>J181+J182+J184+J185+J186+J187+J188+J189+J190+J191+J193+J195+J197</f>
        <v>275276115</v>
      </c>
      <c r="K178" s="47">
        <f t="shared" si="35"/>
        <v>0</v>
      </c>
      <c r="L178" s="47">
        <f t="shared" si="35"/>
        <v>0</v>
      </c>
      <c r="M178" s="47">
        <f t="shared" si="35"/>
        <v>0</v>
      </c>
      <c r="N178" s="47">
        <f t="shared" si="35"/>
        <v>275276115</v>
      </c>
      <c r="O178" s="47">
        <f t="shared" si="35"/>
        <v>278673615</v>
      </c>
    </row>
    <row r="179" spans="1:15" s="50" customFormat="1" ht="53.25" hidden="1" customHeight="1" x14ac:dyDescent="0.25">
      <c r="A179" s="65"/>
      <c r="B179" s="65"/>
      <c r="C179" s="69" t="s">
        <v>383</v>
      </c>
      <c r="D179" s="164">
        <f>D194</f>
        <v>0</v>
      </c>
      <c r="E179" s="164">
        <f t="shared" ref="E179:O179" si="36">E194</f>
        <v>0</v>
      </c>
      <c r="F179" s="164">
        <f t="shared" si="36"/>
        <v>0</v>
      </c>
      <c r="G179" s="164">
        <f t="shared" si="36"/>
        <v>0</v>
      </c>
      <c r="H179" s="164">
        <f t="shared" si="36"/>
        <v>0</v>
      </c>
      <c r="I179" s="164">
        <f t="shared" si="36"/>
        <v>0</v>
      </c>
      <c r="J179" s="164">
        <f t="shared" si="36"/>
        <v>0</v>
      </c>
      <c r="K179" s="164">
        <f t="shared" si="36"/>
        <v>0</v>
      </c>
      <c r="L179" s="164">
        <f t="shared" si="36"/>
        <v>0</v>
      </c>
      <c r="M179" s="164">
        <f t="shared" si="36"/>
        <v>0</v>
      </c>
      <c r="N179" s="164">
        <f t="shared" si="36"/>
        <v>0</v>
      </c>
      <c r="O179" s="164">
        <f t="shared" si="36"/>
        <v>0</v>
      </c>
    </row>
    <row r="180" spans="1:15" s="50" customFormat="1" ht="15.75" hidden="1" customHeight="1" x14ac:dyDescent="0.25">
      <c r="A180" s="65"/>
      <c r="B180" s="65"/>
      <c r="C180" s="70" t="s">
        <v>390</v>
      </c>
      <c r="D180" s="164">
        <f>D183+D196</f>
        <v>0</v>
      </c>
      <c r="E180" s="164">
        <f t="shared" ref="E180:O180" si="37">E183+E196</f>
        <v>0</v>
      </c>
      <c r="F180" s="164">
        <f t="shared" si="37"/>
        <v>0</v>
      </c>
      <c r="G180" s="164">
        <f t="shared" si="37"/>
        <v>0</v>
      </c>
      <c r="H180" s="164">
        <f t="shared" si="37"/>
        <v>0</v>
      </c>
      <c r="I180" s="164">
        <f t="shared" si="37"/>
        <v>0</v>
      </c>
      <c r="J180" s="164">
        <f>J183+J196</f>
        <v>0</v>
      </c>
      <c r="K180" s="164">
        <f t="shared" si="37"/>
        <v>0</v>
      </c>
      <c r="L180" s="164">
        <f t="shared" si="37"/>
        <v>0</v>
      </c>
      <c r="M180" s="164">
        <f t="shared" si="37"/>
        <v>0</v>
      </c>
      <c r="N180" s="164">
        <f t="shared" si="37"/>
        <v>0</v>
      </c>
      <c r="O180" s="164">
        <f t="shared" si="37"/>
        <v>0</v>
      </c>
    </row>
    <row r="181" spans="1:15" ht="33" customHeight="1" x14ac:dyDescent="0.25">
      <c r="A181" s="40" t="s">
        <v>269</v>
      </c>
      <c r="B181" s="40" t="s">
        <v>110</v>
      </c>
      <c r="C181" s="6" t="s">
        <v>528</v>
      </c>
      <c r="D181" s="162">
        <f>'дод 2'!E288+'дод 2'!E249</f>
        <v>0</v>
      </c>
      <c r="E181" s="162">
        <f>'дод 2'!F288+'дод 2'!F249</f>
        <v>0</v>
      </c>
      <c r="F181" s="162">
        <f>'дод 2'!G288+'дод 2'!G249</f>
        <v>0</v>
      </c>
      <c r="G181" s="162">
        <f>'дод 2'!H288+'дод 2'!H249</f>
        <v>0</v>
      </c>
      <c r="H181" s="162">
        <f>'дод 2'!I288+'дод 2'!I249</f>
        <v>0</v>
      </c>
      <c r="I181" s="162">
        <f>'дод 2'!J288+'дод 2'!J249</f>
        <v>145355680</v>
      </c>
      <c r="J181" s="162">
        <f>'дод 2'!K288+'дод 2'!K249</f>
        <v>145355680</v>
      </c>
      <c r="K181" s="162">
        <f>'дод 2'!L288+'дод 2'!L249</f>
        <v>0</v>
      </c>
      <c r="L181" s="162">
        <f>'дод 2'!M288+'дод 2'!M249</f>
        <v>0</v>
      </c>
      <c r="M181" s="162">
        <f>'дод 2'!N288+'дод 2'!N249</f>
        <v>0</v>
      </c>
      <c r="N181" s="162">
        <f>'дод 2'!O288+'дод 2'!O249</f>
        <v>145355680</v>
      </c>
      <c r="O181" s="162">
        <f>'дод 2'!P288+'дод 2'!P249</f>
        <v>145355680</v>
      </c>
    </row>
    <row r="182" spans="1:15" s="51" customFormat="1" ht="18.75" x14ac:dyDescent="0.25">
      <c r="A182" s="40" t="s">
        <v>274</v>
      </c>
      <c r="B182" s="40" t="s">
        <v>110</v>
      </c>
      <c r="C182" s="6" t="s">
        <v>524</v>
      </c>
      <c r="D182" s="162">
        <f>'дод 2'!E120+'дод 2'!E289</f>
        <v>0</v>
      </c>
      <c r="E182" s="162">
        <f>'дод 2'!F120+'дод 2'!F289</f>
        <v>0</v>
      </c>
      <c r="F182" s="162">
        <f>'дод 2'!G120+'дод 2'!G289</f>
        <v>0</v>
      </c>
      <c r="G182" s="162">
        <f>'дод 2'!H120+'дод 2'!H289</f>
        <v>0</v>
      </c>
      <c r="H182" s="162">
        <f>'дод 2'!I120+'дод 2'!I289</f>
        <v>0</v>
      </c>
      <c r="I182" s="162">
        <f>'дод 2'!J120+'дод 2'!J289</f>
        <v>7500000</v>
      </c>
      <c r="J182" s="162">
        <f>'дод 2'!K120+'дод 2'!K289</f>
        <v>7500000</v>
      </c>
      <c r="K182" s="162">
        <f>'дод 2'!L120+'дод 2'!L289</f>
        <v>0</v>
      </c>
      <c r="L182" s="162">
        <f>'дод 2'!M120+'дод 2'!M289</f>
        <v>0</v>
      </c>
      <c r="M182" s="162">
        <f>'дод 2'!N120+'дод 2'!N289</f>
        <v>0</v>
      </c>
      <c r="N182" s="162">
        <f>'дод 2'!O120+'дод 2'!O289</f>
        <v>7500000</v>
      </c>
      <c r="O182" s="162">
        <f>'дод 2'!P120+'дод 2'!P289</f>
        <v>7500000</v>
      </c>
    </row>
    <row r="183" spans="1:15" s="51" customFormat="1" ht="21.75" hidden="1" customHeight="1" x14ac:dyDescent="0.25">
      <c r="A183" s="74"/>
      <c r="B183" s="74"/>
      <c r="C183" s="79" t="s">
        <v>390</v>
      </c>
      <c r="D183" s="163">
        <f>'дод 2'!E121</f>
        <v>0</v>
      </c>
      <c r="E183" s="163">
        <f>'дод 2'!F121</f>
        <v>0</v>
      </c>
      <c r="F183" s="163">
        <f>'дод 2'!G121</f>
        <v>0</v>
      </c>
      <c r="G183" s="163">
        <f>'дод 2'!H121</f>
        <v>0</v>
      </c>
      <c r="H183" s="163">
        <f>'дод 2'!I121</f>
        <v>0</v>
      </c>
      <c r="I183" s="163">
        <f>'дод 2'!J121</f>
        <v>0</v>
      </c>
      <c r="J183" s="163">
        <f>'дод 2'!K121</f>
        <v>0</v>
      </c>
      <c r="K183" s="163">
        <f>'дод 2'!L121</f>
        <v>0</v>
      </c>
      <c r="L183" s="163">
        <f>'дод 2'!M121</f>
        <v>0</v>
      </c>
      <c r="M183" s="163">
        <f>'дод 2'!N121</f>
        <v>0</v>
      </c>
      <c r="N183" s="163">
        <f>'дод 2'!O121</f>
        <v>0</v>
      </c>
      <c r="O183" s="163">
        <f>'дод 2'!P121</f>
        <v>0</v>
      </c>
    </row>
    <row r="184" spans="1:15" s="51" customFormat="1" ht="24" customHeight="1" x14ac:dyDescent="0.25">
      <c r="A184" s="40" t="s">
        <v>276</v>
      </c>
      <c r="B184" s="40" t="s">
        <v>110</v>
      </c>
      <c r="C184" s="6" t="s">
        <v>525</v>
      </c>
      <c r="D184" s="162">
        <f>'дод 2'!E290+'дод 2'!E157</f>
        <v>0</v>
      </c>
      <c r="E184" s="162">
        <f>'дод 2'!F290+'дод 2'!F157</f>
        <v>0</v>
      </c>
      <c r="F184" s="162">
        <f>'дод 2'!G290+'дод 2'!G157</f>
        <v>0</v>
      </c>
      <c r="G184" s="162">
        <f>'дод 2'!H290+'дод 2'!H157</f>
        <v>0</v>
      </c>
      <c r="H184" s="162">
        <f>'дод 2'!I290+'дод 2'!I157</f>
        <v>0</v>
      </c>
      <c r="I184" s="162">
        <f>'дод 2'!J290+'дод 2'!J157</f>
        <v>3000000</v>
      </c>
      <c r="J184" s="162">
        <f>'дод 2'!K290+'дод 2'!K157</f>
        <v>3000000</v>
      </c>
      <c r="K184" s="162">
        <f>'дод 2'!L290+'дод 2'!L157</f>
        <v>0</v>
      </c>
      <c r="L184" s="162">
        <f>'дод 2'!M290+'дод 2'!M157</f>
        <v>0</v>
      </c>
      <c r="M184" s="162">
        <f>'дод 2'!N290+'дод 2'!N157</f>
        <v>0</v>
      </c>
      <c r="N184" s="162">
        <f>'дод 2'!O290+'дод 2'!O157</f>
        <v>3000000</v>
      </c>
      <c r="O184" s="162">
        <f>'дод 2'!P290+'дод 2'!P157</f>
        <v>3000000</v>
      </c>
    </row>
    <row r="185" spans="1:15" s="51" customFormat="1" ht="22.5" hidden="1" customHeight="1" x14ac:dyDescent="0.25">
      <c r="A185" s="40">
        <v>7323</v>
      </c>
      <c r="B185" s="67" t="s">
        <v>110</v>
      </c>
      <c r="C185" s="113" t="s">
        <v>526</v>
      </c>
      <c r="D185" s="162">
        <f>'дод 2'!E205+'дод 2'!E42</f>
        <v>0</v>
      </c>
      <c r="E185" s="162">
        <f>'дод 2'!F205+'дод 2'!F42</f>
        <v>0</v>
      </c>
      <c r="F185" s="162">
        <f>'дод 2'!G205+'дод 2'!G42</f>
        <v>0</v>
      </c>
      <c r="G185" s="162">
        <f>'дод 2'!H205+'дод 2'!H42</f>
        <v>0</v>
      </c>
      <c r="H185" s="162">
        <f>'дод 2'!I205+'дод 2'!I42</f>
        <v>0</v>
      </c>
      <c r="I185" s="162">
        <f>'дод 2'!J205+'дод 2'!J42</f>
        <v>0</v>
      </c>
      <c r="J185" s="162">
        <f>'дод 2'!K205+'дод 2'!K42</f>
        <v>0</v>
      </c>
      <c r="K185" s="162">
        <f>'дод 2'!L205+'дод 2'!L42</f>
        <v>0</v>
      </c>
      <c r="L185" s="162">
        <f>'дод 2'!M205+'дод 2'!M42</f>
        <v>0</v>
      </c>
      <c r="M185" s="162">
        <f>'дод 2'!N205+'дод 2'!N42</f>
        <v>0</v>
      </c>
      <c r="N185" s="162">
        <f>'дод 2'!O205+'дод 2'!O42</f>
        <v>0</v>
      </c>
      <c r="O185" s="162">
        <f>'дод 2'!P205+'дод 2'!P42</f>
        <v>0</v>
      </c>
    </row>
    <row r="186" spans="1:15" s="51" customFormat="1" ht="19.5" customHeight="1" x14ac:dyDescent="0.25">
      <c r="A186" s="40">
        <v>7324</v>
      </c>
      <c r="B186" s="67" t="s">
        <v>110</v>
      </c>
      <c r="C186" s="6" t="s">
        <v>527</v>
      </c>
      <c r="D186" s="162">
        <f>'дод 2'!E225+'дод 2'!E291</f>
        <v>0</v>
      </c>
      <c r="E186" s="162">
        <f>'дод 2'!F225+'дод 2'!F291</f>
        <v>0</v>
      </c>
      <c r="F186" s="162">
        <f>'дод 2'!G225+'дод 2'!G291</f>
        <v>0</v>
      </c>
      <c r="G186" s="162">
        <f>'дод 2'!H225+'дод 2'!H291</f>
        <v>0</v>
      </c>
      <c r="H186" s="162">
        <f>'дод 2'!I225+'дод 2'!I291</f>
        <v>0</v>
      </c>
      <c r="I186" s="162">
        <f>'дод 2'!J225+'дод 2'!J291</f>
        <v>300000</v>
      </c>
      <c r="J186" s="162">
        <f>'дод 2'!K225+'дод 2'!K291</f>
        <v>300000</v>
      </c>
      <c r="K186" s="162">
        <f>'дод 2'!L225+'дод 2'!L291</f>
        <v>0</v>
      </c>
      <c r="L186" s="162">
        <f>'дод 2'!M225+'дод 2'!M291</f>
        <v>0</v>
      </c>
      <c r="M186" s="162">
        <f>'дод 2'!N225+'дод 2'!N291</f>
        <v>0</v>
      </c>
      <c r="N186" s="162">
        <f>'дод 2'!O225+'дод 2'!O291</f>
        <v>300000</v>
      </c>
      <c r="O186" s="162">
        <f>'дод 2'!P225+'дод 2'!P291</f>
        <v>300000</v>
      </c>
    </row>
    <row r="187" spans="1:15" s="51" customFormat="1" ht="41.25" customHeight="1" x14ac:dyDescent="0.25">
      <c r="A187" s="40">
        <v>7325</v>
      </c>
      <c r="B187" s="67" t="s">
        <v>110</v>
      </c>
      <c r="C187" s="6" t="s">
        <v>522</v>
      </c>
      <c r="D187" s="162">
        <f>'дод 2'!E292+'дод 2'!E43</f>
        <v>0</v>
      </c>
      <c r="E187" s="162">
        <f>'дод 2'!F292+'дод 2'!F43</f>
        <v>0</v>
      </c>
      <c r="F187" s="162">
        <f>'дод 2'!G292+'дод 2'!G43</f>
        <v>0</v>
      </c>
      <c r="G187" s="162">
        <f>'дод 2'!H292+'дод 2'!H43</f>
        <v>0</v>
      </c>
      <c r="H187" s="162">
        <f>'дод 2'!I292+'дод 2'!I43</f>
        <v>0</v>
      </c>
      <c r="I187" s="162">
        <f>'дод 2'!J292+'дод 2'!J43</f>
        <v>20150000</v>
      </c>
      <c r="J187" s="162">
        <f>'дод 2'!K292+'дод 2'!K43</f>
        <v>20150000</v>
      </c>
      <c r="K187" s="162">
        <f>'дод 2'!L292+'дод 2'!L43</f>
        <v>0</v>
      </c>
      <c r="L187" s="162">
        <f>'дод 2'!M292+'дод 2'!M43</f>
        <v>0</v>
      </c>
      <c r="M187" s="162">
        <f>'дод 2'!N292+'дод 2'!N43</f>
        <v>0</v>
      </c>
      <c r="N187" s="162">
        <f>'дод 2'!O292+'дод 2'!O43</f>
        <v>20150000</v>
      </c>
      <c r="O187" s="162">
        <f>'дод 2'!P292+'дод 2'!P43</f>
        <v>20150000</v>
      </c>
    </row>
    <row r="188" spans="1:15" ht="21.75" customHeight="1" x14ac:dyDescent="0.25">
      <c r="A188" s="40" t="s">
        <v>271</v>
      </c>
      <c r="B188" s="40" t="s">
        <v>110</v>
      </c>
      <c r="C188" s="6" t="s">
        <v>523</v>
      </c>
      <c r="D188" s="162">
        <f>'дод 2'!E293+'дод 2'!E250+'дод 2'!E44</f>
        <v>0</v>
      </c>
      <c r="E188" s="162">
        <f>'дод 2'!F293+'дод 2'!F250+'дод 2'!F44</f>
        <v>0</v>
      </c>
      <c r="F188" s="162">
        <f>'дод 2'!G293+'дод 2'!G250+'дод 2'!G44</f>
        <v>0</v>
      </c>
      <c r="G188" s="162">
        <f>'дод 2'!H293+'дод 2'!H250+'дод 2'!H44</f>
        <v>0</v>
      </c>
      <c r="H188" s="162">
        <f>'дод 2'!I293+'дод 2'!I250+'дод 2'!I44</f>
        <v>0</v>
      </c>
      <c r="I188" s="162">
        <f>'дод 2'!J293+'дод 2'!J250+'дод 2'!J44</f>
        <v>63489651</v>
      </c>
      <c r="J188" s="162">
        <f>'дод 2'!K293+'дод 2'!K250+'дод 2'!K44</f>
        <v>63489651</v>
      </c>
      <c r="K188" s="162">
        <f>'дод 2'!L293+'дод 2'!L250+'дод 2'!L44</f>
        <v>0</v>
      </c>
      <c r="L188" s="162">
        <f>'дод 2'!M293+'дод 2'!M250+'дод 2'!M44</f>
        <v>0</v>
      </c>
      <c r="M188" s="162">
        <f>'дод 2'!N293+'дод 2'!N250+'дод 2'!N44</f>
        <v>0</v>
      </c>
      <c r="N188" s="162">
        <f>'дод 2'!O293+'дод 2'!O250+'дод 2'!O44</f>
        <v>63489651</v>
      </c>
      <c r="O188" s="162">
        <f>'дод 2'!P293+'дод 2'!P250+'дод 2'!P44</f>
        <v>63489651</v>
      </c>
    </row>
    <row r="189" spans="1:15" ht="31.5" customHeight="1" x14ac:dyDescent="0.25">
      <c r="A189" s="37" t="s">
        <v>135</v>
      </c>
      <c r="B189" s="37" t="s">
        <v>110</v>
      </c>
      <c r="C189" s="3" t="s">
        <v>1</v>
      </c>
      <c r="D189" s="162">
        <f>'дод 2'!E251+'дод 2'!E294+'дод 2'!E307</f>
        <v>247500</v>
      </c>
      <c r="E189" s="162">
        <f>'дод 2'!F251+'дод 2'!F294+'дод 2'!F307</f>
        <v>247500</v>
      </c>
      <c r="F189" s="162">
        <f>'дод 2'!G251+'дод 2'!G294+'дод 2'!G307</f>
        <v>0</v>
      </c>
      <c r="G189" s="162">
        <f>'дод 2'!H251+'дод 2'!H294+'дод 2'!H307</f>
        <v>0</v>
      </c>
      <c r="H189" s="162">
        <f>'дод 2'!I251+'дод 2'!I294+'дод 2'!I307</f>
        <v>0</v>
      </c>
      <c r="I189" s="162">
        <f>'дод 2'!J251+'дод 2'!J294+'дод 2'!J307</f>
        <v>500000</v>
      </c>
      <c r="J189" s="162">
        <f>'дод 2'!K251+'дод 2'!K294+'дод 2'!K307</f>
        <v>500000</v>
      </c>
      <c r="K189" s="162">
        <f>'дод 2'!L251+'дод 2'!L294+'дод 2'!L307</f>
        <v>0</v>
      </c>
      <c r="L189" s="162">
        <f>'дод 2'!M251+'дод 2'!M294+'дод 2'!M307</f>
        <v>0</v>
      </c>
      <c r="M189" s="162">
        <f>'дод 2'!N251+'дод 2'!N294+'дод 2'!N307</f>
        <v>0</v>
      </c>
      <c r="N189" s="162">
        <f>'дод 2'!O251+'дод 2'!O294+'дод 2'!O307</f>
        <v>500000</v>
      </c>
      <c r="O189" s="162">
        <f>'дод 2'!P251+'дод 2'!P294+'дод 2'!P307</f>
        <v>747500</v>
      </c>
    </row>
    <row r="190" spans="1:15" ht="35.25" hidden="1" customHeight="1" x14ac:dyDescent="0.25">
      <c r="A190" s="55" t="s">
        <v>446</v>
      </c>
      <c r="B190" s="55" t="s">
        <v>110</v>
      </c>
      <c r="C190" s="3" t="s">
        <v>447</v>
      </c>
      <c r="D190" s="162">
        <f>'дод 2'!E308</f>
        <v>0</v>
      </c>
      <c r="E190" s="162">
        <f>'дод 2'!F308</f>
        <v>0</v>
      </c>
      <c r="F190" s="162">
        <f>'дод 2'!G308</f>
        <v>0</v>
      </c>
      <c r="G190" s="162">
        <f>'дод 2'!H308</f>
        <v>0</v>
      </c>
      <c r="H190" s="162">
        <f>'дод 2'!I308</f>
        <v>0</v>
      </c>
      <c r="I190" s="162">
        <f>'дод 2'!J308</f>
        <v>0</v>
      </c>
      <c r="J190" s="162">
        <f>'дод 2'!K308</f>
        <v>0</v>
      </c>
      <c r="K190" s="162">
        <f>'дод 2'!L308</f>
        <v>0</v>
      </c>
      <c r="L190" s="162">
        <f>'дод 2'!M308</f>
        <v>0</v>
      </c>
      <c r="M190" s="162">
        <f>'дод 2'!N308</f>
        <v>0</v>
      </c>
      <c r="N190" s="162">
        <f>'дод 2'!O308</f>
        <v>0</v>
      </c>
      <c r="O190" s="162">
        <f>'дод 2'!P308</f>
        <v>0</v>
      </c>
    </row>
    <row r="191" spans="1:15" ht="51.75" customHeight="1" x14ac:dyDescent="0.25">
      <c r="A191" s="37">
        <v>7361</v>
      </c>
      <c r="B191" s="37" t="s">
        <v>81</v>
      </c>
      <c r="C191" s="3" t="s">
        <v>367</v>
      </c>
      <c r="D191" s="162">
        <f>'дод 2'!E252+'дод 2'!E295+'дод 2'!E158</f>
        <v>0</v>
      </c>
      <c r="E191" s="162">
        <f>'дод 2'!F252+'дод 2'!F295+'дод 2'!F158</f>
        <v>0</v>
      </c>
      <c r="F191" s="162">
        <f>'дод 2'!G252+'дод 2'!G295+'дод 2'!G158</f>
        <v>0</v>
      </c>
      <c r="G191" s="162">
        <f>'дод 2'!H252+'дод 2'!H295+'дод 2'!H158</f>
        <v>0</v>
      </c>
      <c r="H191" s="162">
        <f>'дод 2'!I252+'дод 2'!I295+'дод 2'!I158</f>
        <v>0</v>
      </c>
      <c r="I191" s="162">
        <f>'дод 2'!J252+'дод 2'!J295+'дод 2'!J158</f>
        <v>28980784</v>
      </c>
      <c r="J191" s="162">
        <f>'дод 2'!K252+'дод 2'!K295+'дод 2'!K158</f>
        <v>28980784</v>
      </c>
      <c r="K191" s="162">
        <f>'дод 2'!L252+'дод 2'!L295+'дод 2'!L158</f>
        <v>0</v>
      </c>
      <c r="L191" s="162">
        <f>'дод 2'!M252+'дод 2'!M295+'дод 2'!M158</f>
        <v>0</v>
      </c>
      <c r="M191" s="162">
        <f>'дод 2'!N252+'дод 2'!N295+'дод 2'!N158</f>
        <v>0</v>
      </c>
      <c r="N191" s="162">
        <f>'дод 2'!O252+'дод 2'!O295+'дод 2'!O158</f>
        <v>28980784</v>
      </c>
      <c r="O191" s="162">
        <f>'дод 2'!P252+'дод 2'!P295+'дод 2'!P158</f>
        <v>28980784</v>
      </c>
    </row>
    <row r="192" spans="1:15" s="51" customFormat="1" ht="46.5" hidden="1" customHeight="1" x14ac:dyDescent="0.25">
      <c r="A192" s="37">
        <v>7362</v>
      </c>
      <c r="B192" s="37" t="s">
        <v>81</v>
      </c>
      <c r="C192" s="3" t="s">
        <v>359</v>
      </c>
      <c r="D192" s="162">
        <f>'дод 2'!E253</f>
        <v>0</v>
      </c>
      <c r="E192" s="162">
        <f>'дод 2'!F253</f>
        <v>0</v>
      </c>
      <c r="F192" s="162">
        <f>'дод 2'!G253</f>
        <v>0</v>
      </c>
      <c r="G192" s="162">
        <f>'дод 2'!H253</f>
        <v>0</v>
      </c>
      <c r="H192" s="162">
        <f>'дод 2'!I253</f>
        <v>0</v>
      </c>
      <c r="I192" s="162">
        <f>'дод 2'!J253</f>
        <v>0</v>
      </c>
      <c r="J192" s="162">
        <f>'дод 2'!K253</f>
        <v>0</v>
      </c>
      <c r="K192" s="162">
        <f>'дод 2'!L253</f>
        <v>0</v>
      </c>
      <c r="L192" s="162">
        <f>'дод 2'!M253</f>
        <v>0</v>
      </c>
      <c r="M192" s="162">
        <f>'дод 2'!N253</f>
        <v>0</v>
      </c>
      <c r="N192" s="162">
        <f>'дод 2'!O253</f>
        <v>0</v>
      </c>
      <c r="O192" s="162">
        <f>'дод 2'!P253</f>
        <v>0</v>
      </c>
    </row>
    <row r="193" spans="1:15" s="51" customFormat="1" ht="47.25" x14ac:dyDescent="0.25">
      <c r="A193" s="37">
        <v>7363</v>
      </c>
      <c r="B193" s="56" t="s">
        <v>81</v>
      </c>
      <c r="C193" s="57" t="s">
        <v>606</v>
      </c>
      <c r="D193" s="162">
        <f>'дод 2'!E254+'дод 2'!E122+'дод 2'!E159+'дод 2'!E296</f>
        <v>0</v>
      </c>
      <c r="E193" s="162">
        <f>'дод 2'!F254+'дод 2'!F122+'дод 2'!F159+'дод 2'!F296</f>
        <v>0</v>
      </c>
      <c r="F193" s="162">
        <f>'дод 2'!G254+'дод 2'!G122+'дод 2'!G159+'дод 2'!G296</f>
        <v>0</v>
      </c>
      <c r="G193" s="162">
        <f>'дод 2'!H254+'дод 2'!H122+'дод 2'!H159+'дод 2'!H296</f>
        <v>0</v>
      </c>
      <c r="H193" s="162">
        <f>'дод 2'!I254+'дод 2'!I122+'дод 2'!I159+'дод 2'!I296</f>
        <v>0</v>
      </c>
      <c r="I193" s="162">
        <f>'дод 2'!J254+'дод 2'!J122+'дод 2'!J159+'дод 2'!J296</f>
        <v>6000000</v>
      </c>
      <c r="J193" s="162">
        <f>'дод 2'!K254+'дод 2'!K122+'дод 2'!K159+'дод 2'!K296</f>
        <v>6000000</v>
      </c>
      <c r="K193" s="162">
        <f>'дод 2'!L254+'дод 2'!L122+'дод 2'!L159+'дод 2'!L296</f>
        <v>0</v>
      </c>
      <c r="L193" s="162">
        <f>'дод 2'!M254+'дод 2'!M122+'дод 2'!M159+'дод 2'!M296</f>
        <v>0</v>
      </c>
      <c r="M193" s="162">
        <f>'дод 2'!N254+'дод 2'!N122+'дод 2'!N159+'дод 2'!N296</f>
        <v>0</v>
      </c>
      <c r="N193" s="162">
        <f>'дод 2'!O254+'дод 2'!O122+'дод 2'!O159+'дод 2'!O296</f>
        <v>6000000</v>
      </c>
      <c r="O193" s="162">
        <f>'дод 2'!P254+'дод 2'!P122+'дод 2'!P159+'дод 2'!P296</f>
        <v>6000000</v>
      </c>
    </row>
    <row r="194" spans="1:15" s="51" customFormat="1" ht="47.25" hidden="1" customHeight="1" x14ac:dyDescent="0.25">
      <c r="A194" s="71"/>
      <c r="B194" s="76"/>
      <c r="C194" s="72" t="s">
        <v>383</v>
      </c>
      <c r="D194" s="163">
        <f>'дод 2'!E123+'дод 2'!E160+'дод 2'!E255+'дод 2'!E297</f>
        <v>0</v>
      </c>
      <c r="E194" s="163">
        <f>'дод 2'!F123+'дод 2'!F160+'дод 2'!F255+'дод 2'!F297</f>
        <v>0</v>
      </c>
      <c r="F194" s="163">
        <f>'дод 2'!G123+'дод 2'!G160+'дод 2'!G255+'дод 2'!G297</f>
        <v>0</v>
      </c>
      <c r="G194" s="163">
        <f>'дод 2'!H123+'дод 2'!H160+'дод 2'!H255+'дод 2'!H297</f>
        <v>0</v>
      </c>
      <c r="H194" s="163">
        <f>'дод 2'!I123+'дод 2'!I160+'дод 2'!I255+'дод 2'!I297</f>
        <v>0</v>
      </c>
      <c r="I194" s="163">
        <f>'дод 2'!J123+'дод 2'!J160+'дод 2'!J255+'дод 2'!J297</f>
        <v>0</v>
      </c>
      <c r="J194" s="163">
        <f>'дод 2'!K123+'дод 2'!K160+'дод 2'!K255+'дод 2'!K297</f>
        <v>0</v>
      </c>
      <c r="K194" s="163">
        <f>'дод 2'!L123+'дод 2'!L160+'дод 2'!L255+'дод 2'!L297</f>
        <v>0</v>
      </c>
      <c r="L194" s="163">
        <f>'дод 2'!M123+'дод 2'!M160+'дод 2'!M255+'дод 2'!M297</f>
        <v>0</v>
      </c>
      <c r="M194" s="163">
        <f>'дод 2'!N123+'дод 2'!N160+'дод 2'!N255+'дод 2'!N297</f>
        <v>0</v>
      </c>
      <c r="N194" s="163">
        <f>'дод 2'!O123+'дод 2'!O160+'дод 2'!O255+'дод 2'!O297</f>
        <v>0</v>
      </c>
      <c r="O194" s="163">
        <f>'дод 2'!P123+'дод 2'!P160+'дод 2'!P255+'дод 2'!P297</f>
        <v>0</v>
      </c>
    </row>
    <row r="195" spans="1:15" ht="31.5" hidden="1" customHeight="1" x14ac:dyDescent="0.25">
      <c r="A195" s="37">
        <v>7368</v>
      </c>
      <c r="B195" s="37" t="s">
        <v>81</v>
      </c>
      <c r="C195" s="36" t="s">
        <v>557</v>
      </c>
      <c r="D195" s="162">
        <f>'дод 2'!E256</f>
        <v>0</v>
      </c>
      <c r="E195" s="162">
        <f>'дод 2'!F256</f>
        <v>0</v>
      </c>
      <c r="F195" s="162">
        <f>'дод 2'!G256</f>
        <v>0</v>
      </c>
      <c r="G195" s="162">
        <f>'дод 2'!H256</f>
        <v>0</v>
      </c>
      <c r="H195" s="162">
        <f>'дод 2'!I256</f>
        <v>0</v>
      </c>
      <c r="I195" s="162">
        <f>'дод 2'!J256</f>
        <v>0</v>
      </c>
      <c r="J195" s="162">
        <f>'дод 2'!K256</f>
        <v>0</v>
      </c>
      <c r="K195" s="162">
        <f>'дод 2'!L256</f>
        <v>0</v>
      </c>
      <c r="L195" s="162">
        <f>'дод 2'!M256</f>
        <v>0</v>
      </c>
      <c r="M195" s="162">
        <f>'дод 2'!N256</f>
        <v>0</v>
      </c>
      <c r="N195" s="162">
        <f>'дод 2'!O256</f>
        <v>0</v>
      </c>
      <c r="O195" s="162">
        <f>'дод 2'!P256</f>
        <v>0</v>
      </c>
    </row>
    <row r="196" spans="1:15" s="51" customFormat="1" ht="15.75" hidden="1" customHeight="1" x14ac:dyDescent="0.25">
      <c r="A196" s="71"/>
      <c r="B196" s="76"/>
      <c r="C196" s="77" t="s">
        <v>388</v>
      </c>
      <c r="D196" s="163">
        <f>'дод 2'!E257</f>
        <v>0</v>
      </c>
      <c r="E196" s="163">
        <f>'дод 2'!F257</f>
        <v>0</v>
      </c>
      <c r="F196" s="163">
        <f>'дод 2'!G257</f>
        <v>0</v>
      </c>
      <c r="G196" s="163">
        <f>'дод 2'!H257</f>
        <v>0</v>
      </c>
      <c r="H196" s="163">
        <f>'дод 2'!I257</f>
        <v>0</v>
      </c>
      <c r="I196" s="163">
        <f>'дод 2'!J257</f>
        <v>0</v>
      </c>
      <c r="J196" s="163">
        <f>'дод 2'!K257</f>
        <v>0</v>
      </c>
      <c r="K196" s="163">
        <f>'дод 2'!L257</f>
        <v>0</v>
      </c>
      <c r="L196" s="163">
        <f>'дод 2'!M257</f>
        <v>0</v>
      </c>
      <c r="M196" s="163">
        <f>'дод 2'!N257</f>
        <v>0</v>
      </c>
      <c r="N196" s="163">
        <f>'дод 2'!O257</f>
        <v>0</v>
      </c>
      <c r="O196" s="163">
        <f>'дод 2'!P257</f>
        <v>0</v>
      </c>
    </row>
    <row r="197" spans="1:15" s="51" customFormat="1" ht="31.5" x14ac:dyDescent="0.25">
      <c r="A197" s="37">
        <v>7370</v>
      </c>
      <c r="B197" s="56" t="s">
        <v>81</v>
      </c>
      <c r="C197" s="57" t="s">
        <v>421</v>
      </c>
      <c r="D197" s="162">
        <f>'дод 2'!E298+'дод 2'!E309</f>
        <v>3150000</v>
      </c>
      <c r="E197" s="162">
        <f>'дод 2'!F298+'дод 2'!F309</f>
        <v>0</v>
      </c>
      <c r="F197" s="162">
        <f>'дод 2'!G298+'дод 2'!G309</f>
        <v>0</v>
      </c>
      <c r="G197" s="162">
        <f>'дод 2'!H298+'дод 2'!H309</f>
        <v>0</v>
      </c>
      <c r="H197" s="162">
        <f>'дод 2'!I298+'дод 2'!I309</f>
        <v>3150000</v>
      </c>
      <c r="I197" s="162">
        <f>'дод 2'!J298+'дод 2'!J309</f>
        <v>0</v>
      </c>
      <c r="J197" s="162">
        <f>'дод 2'!K298+'дод 2'!K309</f>
        <v>0</v>
      </c>
      <c r="K197" s="162">
        <f>'дод 2'!L298+'дод 2'!L309</f>
        <v>0</v>
      </c>
      <c r="L197" s="162">
        <f>'дод 2'!M298+'дод 2'!M309</f>
        <v>0</v>
      </c>
      <c r="M197" s="162">
        <f>'дод 2'!N298+'дод 2'!N309</f>
        <v>0</v>
      </c>
      <c r="N197" s="162">
        <f>'дод 2'!O298+'дод 2'!O309</f>
        <v>0</v>
      </c>
      <c r="O197" s="162">
        <f>'дод 2'!P298+'дод 2'!P309</f>
        <v>3150000</v>
      </c>
    </row>
    <row r="198" spans="1:15" s="49" customFormat="1" ht="34.5" customHeight="1" x14ac:dyDescent="0.25">
      <c r="A198" s="38" t="s">
        <v>84</v>
      </c>
      <c r="B198" s="41"/>
      <c r="C198" s="2" t="s">
        <v>593</v>
      </c>
      <c r="D198" s="47">
        <f>D202+D203+D204+D205+D209+D210+D212</f>
        <v>61447626</v>
      </c>
      <c r="E198" s="47">
        <f t="shared" ref="E198:O198" si="38">E202+E203+E204+E205+E209+E210+E212</f>
        <v>2585480</v>
      </c>
      <c r="F198" s="47">
        <f t="shared" si="38"/>
        <v>0</v>
      </c>
      <c r="G198" s="47">
        <f t="shared" si="38"/>
        <v>0</v>
      </c>
      <c r="H198" s="47">
        <f t="shared" si="38"/>
        <v>58862146</v>
      </c>
      <c r="I198" s="47">
        <f t="shared" si="38"/>
        <v>0</v>
      </c>
      <c r="J198" s="47">
        <f t="shared" si="38"/>
        <v>0</v>
      </c>
      <c r="K198" s="47">
        <f t="shared" si="38"/>
        <v>0</v>
      </c>
      <c r="L198" s="47">
        <f t="shared" si="38"/>
        <v>0</v>
      </c>
      <c r="M198" s="47">
        <f t="shared" si="38"/>
        <v>0</v>
      </c>
      <c r="N198" s="47">
        <f t="shared" si="38"/>
        <v>0</v>
      </c>
      <c r="O198" s="47">
        <f t="shared" si="38"/>
        <v>61447626</v>
      </c>
    </row>
    <row r="199" spans="1:15" s="50" customFormat="1" ht="97.5" hidden="1" customHeight="1" x14ac:dyDescent="0.25">
      <c r="A199" s="65"/>
      <c r="B199" s="66"/>
      <c r="C199" s="69" t="s">
        <v>391</v>
      </c>
      <c r="D199" s="164">
        <f>D207</f>
        <v>0</v>
      </c>
      <c r="E199" s="164">
        <f t="shared" ref="E199:O199" si="39">E207</f>
        <v>0</v>
      </c>
      <c r="F199" s="164">
        <f t="shared" si="39"/>
        <v>0</v>
      </c>
      <c r="G199" s="164">
        <f t="shared" si="39"/>
        <v>0</v>
      </c>
      <c r="H199" s="164">
        <f t="shared" si="39"/>
        <v>0</v>
      </c>
      <c r="I199" s="164">
        <f t="shared" si="39"/>
        <v>0</v>
      </c>
      <c r="J199" s="164">
        <f t="shared" si="39"/>
        <v>0</v>
      </c>
      <c r="K199" s="164">
        <f t="shared" si="39"/>
        <v>0</v>
      </c>
      <c r="L199" s="164">
        <f t="shared" si="39"/>
        <v>0</v>
      </c>
      <c r="M199" s="164">
        <f t="shared" si="39"/>
        <v>0</v>
      </c>
      <c r="N199" s="164">
        <f t="shared" si="39"/>
        <v>0</v>
      </c>
      <c r="O199" s="164">
        <f t="shared" si="39"/>
        <v>0</v>
      </c>
    </row>
    <row r="200" spans="1:15" s="50" customFormat="1" ht="65.25" hidden="1" customHeight="1" x14ac:dyDescent="0.25">
      <c r="A200" s="65"/>
      <c r="B200" s="66"/>
      <c r="C200" s="69" t="s">
        <v>435</v>
      </c>
      <c r="D200" s="164">
        <f>D211</f>
        <v>0</v>
      </c>
      <c r="E200" s="164">
        <f t="shared" ref="E200:O200" si="40">E211</f>
        <v>0</v>
      </c>
      <c r="F200" s="164">
        <f t="shared" si="40"/>
        <v>0</v>
      </c>
      <c r="G200" s="164">
        <f t="shared" si="40"/>
        <v>0</v>
      </c>
      <c r="H200" s="164">
        <f t="shared" si="40"/>
        <v>0</v>
      </c>
      <c r="I200" s="164">
        <f t="shared" si="40"/>
        <v>0</v>
      </c>
      <c r="J200" s="164">
        <f t="shared" si="40"/>
        <v>0</v>
      </c>
      <c r="K200" s="164">
        <f t="shared" si="40"/>
        <v>0</v>
      </c>
      <c r="L200" s="164">
        <f t="shared" si="40"/>
        <v>0</v>
      </c>
      <c r="M200" s="164">
        <f t="shared" si="40"/>
        <v>0</v>
      </c>
      <c r="N200" s="164">
        <f t="shared" si="40"/>
        <v>0</v>
      </c>
      <c r="O200" s="164">
        <f t="shared" si="40"/>
        <v>0</v>
      </c>
    </row>
    <row r="201" spans="1:15" s="50" customFormat="1" ht="15.75" hidden="1" customHeight="1" x14ac:dyDescent="0.25">
      <c r="A201" s="65"/>
      <c r="B201" s="66"/>
      <c r="C201" s="75" t="s">
        <v>388</v>
      </c>
      <c r="D201" s="164">
        <f>D213</f>
        <v>0</v>
      </c>
      <c r="E201" s="164">
        <f t="shared" ref="E201:O201" si="41">E213</f>
        <v>0</v>
      </c>
      <c r="F201" s="164">
        <f t="shared" si="41"/>
        <v>0</v>
      </c>
      <c r="G201" s="164">
        <f t="shared" si="41"/>
        <v>0</v>
      </c>
      <c r="H201" s="164">
        <f t="shared" si="41"/>
        <v>0</v>
      </c>
      <c r="I201" s="164">
        <f t="shared" si="41"/>
        <v>0</v>
      </c>
      <c r="J201" s="164">
        <f t="shared" si="41"/>
        <v>0</v>
      </c>
      <c r="K201" s="164">
        <f t="shared" si="41"/>
        <v>0</v>
      </c>
      <c r="L201" s="164">
        <f t="shared" si="41"/>
        <v>0</v>
      </c>
      <c r="M201" s="164">
        <f t="shared" si="41"/>
        <v>0</v>
      </c>
      <c r="N201" s="164">
        <f t="shared" si="41"/>
        <v>0</v>
      </c>
      <c r="O201" s="164">
        <f t="shared" si="41"/>
        <v>0</v>
      </c>
    </row>
    <row r="202" spans="1:15" s="51" customFormat="1" ht="18.75" customHeight="1" x14ac:dyDescent="0.25">
      <c r="A202" s="37" t="s">
        <v>3</v>
      </c>
      <c r="B202" s="37" t="s">
        <v>83</v>
      </c>
      <c r="C202" s="3" t="s">
        <v>35</v>
      </c>
      <c r="D202" s="162">
        <f>'дод 2'!E45</f>
        <v>17594929</v>
      </c>
      <c r="E202" s="162">
        <f>'дод 2'!F45</f>
        <v>0</v>
      </c>
      <c r="F202" s="162">
        <f>'дод 2'!G45</f>
        <v>0</v>
      </c>
      <c r="G202" s="162">
        <f>'дод 2'!H45</f>
        <v>0</v>
      </c>
      <c r="H202" s="162">
        <f>'дод 2'!I45</f>
        <v>17594929</v>
      </c>
      <c r="I202" s="162">
        <f>'дод 2'!J45</f>
        <v>0</v>
      </c>
      <c r="J202" s="162">
        <f>'дод 2'!K45</f>
        <v>0</v>
      </c>
      <c r="K202" s="162">
        <f>'дод 2'!L45</f>
        <v>0</v>
      </c>
      <c r="L202" s="162">
        <f>'дод 2'!M45</f>
        <v>0</v>
      </c>
      <c r="M202" s="162">
        <f>'дод 2'!N45</f>
        <v>0</v>
      </c>
      <c r="N202" s="162">
        <f>'дод 2'!O45</f>
        <v>0</v>
      </c>
      <c r="O202" s="162">
        <f>'дод 2'!P45</f>
        <v>17594929</v>
      </c>
    </row>
    <row r="203" spans="1:15" s="51" customFormat="1" ht="20.25" hidden="1" customHeight="1" x14ac:dyDescent="0.25">
      <c r="A203" s="37">
        <v>7413</v>
      </c>
      <c r="B203" s="37" t="s">
        <v>83</v>
      </c>
      <c r="C203" s="3" t="s">
        <v>370</v>
      </c>
      <c r="D203" s="162">
        <f>'дод 2'!E46</f>
        <v>0</v>
      </c>
      <c r="E203" s="162">
        <f>'дод 2'!F46</f>
        <v>0</v>
      </c>
      <c r="F203" s="162">
        <f>'дод 2'!G46</f>
        <v>0</v>
      </c>
      <c r="G203" s="162">
        <f>'дод 2'!H46</f>
        <v>0</v>
      </c>
      <c r="H203" s="162">
        <f>'дод 2'!I46</f>
        <v>0</v>
      </c>
      <c r="I203" s="162">
        <f>'дод 2'!J46</f>
        <v>0</v>
      </c>
      <c r="J203" s="162">
        <f>'дод 2'!K46</f>
        <v>0</v>
      </c>
      <c r="K203" s="162">
        <f>'дод 2'!L46</f>
        <v>0</v>
      </c>
      <c r="L203" s="162">
        <f>'дод 2'!M46</f>
        <v>0</v>
      </c>
      <c r="M203" s="162">
        <f>'дод 2'!N46</f>
        <v>0</v>
      </c>
      <c r="N203" s="162">
        <f>'дод 2'!O46</f>
        <v>0</v>
      </c>
      <c r="O203" s="162">
        <f>'дод 2'!P46</f>
        <v>0</v>
      </c>
    </row>
    <row r="204" spans="1:15" s="51" customFormat="1" ht="31.5" x14ac:dyDescent="0.25">
      <c r="A204" s="42">
        <v>7422</v>
      </c>
      <c r="B204" s="89" t="s">
        <v>407</v>
      </c>
      <c r="C204" s="90" t="s">
        <v>541</v>
      </c>
      <c r="D204" s="162">
        <f>'дод 2'!E47</f>
        <v>41267217</v>
      </c>
      <c r="E204" s="162">
        <f>'дод 2'!F47</f>
        <v>0</v>
      </c>
      <c r="F204" s="162">
        <f>'дод 2'!G47</f>
        <v>0</v>
      </c>
      <c r="G204" s="162">
        <f>'дод 2'!H47</f>
        <v>0</v>
      </c>
      <c r="H204" s="162">
        <f>'дод 2'!I47</f>
        <v>41267217</v>
      </c>
      <c r="I204" s="162">
        <f>'дод 2'!J47</f>
        <v>0</v>
      </c>
      <c r="J204" s="162">
        <f>'дод 2'!K47</f>
        <v>0</v>
      </c>
      <c r="K204" s="162">
        <f>'дод 2'!L47</f>
        <v>0</v>
      </c>
      <c r="L204" s="162">
        <f>'дод 2'!M47</f>
        <v>0</v>
      </c>
      <c r="M204" s="162">
        <f>'дод 2'!N47</f>
        <v>0</v>
      </c>
      <c r="N204" s="162">
        <f>'дод 2'!O47</f>
        <v>0</v>
      </c>
      <c r="O204" s="162">
        <f>'дод 2'!P47</f>
        <v>41267217</v>
      </c>
    </row>
    <row r="205" spans="1:15" s="51" customFormat="1" ht="24" hidden="1" customHeight="1" x14ac:dyDescent="0.25">
      <c r="A205" s="37">
        <v>7426</v>
      </c>
      <c r="B205" s="55" t="s">
        <v>407</v>
      </c>
      <c r="C205" s="3" t="s">
        <v>371</v>
      </c>
      <c r="D205" s="162">
        <f>'дод 2'!E48</f>
        <v>0</v>
      </c>
      <c r="E205" s="162">
        <f>'дод 2'!F48</f>
        <v>0</v>
      </c>
      <c r="F205" s="162">
        <f>'дод 2'!G48</f>
        <v>0</v>
      </c>
      <c r="G205" s="162">
        <f>'дод 2'!H48</f>
        <v>0</v>
      </c>
      <c r="H205" s="162">
        <f>'дод 2'!I48</f>
        <v>0</v>
      </c>
      <c r="I205" s="162">
        <f>'дод 2'!J48</f>
        <v>0</v>
      </c>
      <c r="J205" s="162">
        <f>'дод 2'!K48</f>
        <v>0</v>
      </c>
      <c r="K205" s="162">
        <f>'дод 2'!L48</f>
        <v>0</v>
      </c>
      <c r="L205" s="162">
        <f>'дод 2'!M48</f>
        <v>0</v>
      </c>
      <c r="M205" s="162">
        <f>'дод 2'!N48</f>
        <v>0</v>
      </c>
      <c r="N205" s="162">
        <f>'дод 2'!O48</f>
        <v>0</v>
      </c>
      <c r="O205" s="162">
        <f>'дод 2'!P48</f>
        <v>0</v>
      </c>
    </row>
    <row r="206" spans="1:15" s="51" customFormat="1" ht="53.25" hidden="1" customHeight="1" x14ac:dyDescent="0.25">
      <c r="A206" s="37">
        <v>7462</v>
      </c>
      <c r="B206" s="55" t="s">
        <v>394</v>
      </c>
      <c r="C206" s="3" t="s">
        <v>393</v>
      </c>
      <c r="D206" s="162">
        <f>'дод 2'!E258</f>
        <v>0</v>
      </c>
      <c r="E206" s="162">
        <f>'дод 2'!F258</f>
        <v>0</v>
      </c>
      <c r="F206" s="162">
        <f>'дод 2'!G258</f>
        <v>0</v>
      </c>
      <c r="G206" s="162">
        <f>'дод 2'!H258</f>
        <v>0</v>
      </c>
      <c r="H206" s="162">
        <f>'дод 2'!I258</f>
        <v>0</v>
      </c>
      <c r="I206" s="162">
        <f>'дод 2'!J258</f>
        <v>0</v>
      </c>
      <c r="J206" s="162">
        <f>'дод 2'!K258</f>
        <v>0</v>
      </c>
      <c r="K206" s="162">
        <f>'дод 2'!L258</f>
        <v>0</v>
      </c>
      <c r="L206" s="162">
        <f>'дод 2'!M258</f>
        <v>0</v>
      </c>
      <c r="M206" s="162">
        <f>'дод 2'!N258</f>
        <v>0</v>
      </c>
      <c r="N206" s="162">
        <f>'дод 2'!O258</f>
        <v>0</v>
      </c>
      <c r="O206" s="162">
        <f>'дод 2'!P258</f>
        <v>0</v>
      </c>
    </row>
    <row r="207" spans="1:15" s="51" customFormat="1" ht="94.5" hidden="1" customHeight="1" x14ac:dyDescent="0.25">
      <c r="A207" s="71"/>
      <c r="B207" s="71"/>
      <c r="C207" s="72" t="s">
        <v>391</v>
      </c>
      <c r="D207" s="163">
        <f>'дод 2'!E259</f>
        <v>0</v>
      </c>
      <c r="E207" s="163">
        <f>'дод 2'!F259</f>
        <v>0</v>
      </c>
      <c r="F207" s="163">
        <f>'дод 2'!G259</f>
        <v>0</v>
      </c>
      <c r="G207" s="163">
        <f>'дод 2'!H259</f>
        <v>0</v>
      </c>
      <c r="H207" s="163">
        <f>'дод 2'!I259</f>
        <v>0</v>
      </c>
      <c r="I207" s="163">
        <f>'дод 2'!J259</f>
        <v>0</v>
      </c>
      <c r="J207" s="163">
        <f>'дод 2'!K259</f>
        <v>0</v>
      </c>
      <c r="K207" s="163">
        <f>'дод 2'!L259</f>
        <v>0</v>
      </c>
      <c r="L207" s="163">
        <f>'дод 2'!M259</f>
        <v>0</v>
      </c>
      <c r="M207" s="163">
        <f>'дод 2'!N259</f>
        <v>0</v>
      </c>
      <c r="N207" s="163">
        <f>'дод 2'!O259</f>
        <v>0</v>
      </c>
      <c r="O207" s="163">
        <f>'дод 2'!P259</f>
        <v>0</v>
      </c>
    </row>
    <row r="208" spans="1:15" s="51" customFormat="1" ht="63" hidden="1" customHeight="1" x14ac:dyDescent="0.25">
      <c r="A208" s="71"/>
      <c r="B208" s="71"/>
      <c r="C208" s="72" t="s">
        <v>435</v>
      </c>
      <c r="D208" s="163">
        <f>'дод 2'!E260</f>
        <v>0</v>
      </c>
      <c r="E208" s="163">
        <f>'дод 2'!F260</f>
        <v>0</v>
      </c>
      <c r="F208" s="163">
        <f>'дод 2'!G260</f>
        <v>0</v>
      </c>
      <c r="G208" s="163">
        <f>'дод 2'!H260</f>
        <v>0</v>
      </c>
      <c r="H208" s="163">
        <f>'дод 2'!I260</f>
        <v>0</v>
      </c>
      <c r="I208" s="163">
        <f>'дод 2'!J260</f>
        <v>0</v>
      </c>
      <c r="J208" s="163">
        <f>'дод 2'!K260</f>
        <v>0</v>
      </c>
      <c r="K208" s="163">
        <f>'дод 2'!L260</f>
        <v>0</v>
      </c>
      <c r="L208" s="163">
        <f>'дод 2'!M260</f>
        <v>0</v>
      </c>
      <c r="M208" s="163">
        <f>'дод 2'!N260</f>
        <v>0</v>
      </c>
      <c r="N208" s="163">
        <f>'дод 2'!O260</f>
        <v>0</v>
      </c>
      <c r="O208" s="163">
        <f>'дод 2'!P260</f>
        <v>0</v>
      </c>
    </row>
    <row r="209" spans="1:15" s="51" customFormat="1" ht="18" customHeight="1" x14ac:dyDescent="0.25">
      <c r="A209" s="55" t="s">
        <v>442</v>
      </c>
      <c r="B209" s="55" t="s">
        <v>394</v>
      </c>
      <c r="C209" s="3" t="s">
        <v>448</v>
      </c>
      <c r="D209" s="162">
        <f>'дод 2'!E49</f>
        <v>2585480</v>
      </c>
      <c r="E209" s="162">
        <f>'дод 2'!F49</f>
        <v>2585480</v>
      </c>
      <c r="F209" s="162">
        <f>'дод 2'!G49</f>
        <v>0</v>
      </c>
      <c r="G209" s="162">
        <f>'дод 2'!H49</f>
        <v>0</v>
      </c>
      <c r="H209" s="162">
        <f>'дод 2'!I49</f>
        <v>0</v>
      </c>
      <c r="I209" s="162">
        <f>'дод 2'!J49</f>
        <v>0</v>
      </c>
      <c r="J209" s="162">
        <f>'дод 2'!K49</f>
        <v>0</v>
      </c>
      <c r="K209" s="162">
        <f>'дод 2'!L49</f>
        <v>0</v>
      </c>
      <c r="L209" s="162">
        <f>'дод 2'!M49</f>
        <v>0</v>
      </c>
      <c r="M209" s="162">
        <f>'дод 2'!N49</f>
        <v>0</v>
      </c>
      <c r="N209" s="162">
        <f>'дод 2'!O49</f>
        <v>0</v>
      </c>
      <c r="O209" s="162">
        <f>'дод 2'!P49</f>
        <v>2585480</v>
      </c>
    </row>
    <row r="210" spans="1:15" s="51" customFormat="1" ht="54.75" hidden="1" customHeight="1" x14ac:dyDescent="0.25">
      <c r="A210" s="55" t="s">
        <v>519</v>
      </c>
      <c r="B210" s="55" t="s">
        <v>394</v>
      </c>
      <c r="C210" s="99" t="s">
        <v>393</v>
      </c>
      <c r="D210" s="162">
        <f>'дод 2'!E258</f>
        <v>0</v>
      </c>
      <c r="E210" s="162">
        <f>'дод 2'!F258</f>
        <v>0</v>
      </c>
      <c r="F210" s="162">
        <f>'дод 2'!G258</f>
        <v>0</v>
      </c>
      <c r="G210" s="162">
        <f>'дод 2'!H258</f>
        <v>0</v>
      </c>
      <c r="H210" s="162">
        <f>'дод 2'!I258</f>
        <v>0</v>
      </c>
      <c r="I210" s="162">
        <f>'дод 2'!J258</f>
        <v>0</v>
      </c>
      <c r="J210" s="162">
        <f>'дод 2'!K258</f>
        <v>0</v>
      </c>
      <c r="K210" s="162">
        <f>'дод 2'!L258</f>
        <v>0</v>
      </c>
      <c r="L210" s="162">
        <f>'дод 2'!M258</f>
        <v>0</v>
      </c>
      <c r="M210" s="162">
        <f>'дод 2'!N258</f>
        <v>0</v>
      </c>
      <c r="N210" s="162">
        <f>'дод 2'!O258</f>
        <v>0</v>
      </c>
      <c r="O210" s="162">
        <f>'дод 2'!P258</f>
        <v>0</v>
      </c>
    </row>
    <row r="211" spans="1:15" s="51" customFormat="1" ht="63" hidden="1" customHeight="1" x14ac:dyDescent="0.25">
      <c r="A211" s="81"/>
      <c r="B211" s="81"/>
      <c r="C211" s="79" t="s">
        <v>517</v>
      </c>
      <c r="D211" s="163">
        <f>'дод 2'!E260</f>
        <v>0</v>
      </c>
      <c r="E211" s="163">
        <f>'дод 2'!F260</f>
        <v>0</v>
      </c>
      <c r="F211" s="163">
        <f>'дод 2'!G260</f>
        <v>0</v>
      </c>
      <c r="G211" s="163">
        <f>'дод 2'!H260</f>
        <v>0</v>
      </c>
      <c r="H211" s="163">
        <f>'дод 2'!I260</f>
        <v>0</v>
      </c>
      <c r="I211" s="163">
        <f>'дод 2'!J260</f>
        <v>0</v>
      </c>
      <c r="J211" s="163">
        <f>'дод 2'!K260</f>
        <v>0</v>
      </c>
      <c r="K211" s="163">
        <f>'дод 2'!L260</f>
        <v>0</v>
      </c>
      <c r="L211" s="163">
        <f>'дод 2'!M260</f>
        <v>0</v>
      </c>
      <c r="M211" s="163">
        <f>'дод 2'!N260</f>
        <v>0</v>
      </c>
      <c r="N211" s="163">
        <f>'дод 2'!O260</f>
        <v>0</v>
      </c>
      <c r="O211" s="163">
        <f>'дод 2'!P260</f>
        <v>0</v>
      </c>
    </row>
    <row r="212" spans="1:15" ht="49.5" hidden="1" customHeight="1" x14ac:dyDescent="0.25">
      <c r="A212" s="55" t="s">
        <v>558</v>
      </c>
      <c r="B212" s="56" t="s">
        <v>394</v>
      </c>
      <c r="C212" s="99" t="s">
        <v>555</v>
      </c>
      <c r="D212" s="162">
        <f>'дод 2'!E261</f>
        <v>0</v>
      </c>
      <c r="E212" s="162">
        <f>'дод 2'!F261</f>
        <v>0</v>
      </c>
      <c r="F212" s="162">
        <f>'дод 2'!G261</f>
        <v>0</v>
      </c>
      <c r="G212" s="162">
        <f>'дод 2'!H261</f>
        <v>0</v>
      </c>
      <c r="H212" s="162">
        <f>'дод 2'!I261</f>
        <v>0</v>
      </c>
      <c r="I212" s="162">
        <f>'дод 2'!J261</f>
        <v>0</v>
      </c>
      <c r="J212" s="162">
        <f>'дод 2'!K261</f>
        <v>0</v>
      </c>
      <c r="K212" s="162">
        <f>'дод 2'!L261</f>
        <v>0</v>
      </c>
      <c r="L212" s="162">
        <f>'дод 2'!M261</f>
        <v>0</v>
      </c>
      <c r="M212" s="162">
        <f>'дод 2'!N261</f>
        <v>0</v>
      </c>
      <c r="N212" s="162">
        <f>'дод 2'!O261</f>
        <v>0</v>
      </c>
      <c r="O212" s="162">
        <f>'дод 2'!P261</f>
        <v>0</v>
      </c>
    </row>
    <row r="213" spans="1:15" s="51" customFormat="1" ht="15.75" hidden="1" customHeight="1" x14ac:dyDescent="0.25">
      <c r="A213" s="81"/>
      <c r="B213" s="81"/>
      <c r="C213" s="77" t="s">
        <v>388</v>
      </c>
      <c r="D213" s="163">
        <f>'дод 2'!E262</f>
        <v>0</v>
      </c>
      <c r="E213" s="163">
        <f>'дод 2'!F262</f>
        <v>0</v>
      </c>
      <c r="F213" s="163">
        <f>'дод 2'!G262</f>
        <v>0</v>
      </c>
      <c r="G213" s="163">
        <f>'дод 2'!H262</f>
        <v>0</v>
      </c>
      <c r="H213" s="163">
        <f>'дод 2'!I262</f>
        <v>0</v>
      </c>
      <c r="I213" s="163">
        <f>'дод 2'!J262</f>
        <v>0</v>
      </c>
      <c r="J213" s="163">
        <f>'дод 2'!K262</f>
        <v>0</v>
      </c>
      <c r="K213" s="163">
        <f>'дод 2'!L262</f>
        <v>0</v>
      </c>
      <c r="L213" s="163">
        <f>'дод 2'!M262</f>
        <v>0</v>
      </c>
      <c r="M213" s="163">
        <f>'дод 2'!N262</f>
        <v>0</v>
      </c>
      <c r="N213" s="163">
        <f>'дод 2'!O262</f>
        <v>0</v>
      </c>
      <c r="O213" s="163">
        <f>'дод 2'!P262</f>
        <v>0</v>
      </c>
    </row>
    <row r="214" spans="1:15" s="49" customFormat="1" ht="18.75" customHeight="1" x14ac:dyDescent="0.25">
      <c r="A214" s="39" t="s">
        <v>234</v>
      </c>
      <c r="B214" s="41"/>
      <c r="C214" s="2" t="s">
        <v>235</v>
      </c>
      <c r="D214" s="47">
        <f>D215</f>
        <v>7850000</v>
      </c>
      <c r="E214" s="47">
        <f t="shared" ref="E214:O214" si="42">E215</f>
        <v>7850000</v>
      </c>
      <c r="F214" s="47">
        <f t="shared" si="42"/>
        <v>0</v>
      </c>
      <c r="G214" s="47">
        <f t="shared" si="42"/>
        <v>0</v>
      </c>
      <c r="H214" s="47">
        <f t="shared" si="42"/>
        <v>0</v>
      </c>
      <c r="I214" s="47">
        <f t="shared" si="42"/>
        <v>3150000</v>
      </c>
      <c r="J214" s="47">
        <f t="shared" si="42"/>
        <v>3150000</v>
      </c>
      <c r="K214" s="47">
        <f t="shared" si="42"/>
        <v>0</v>
      </c>
      <c r="L214" s="47">
        <f t="shared" si="42"/>
        <v>0</v>
      </c>
      <c r="M214" s="47">
        <f t="shared" si="42"/>
        <v>0</v>
      </c>
      <c r="N214" s="47">
        <f t="shared" si="42"/>
        <v>3150000</v>
      </c>
      <c r="O214" s="47">
        <f t="shared" si="42"/>
        <v>11000000</v>
      </c>
    </row>
    <row r="215" spans="1:15" ht="37.5" customHeight="1" x14ac:dyDescent="0.25">
      <c r="A215" s="40" t="s">
        <v>232</v>
      </c>
      <c r="B215" s="40" t="s">
        <v>233</v>
      </c>
      <c r="C215" s="11" t="s">
        <v>231</v>
      </c>
      <c r="D215" s="162">
        <f>'дод 2'!E50+'дод 2'!E263</f>
        <v>7850000</v>
      </c>
      <c r="E215" s="162">
        <f>'дод 2'!F50+'дод 2'!F263</f>
        <v>7850000</v>
      </c>
      <c r="F215" s="162">
        <f>'дод 2'!G50+'дод 2'!G263</f>
        <v>0</v>
      </c>
      <c r="G215" s="162">
        <f>'дод 2'!H50+'дод 2'!H263</f>
        <v>0</v>
      </c>
      <c r="H215" s="162">
        <f>'дод 2'!I50+'дод 2'!I263</f>
        <v>0</v>
      </c>
      <c r="I215" s="162">
        <f>'дод 2'!J50+'дод 2'!J263</f>
        <v>3150000</v>
      </c>
      <c r="J215" s="162">
        <f>'дод 2'!K50+'дод 2'!K263</f>
        <v>3150000</v>
      </c>
      <c r="K215" s="162">
        <f>'дод 2'!L50+'дод 2'!L263</f>
        <v>0</v>
      </c>
      <c r="L215" s="162">
        <f>'дод 2'!M50+'дод 2'!M263</f>
        <v>0</v>
      </c>
      <c r="M215" s="162">
        <f>'дод 2'!N50+'дод 2'!N263</f>
        <v>0</v>
      </c>
      <c r="N215" s="162">
        <f>'дод 2'!O50+'дод 2'!O263</f>
        <v>3150000</v>
      </c>
      <c r="O215" s="162">
        <f>'дод 2'!P50+'дод 2'!P263</f>
        <v>11000000</v>
      </c>
    </row>
    <row r="216" spans="1:15" s="49" customFormat="1" ht="39.75" customHeight="1" x14ac:dyDescent="0.25">
      <c r="A216" s="38" t="s">
        <v>87</v>
      </c>
      <c r="B216" s="41"/>
      <c r="C216" s="2" t="s">
        <v>415</v>
      </c>
      <c r="D216" s="47">
        <f>D218+D219+D221+D222+D223+D225+D226+D227</f>
        <v>9071777</v>
      </c>
      <c r="E216" s="47">
        <f t="shared" ref="E216:O216" si="43">E218+E219+E221+E222+E223+E225+E226+E227</f>
        <v>6071777</v>
      </c>
      <c r="F216" s="47">
        <f t="shared" si="43"/>
        <v>0</v>
      </c>
      <c r="G216" s="47">
        <f t="shared" si="43"/>
        <v>0</v>
      </c>
      <c r="H216" s="47">
        <f t="shared" si="43"/>
        <v>3000000</v>
      </c>
      <c r="I216" s="47">
        <f t="shared" si="43"/>
        <v>256393245</v>
      </c>
      <c r="J216" s="47">
        <f t="shared" si="43"/>
        <v>249197846</v>
      </c>
      <c r="K216" s="47">
        <f t="shared" si="43"/>
        <v>1292609</v>
      </c>
      <c r="L216" s="47">
        <f t="shared" si="43"/>
        <v>0</v>
      </c>
      <c r="M216" s="47">
        <f t="shared" si="43"/>
        <v>0</v>
      </c>
      <c r="N216" s="47">
        <f t="shared" si="43"/>
        <v>255100636</v>
      </c>
      <c r="O216" s="47">
        <f t="shared" si="43"/>
        <v>265465022</v>
      </c>
    </row>
    <row r="217" spans="1:15" s="50" customFormat="1" ht="16.5" customHeight="1" x14ac:dyDescent="0.25">
      <c r="A217" s="65"/>
      <c r="B217" s="65"/>
      <c r="C217" s="75" t="s">
        <v>413</v>
      </c>
      <c r="D217" s="164">
        <f>D220+D224</f>
        <v>0</v>
      </c>
      <c r="E217" s="164">
        <f t="shared" ref="E217:O217" si="44">E220+E224</f>
        <v>0</v>
      </c>
      <c r="F217" s="164">
        <f t="shared" si="44"/>
        <v>0</v>
      </c>
      <c r="G217" s="164">
        <f t="shared" si="44"/>
        <v>0</v>
      </c>
      <c r="H217" s="164">
        <f t="shared" si="44"/>
        <v>0</v>
      </c>
      <c r="I217" s="164">
        <f t="shared" si="44"/>
        <v>180458652</v>
      </c>
      <c r="J217" s="164">
        <f t="shared" si="44"/>
        <v>180458652</v>
      </c>
      <c r="K217" s="164">
        <f t="shared" si="44"/>
        <v>0</v>
      </c>
      <c r="L217" s="164">
        <f t="shared" si="44"/>
        <v>0</v>
      </c>
      <c r="M217" s="164">
        <f t="shared" si="44"/>
        <v>0</v>
      </c>
      <c r="N217" s="164">
        <f t="shared" si="44"/>
        <v>180458652</v>
      </c>
      <c r="O217" s="164">
        <f t="shared" si="44"/>
        <v>180458652</v>
      </c>
    </row>
    <row r="218" spans="1:15" ht="32.25" customHeight="1" x14ac:dyDescent="0.25">
      <c r="A218" s="37" t="s">
        <v>4</v>
      </c>
      <c r="B218" s="37" t="s">
        <v>86</v>
      </c>
      <c r="C218" s="3" t="s">
        <v>23</v>
      </c>
      <c r="D218" s="162">
        <f>'дод 2'!E51+'дод 2'!E318</f>
        <v>1060000</v>
      </c>
      <c r="E218" s="162">
        <f>'дод 2'!F51+'дод 2'!F318</f>
        <v>460000</v>
      </c>
      <c r="F218" s="162">
        <f>'дод 2'!G51+'дод 2'!G318</f>
        <v>0</v>
      </c>
      <c r="G218" s="162">
        <f>'дод 2'!H51+'дод 2'!H318</f>
        <v>0</v>
      </c>
      <c r="H218" s="162">
        <f>'дод 2'!I51+'дод 2'!I318</f>
        <v>600000</v>
      </c>
      <c r="I218" s="162">
        <f>'дод 2'!J51+'дод 2'!J318</f>
        <v>0</v>
      </c>
      <c r="J218" s="162">
        <f>'дод 2'!K51+'дод 2'!K318</f>
        <v>0</v>
      </c>
      <c r="K218" s="162">
        <f>'дод 2'!L51+'дод 2'!L318</f>
        <v>0</v>
      </c>
      <c r="L218" s="162">
        <f>'дод 2'!M51+'дод 2'!M318</f>
        <v>0</v>
      </c>
      <c r="M218" s="162">
        <f>'дод 2'!N51+'дод 2'!N318</f>
        <v>0</v>
      </c>
      <c r="N218" s="162">
        <f>'дод 2'!O51+'дод 2'!O318</f>
        <v>0</v>
      </c>
      <c r="O218" s="162">
        <f>'дод 2'!P51+'дод 2'!P318</f>
        <v>1060000</v>
      </c>
    </row>
    <row r="219" spans="1:15" ht="30" customHeight="1" x14ac:dyDescent="0.25">
      <c r="A219" s="37" t="s">
        <v>2</v>
      </c>
      <c r="B219" s="37" t="s">
        <v>85</v>
      </c>
      <c r="C219" s="3" t="s">
        <v>412</v>
      </c>
      <c r="D219" s="162">
        <f>'дод 2'!E124+'дод 2'!E161+'дод 2'!E226+'дод 2'!E264+'дод 2'!E299+'дод 2'!E325+'дод 2'!E206</f>
        <v>5202038</v>
      </c>
      <c r="E219" s="162">
        <f>'дод 2'!F124+'дод 2'!F161+'дод 2'!F226+'дод 2'!F264+'дод 2'!F299+'дод 2'!F325+'дод 2'!F206</f>
        <v>2802038</v>
      </c>
      <c r="F219" s="162">
        <f>'дод 2'!G124+'дод 2'!G161+'дод 2'!G226+'дод 2'!G264+'дод 2'!G299+'дод 2'!G325+'дод 2'!G206</f>
        <v>0</v>
      </c>
      <c r="G219" s="162">
        <f>'дод 2'!H124+'дод 2'!H161+'дод 2'!H226+'дод 2'!H264+'дод 2'!H299+'дод 2'!H325+'дод 2'!H206</f>
        <v>0</v>
      </c>
      <c r="H219" s="162">
        <f>'дод 2'!I124+'дод 2'!I161+'дод 2'!I226+'дод 2'!I264+'дод 2'!I299+'дод 2'!I325+'дод 2'!I206</f>
        <v>2400000</v>
      </c>
      <c r="I219" s="162">
        <f>'дод 2'!J124+'дод 2'!J161+'дод 2'!J226+'дод 2'!J264+'дод 2'!J299+'дод 2'!J325+'дод 2'!J206</f>
        <v>181103036</v>
      </c>
      <c r="J219" s="162">
        <f>'дод 2'!K124+'дод 2'!K161+'дод 2'!K226+'дод 2'!K264+'дод 2'!K299+'дод 2'!K325+'дод 2'!K206</f>
        <v>177107846</v>
      </c>
      <c r="K219" s="162">
        <f>'дод 2'!L124+'дод 2'!L161+'дод 2'!L226+'дод 2'!L264+'дод 2'!L299+'дод 2'!L325+'дод 2'!L206</f>
        <v>0</v>
      </c>
      <c r="L219" s="162">
        <f>'дод 2'!M124+'дод 2'!M161+'дод 2'!M226+'дод 2'!M264+'дод 2'!M299+'дод 2'!M325+'дод 2'!M206</f>
        <v>0</v>
      </c>
      <c r="M219" s="162">
        <f>'дод 2'!N124+'дод 2'!N161+'дод 2'!N226+'дод 2'!N264+'дод 2'!N299+'дод 2'!N325+'дод 2'!N206</f>
        <v>0</v>
      </c>
      <c r="N219" s="162">
        <f>'дод 2'!O124+'дод 2'!O161+'дод 2'!O226+'дод 2'!O264+'дод 2'!O299+'дод 2'!O325+'дод 2'!O206</f>
        <v>181103036</v>
      </c>
      <c r="O219" s="162">
        <f>'дод 2'!P124+'дод 2'!P161+'дод 2'!P226+'дод 2'!P264+'дод 2'!P299+'дод 2'!P325+'дод 2'!P206</f>
        <v>186305074</v>
      </c>
    </row>
    <row r="220" spans="1:15" s="51" customFormat="1" ht="17.25" customHeight="1" x14ac:dyDescent="0.25">
      <c r="A220" s="71"/>
      <c r="B220" s="71"/>
      <c r="C220" s="77" t="s">
        <v>413</v>
      </c>
      <c r="D220" s="163">
        <f>'дод 2'!E162+'дод 2'!E300</f>
        <v>0</v>
      </c>
      <c r="E220" s="163">
        <f>'дод 2'!F162+'дод 2'!F300</f>
        <v>0</v>
      </c>
      <c r="F220" s="163">
        <f>'дод 2'!G162+'дод 2'!G300</f>
        <v>0</v>
      </c>
      <c r="G220" s="163">
        <f>'дод 2'!H162+'дод 2'!H300</f>
        <v>0</v>
      </c>
      <c r="H220" s="163">
        <f>'дод 2'!I162+'дод 2'!I300</f>
        <v>0</v>
      </c>
      <c r="I220" s="163">
        <f>'дод 2'!J162+'дод 2'!J300</f>
        <v>133343652</v>
      </c>
      <c r="J220" s="163">
        <f>'дод 2'!K162+'дод 2'!K300</f>
        <v>133343652</v>
      </c>
      <c r="K220" s="163">
        <f>'дод 2'!L162+'дод 2'!L300</f>
        <v>0</v>
      </c>
      <c r="L220" s="163">
        <f>'дод 2'!M162+'дод 2'!M300</f>
        <v>0</v>
      </c>
      <c r="M220" s="163">
        <f>'дод 2'!N162+'дод 2'!N300</f>
        <v>0</v>
      </c>
      <c r="N220" s="163">
        <f>'дод 2'!O162+'дод 2'!O300</f>
        <v>133343652</v>
      </c>
      <c r="O220" s="163">
        <f>'дод 2'!P162+'дод 2'!P300</f>
        <v>133343652</v>
      </c>
    </row>
    <row r="221" spans="1:15" ht="33.75" customHeight="1" x14ac:dyDescent="0.25">
      <c r="A221" s="37" t="s">
        <v>264</v>
      </c>
      <c r="B221" s="37" t="s">
        <v>81</v>
      </c>
      <c r="C221" s="3" t="s">
        <v>341</v>
      </c>
      <c r="D221" s="162">
        <f>'дод 2'!E319</f>
        <v>0</v>
      </c>
      <c r="E221" s="162">
        <f>'дод 2'!F319</f>
        <v>0</v>
      </c>
      <c r="F221" s="162">
        <f>'дод 2'!G319</f>
        <v>0</v>
      </c>
      <c r="G221" s="162">
        <f>'дод 2'!H319</f>
        <v>0</v>
      </c>
      <c r="H221" s="162">
        <f>'дод 2'!I319</f>
        <v>0</v>
      </c>
      <c r="I221" s="162">
        <f>'дод 2'!J319</f>
        <v>30000</v>
      </c>
      <c r="J221" s="162">
        <f>'дод 2'!K319</f>
        <v>30000</v>
      </c>
      <c r="K221" s="162">
        <f>'дод 2'!L319</f>
        <v>0</v>
      </c>
      <c r="L221" s="162">
        <f>'дод 2'!M319</f>
        <v>0</v>
      </c>
      <c r="M221" s="162">
        <f>'дод 2'!N319</f>
        <v>0</v>
      </c>
      <c r="N221" s="162">
        <f>'дод 2'!O319</f>
        <v>30000</v>
      </c>
      <c r="O221" s="162">
        <f>'дод 2'!P319</f>
        <v>30000</v>
      </c>
    </row>
    <row r="222" spans="1:15" ht="47.25" customHeight="1" x14ac:dyDescent="0.25">
      <c r="A222" s="37" t="s">
        <v>266</v>
      </c>
      <c r="B222" s="37" t="s">
        <v>81</v>
      </c>
      <c r="C222" s="3" t="s">
        <v>267</v>
      </c>
      <c r="D222" s="162">
        <f>'дод 2'!E320</f>
        <v>0</v>
      </c>
      <c r="E222" s="162">
        <f>'дод 2'!F320</f>
        <v>0</v>
      </c>
      <c r="F222" s="162">
        <f>'дод 2'!G320</f>
        <v>0</v>
      </c>
      <c r="G222" s="162">
        <f>'дод 2'!H320</f>
        <v>0</v>
      </c>
      <c r="H222" s="162">
        <f>'дод 2'!I320</f>
        <v>0</v>
      </c>
      <c r="I222" s="162">
        <f>'дод 2'!J320</f>
        <v>145000</v>
      </c>
      <c r="J222" s="162">
        <f>'дод 2'!K320</f>
        <v>145000</v>
      </c>
      <c r="K222" s="162">
        <f>'дод 2'!L320</f>
        <v>0</v>
      </c>
      <c r="L222" s="162">
        <f>'дод 2'!M320</f>
        <v>0</v>
      </c>
      <c r="M222" s="162">
        <f>'дод 2'!N320</f>
        <v>0</v>
      </c>
      <c r="N222" s="162">
        <f>'дод 2'!O320</f>
        <v>145000</v>
      </c>
      <c r="O222" s="162">
        <f>'дод 2'!P320</f>
        <v>145000</v>
      </c>
    </row>
    <row r="223" spans="1:15" ht="42" customHeight="1" x14ac:dyDescent="0.25">
      <c r="A223" s="37" t="s">
        <v>5</v>
      </c>
      <c r="B223" s="37" t="s">
        <v>81</v>
      </c>
      <c r="C223" s="3" t="s">
        <v>600</v>
      </c>
      <c r="D223" s="162">
        <f>'дод 2'!E52+'дод 2'!E265</f>
        <v>0</v>
      </c>
      <c r="E223" s="162">
        <f>'дод 2'!F52+'дод 2'!F265</f>
        <v>0</v>
      </c>
      <c r="F223" s="162">
        <f>'дод 2'!G52+'дод 2'!G265</f>
        <v>0</v>
      </c>
      <c r="G223" s="162">
        <f>'дод 2'!H52+'дод 2'!H265</f>
        <v>0</v>
      </c>
      <c r="H223" s="162">
        <f>'дод 2'!I52+'дод 2'!I265</f>
        <v>0</v>
      </c>
      <c r="I223" s="162">
        <f>'дод 2'!J52+'дод 2'!J265</f>
        <v>71915000</v>
      </c>
      <c r="J223" s="162">
        <f>'дод 2'!K52+'дод 2'!K265</f>
        <v>71915000</v>
      </c>
      <c r="K223" s="162">
        <f>'дод 2'!L52+'дод 2'!L265</f>
        <v>0</v>
      </c>
      <c r="L223" s="162">
        <f>'дод 2'!M52+'дод 2'!M265</f>
        <v>0</v>
      </c>
      <c r="M223" s="162">
        <f>'дод 2'!N52+'дод 2'!N265</f>
        <v>0</v>
      </c>
      <c r="N223" s="162">
        <f>'дод 2'!O52+'дод 2'!O265</f>
        <v>71915000</v>
      </c>
      <c r="O223" s="162">
        <f>'дод 2'!P52+'дод 2'!P265</f>
        <v>71915000</v>
      </c>
    </row>
    <row r="224" spans="1:15" ht="16.5" customHeight="1" x14ac:dyDescent="0.25">
      <c r="A224" s="37"/>
      <c r="B224" s="37"/>
      <c r="C224" s="77" t="s">
        <v>413</v>
      </c>
      <c r="D224" s="162">
        <f>'дод 2'!E266</f>
        <v>0</v>
      </c>
      <c r="E224" s="162">
        <f>'дод 2'!F266</f>
        <v>0</v>
      </c>
      <c r="F224" s="162">
        <f>'дод 2'!G266</f>
        <v>0</v>
      </c>
      <c r="G224" s="162">
        <f>'дод 2'!H266</f>
        <v>0</v>
      </c>
      <c r="H224" s="162">
        <f>'дод 2'!I266</f>
        <v>0</v>
      </c>
      <c r="I224" s="162">
        <f>'дод 2'!J266</f>
        <v>47115000</v>
      </c>
      <c r="J224" s="162">
        <f>'дод 2'!K266</f>
        <v>47115000</v>
      </c>
      <c r="K224" s="162">
        <f>'дод 2'!L266</f>
        <v>0</v>
      </c>
      <c r="L224" s="162">
        <f>'дод 2'!M266</f>
        <v>0</v>
      </c>
      <c r="M224" s="162">
        <f>'дод 2'!N266</f>
        <v>0</v>
      </c>
      <c r="N224" s="162">
        <f>'дод 2'!O266</f>
        <v>47115000</v>
      </c>
      <c r="O224" s="162">
        <f>'дод 2'!P266</f>
        <v>47115000</v>
      </c>
    </row>
    <row r="225" spans="1:15" ht="36.75" customHeight="1" x14ac:dyDescent="0.25">
      <c r="A225" s="37" t="s">
        <v>245</v>
      </c>
      <c r="B225" s="37" t="s">
        <v>81</v>
      </c>
      <c r="C225" s="3" t="s">
        <v>246</v>
      </c>
      <c r="D225" s="162">
        <f>'дод 2'!E53</f>
        <v>366939</v>
      </c>
      <c r="E225" s="162">
        <f>'дод 2'!F53</f>
        <v>366939</v>
      </c>
      <c r="F225" s="162">
        <f>'дод 2'!G53</f>
        <v>0</v>
      </c>
      <c r="G225" s="162">
        <f>'дод 2'!H53</f>
        <v>0</v>
      </c>
      <c r="H225" s="162">
        <f>'дод 2'!I53</f>
        <v>0</v>
      </c>
      <c r="I225" s="162">
        <f>'дод 2'!J53</f>
        <v>0</v>
      </c>
      <c r="J225" s="162">
        <f>'дод 2'!K53</f>
        <v>0</v>
      </c>
      <c r="K225" s="162">
        <f>'дод 2'!L53</f>
        <v>0</v>
      </c>
      <c r="L225" s="162">
        <f>'дод 2'!M53</f>
        <v>0</v>
      </c>
      <c r="M225" s="162">
        <f>'дод 2'!N53</f>
        <v>0</v>
      </c>
      <c r="N225" s="162">
        <f>'дод 2'!O53</f>
        <v>0</v>
      </c>
      <c r="O225" s="162">
        <f>'дод 2'!P53</f>
        <v>366939</v>
      </c>
    </row>
    <row r="226" spans="1:15" s="51" customFormat="1" ht="117" customHeight="1" x14ac:dyDescent="0.25">
      <c r="A226" s="37" t="s">
        <v>291</v>
      </c>
      <c r="B226" s="37" t="s">
        <v>81</v>
      </c>
      <c r="C226" s="3" t="s">
        <v>309</v>
      </c>
      <c r="D226" s="162">
        <f>'дод 2'!E54+'дод 2'!E267+'дод 2'!E301+'дод 2'!E310</f>
        <v>0</v>
      </c>
      <c r="E226" s="162">
        <f>'дод 2'!F54+'дод 2'!F267+'дод 2'!F301+'дод 2'!F310</f>
        <v>0</v>
      </c>
      <c r="F226" s="162">
        <f>'дод 2'!G54+'дод 2'!G267+'дод 2'!G301+'дод 2'!G310</f>
        <v>0</v>
      </c>
      <c r="G226" s="162">
        <f>'дод 2'!H54+'дод 2'!H267+'дод 2'!H301+'дод 2'!H310</f>
        <v>0</v>
      </c>
      <c r="H226" s="162">
        <f>'дод 2'!I54+'дод 2'!I267+'дод 2'!I301+'дод 2'!I310</f>
        <v>0</v>
      </c>
      <c r="I226" s="162">
        <f>'дод 2'!J54+'дод 2'!J267+'дод 2'!J301+'дод 2'!J310</f>
        <v>3200209</v>
      </c>
      <c r="J226" s="162">
        <f>'дод 2'!K54+'дод 2'!K267+'дод 2'!K301+'дод 2'!K310</f>
        <v>0</v>
      </c>
      <c r="K226" s="162">
        <f>'дод 2'!L54+'дод 2'!L267+'дод 2'!L301+'дод 2'!L310</f>
        <v>1292609</v>
      </c>
      <c r="L226" s="162">
        <f>'дод 2'!M54+'дод 2'!M267+'дод 2'!M301+'дод 2'!M310</f>
        <v>0</v>
      </c>
      <c r="M226" s="162">
        <f>'дод 2'!N54+'дод 2'!N267+'дод 2'!N301+'дод 2'!N310</f>
        <v>0</v>
      </c>
      <c r="N226" s="162">
        <f>'дод 2'!O54+'дод 2'!O267+'дод 2'!O301+'дод 2'!O310</f>
        <v>1907600</v>
      </c>
      <c r="O226" s="162">
        <f>'дод 2'!P54+'дод 2'!P267+'дод 2'!P301+'дод 2'!P310</f>
        <v>3200209</v>
      </c>
    </row>
    <row r="227" spans="1:15" s="51" customFormat="1" ht="23.25" customHeight="1" x14ac:dyDescent="0.25">
      <c r="A227" s="37" t="s">
        <v>236</v>
      </c>
      <c r="B227" s="37" t="s">
        <v>81</v>
      </c>
      <c r="C227" s="3" t="s">
        <v>17</v>
      </c>
      <c r="D227" s="162">
        <f>'дод 2'!E55+'дод 2'!E321+'дод 2'!E326</f>
        <v>2442800</v>
      </c>
      <c r="E227" s="162">
        <f>'дод 2'!F55+'дод 2'!F321+'дод 2'!F326</f>
        <v>2442800</v>
      </c>
      <c r="F227" s="162">
        <f>'дод 2'!G55+'дод 2'!G321+'дод 2'!G326</f>
        <v>0</v>
      </c>
      <c r="G227" s="162">
        <f>'дод 2'!H55+'дод 2'!H321+'дод 2'!H326</f>
        <v>0</v>
      </c>
      <c r="H227" s="162">
        <f>'дод 2'!I55+'дод 2'!I321+'дод 2'!I326</f>
        <v>0</v>
      </c>
      <c r="I227" s="162">
        <f>'дод 2'!J55+'дод 2'!J321+'дод 2'!J326</f>
        <v>0</v>
      </c>
      <c r="J227" s="162">
        <f>'дод 2'!K55+'дод 2'!K321+'дод 2'!K326</f>
        <v>0</v>
      </c>
      <c r="K227" s="162">
        <f>'дод 2'!L55+'дод 2'!L321+'дод 2'!L326</f>
        <v>0</v>
      </c>
      <c r="L227" s="162">
        <f>'дод 2'!M55+'дод 2'!M321+'дод 2'!M326</f>
        <v>0</v>
      </c>
      <c r="M227" s="162">
        <f>'дод 2'!N55+'дод 2'!N321+'дод 2'!N326</f>
        <v>0</v>
      </c>
      <c r="N227" s="162">
        <f>'дод 2'!O55+'дод 2'!O321+'дод 2'!O326</f>
        <v>0</v>
      </c>
      <c r="O227" s="162">
        <f>'дод 2'!P55+'дод 2'!P321+'дод 2'!P326</f>
        <v>2442800</v>
      </c>
    </row>
    <row r="228" spans="1:15" s="50" customFormat="1" ht="48.75" hidden="1" customHeight="1" x14ac:dyDescent="0.25">
      <c r="A228" s="38">
        <v>7700</v>
      </c>
      <c r="B228" s="38"/>
      <c r="C228" s="83" t="s">
        <v>357</v>
      </c>
      <c r="D228" s="47">
        <f>D229</f>
        <v>0</v>
      </c>
      <c r="E228" s="47">
        <f t="shared" ref="E228:O228" si="45">E229</f>
        <v>0</v>
      </c>
      <c r="F228" s="47">
        <f t="shared" si="45"/>
        <v>0</v>
      </c>
      <c r="G228" s="47">
        <f t="shared" si="45"/>
        <v>0</v>
      </c>
      <c r="H228" s="47">
        <f t="shared" si="45"/>
        <v>0</v>
      </c>
      <c r="I228" s="47">
        <f t="shared" si="45"/>
        <v>0</v>
      </c>
      <c r="J228" s="47">
        <f t="shared" si="45"/>
        <v>0</v>
      </c>
      <c r="K228" s="47">
        <f t="shared" si="45"/>
        <v>0</v>
      </c>
      <c r="L228" s="47">
        <f t="shared" si="45"/>
        <v>0</v>
      </c>
      <c r="M228" s="47">
        <f t="shared" si="45"/>
        <v>0</v>
      </c>
      <c r="N228" s="47">
        <f t="shared" si="45"/>
        <v>0</v>
      </c>
      <c r="O228" s="47">
        <f t="shared" si="45"/>
        <v>0</v>
      </c>
    </row>
    <row r="229" spans="1:15" s="51" customFormat="1" ht="46.5" hidden="1" customHeight="1" x14ac:dyDescent="0.25">
      <c r="A229" s="37">
        <v>7700</v>
      </c>
      <c r="B229" s="55" t="s">
        <v>92</v>
      </c>
      <c r="C229" s="57" t="s">
        <v>357</v>
      </c>
      <c r="D229" s="162">
        <f>'дод 2'!E125</f>
        <v>0</v>
      </c>
      <c r="E229" s="162">
        <f>'дод 2'!F125</f>
        <v>0</v>
      </c>
      <c r="F229" s="162">
        <f>'дод 2'!G125</f>
        <v>0</v>
      </c>
      <c r="G229" s="162">
        <f>'дод 2'!H125</f>
        <v>0</v>
      </c>
      <c r="H229" s="162">
        <f>'дод 2'!I125</f>
        <v>0</v>
      </c>
      <c r="I229" s="162">
        <f>'дод 2'!J125</f>
        <v>0</v>
      </c>
      <c r="J229" s="162">
        <f>'дод 2'!K125</f>
        <v>0</v>
      </c>
      <c r="K229" s="162">
        <f>'дод 2'!L125</f>
        <v>0</v>
      </c>
      <c r="L229" s="162">
        <f>'дод 2'!M125</f>
        <v>0</v>
      </c>
      <c r="M229" s="162">
        <f>'дод 2'!N125</f>
        <v>0</v>
      </c>
      <c r="N229" s="162">
        <f>'дод 2'!O125</f>
        <v>0</v>
      </c>
      <c r="O229" s="162">
        <f>'дод 2'!P125</f>
        <v>0</v>
      </c>
    </row>
    <row r="230" spans="1:15" s="49" customFormat="1" ht="30.75" customHeight="1" x14ac:dyDescent="0.25">
      <c r="A230" s="38" t="s">
        <v>93</v>
      </c>
      <c r="B230" s="39"/>
      <c r="C230" s="2" t="s">
        <v>553</v>
      </c>
      <c r="D230" s="47">
        <f>D232+D237+D239+D242+D244+D245</f>
        <v>22297092</v>
      </c>
      <c r="E230" s="47">
        <f t="shared" ref="E230:O230" si="46">E232+E237+E239+E242+E244+E245</f>
        <v>7357400</v>
      </c>
      <c r="F230" s="47">
        <f t="shared" si="46"/>
        <v>1998000</v>
      </c>
      <c r="G230" s="47">
        <f t="shared" si="46"/>
        <v>515200</v>
      </c>
      <c r="H230" s="47">
        <f t="shared" si="46"/>
        <v>0</v>
      </c>
      <c r="I230" s="47">
        <f t="shared" si="46"/>
        <v>4495200</v>
      </c>
      <c r="J230" s="47">
        <f t="shared" si="46"/>
        <v>0</v>
      </c>
      <c r="K230" s="47">
        <f t="shared" si="46"/>
        <v>4115200</v>
      </c>
      <c r="L230" s="47">
        <f t="shared" si="46"/>
        <v>0</v>
      </c>
      <c r="M230" s="47">
        <f t="shared" si="46"/>
        <v>1600</v>
      </c>
      <c r="N230" s="47">
        <f t="shared" si="46"/>
        <v>380000</v>
      </c>
      <c r="O230" s="47">
        <f t="shared" si="46"/>
        <v>26792292</v>
      </c>
    </row>
    <row r="231" spans="1:15" s="50" customFormat="1" ht="71.25" customHeight="1" x14ac:dyDescent="0.25">
      <c r="A231" s="65"/>
      <c r="B231" s="68"/>
      <c r="C231" s="69" t="s">
        <v>377</v>
      </c>
      <c r="D231" s="164">
        <f>D233</f>
        <v>493540</v>
      </c>
      <c r="E231" s="164">
        <f t="shared" ref="E231:O231" si="47">E233</f>
        <v>493540</v>
      </c>
      <c r="F231" s="164">
        <f t="shared" si="47"/>
        <v>404541</v>
      </c>
      <c r="G231" s="164">
        <f t="shared" si="47"/>
        <v>0</v>
      </c>
      <c r="H231" s="164">
        <f t="shared" si="47"/>
        <v>0</v>
      </c>
      <c r="I231" s="164">
        <f t="shared" si="47"/>
        <v>0</v>
      </c>
      <c r="J231" s="164">
        <f t="shared" si="47"/>
        <v>0</v>
      </c>
      <c r="K231" s="164">
        <f t="shared" si="47"/>
        <v>0</v>
      </c>
      <c r="L231" s="164">
        <f t="shared" si="47"/>
        <v>0</v>
      </c>
      <c r="M231" s="164">
        <f t="shared" si="47"/>
        <v>0</v>
      </c>
      <c r="N231" s="164">
        <f t="shared" si="47"/>
        <v>0</v>
      </c>
      <c r="O231" s="164">
        <f t="shared" si="47"/>
        <v>493540</v>
      </c>
    </row>
    <row r="232" spans="1:15" s="49" customFormat="1" ht="51.75" customHeight="1" x14ac:dyDescent="0.25">
      <c r="A232" s="38" t="s">
        <v>95</v>
      </c>
      <c r="B232" s="39"/>
      <c r="C232" s="2" t="s">
        <v>501</v>
      </c>
      <c r="D232" s="47">
        <f t="shared" ref="D232:O232" si="48">D234+D235</f>
        <v>2881300</v>
      </c>
      <c r="E232" s="47">
        <f t="shared" si="48"/>
        <v>2881300</v>
      </c>
      <c r="F232" s="47">
        <f t="shared" si="48"/>
        <v>1998000</v>
      </c>
      <c r="G232" s="47">
        <f t="shared" si="48"/>
        <v>88300</v>
      </c>
      <c r="H232" s="47">
        <f t="shared" si="48"/>
        <v>0</v>
      </c>
      <c r="I232" s="47">
        <f t="shared" si="48"/>
        <v>5900</v>
      </c>
      <c r="J232" s="47">
        <f t="shared" si="48"/>
        <v>0</v>
      </c>
      <c r="K232" s="47">
        <f t="shared" si="48"/>
        <v>5900</v>
      </c>
      <c r="L232" s="47">
        <f t="shared" si="48"/>
        <v>0</v>
      </c>
      <c r="M232" s="47">
        <f t="shared" si="48"/>
        <v>1600</v>
      </c>
      <c r="N232" s="47">
        <f t="shared" si="48"/>
        <v>0</v>
      </c>
      <c r="O232" s="47">
        <f t="shared" si="48"/>
        <v>2887200</v>
      </c>
    </row>
    <row r="233" spans="1:15" s="50" customFormat="1" ht="69.75" customHeight="1" x14ac:dyDescent="0.25">
      <c r="A233" s="65"/>
      <c r="B233" s="68"/>
      <c r="C233" s="70" t="str">
        <f>C236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3" s="164">
        <f>D236</f>
        <v>493540</v>
      </c>
      <c r="E233" s="164">
        <f t="shared" ref="E233:O233" si="49">E236</f>
        <v>493540</v>
      </c>
      <c r="F233" s="164">
        <f t="shared" si="49"/>
        <v>404541</v>
      </c>
      <c r="G233" s="164">
        <f t="shared" si="49"/>
        <v>0</v>
      </c>
      <c r="H233" s="164">
        <f t="shared" si="49"/>
        <v>0</v>
      </c>
      <c r="I233" s="164">
        <f t="shared" si="49"/>
        <v>0</v>
      </c>
      <c r="J233" s="164">
        <f t="shared" si="49"/>
        <v>0</v>
      </c>
      <c r="K233" s="164">
        <f t="shared" si="49"/>
        <v>0</v>
      </c>
      <c r="L233" s="164">
        <f t="shared" si="49"/>
        <v>0</v>
      </c>
      <c r="M233" s="164">
        <f t="shared" si="49"/>
        <v>0</v>
      </c>
      <c r="N233" s="164">
        <f t="shared" si="49"/>
        <v>0</v>
      </c>
      <c r="O233" s="164">
        <f t="shared" si="49"/>
        <v>493540</v>
      </c>
    </row>
    <row r="234" spans="1:15" s="49" customFormat="1" ht="36.75" customHeight="1" x14ac:dyDescent="0.25">
      <c r="A234" s="40" t="s">
        <v>7</v>
      </c>
      <c r="B234" s="40" t="s">
        <v>88</v>
      </c>
      <c r="C234" s="3" t="s">
        <v>292</v>
      </c>
      <c r="D234" s="162">
        <f>'дод 2'!E56+'дод 2'!E268</f>
        <v>282100</v>
      </c>
      <c r="E234" s="162">
        <f>'дод 2'!F56+'дод 2'!F268</f>
        <v>282100</v>
      </c>
      <c r="F234" s="162">
        <f>'дод 2'!G56+'дод 2'!G268</f>
        <v>0</v>
      </c>
      <c r="G234" s="162">
        <f>'дод 2'!H56+'дод 2'!H268</f>
        <v>8500</v>
      </c>
      <c r="H234" s="162">
        <f>'дод 2'!I56+'дод 2'!I268</f>
        <v>0</v>
      </c>
      <c r="I234" s="162">
        <f>'дод 2'!J56+'дод 2'!J268</f>
        <v>0</v>
      </c>
      <c r="J234" s="162">
        <f>'дод 2'!K56+'дод 2'!K268</f>
        <v>0</v>
      </c>
      <c r="K234" s="162">
        <f>'дод 2'!L56+'дод 2'!L268</f>
        <v>0</v>
      </c>
      <c r="L234" s="162">
        <f>'дод 2'!M56+'дод 2'!M268</f>
        <v>0</v>
      </c>
      <c r="M234" s="162">
        <f>'дод 2'!N56+'дод 2'!N268</f>
        <v>0</v>
      </c>
      <c r="N234" s="162">
        <f>'дод 2'!O56+'дод 2'!O268</f>
        <v>0</v>
      </c>
      <c r="O234" s="162">
        <f>'дод 2'!P56+'дод 2'!P268</f>
        <v>282100</v>
      </c>
    </row>
    <row r="235" spans="1:15" ht="30" customHeight="1" x14ac:dyDescent="0.25">
      <c r="A235" s="37" t="s">
        <v>145</v>
      </c>
      <c r="B235" s="42" t="s">
        <v>88</v>
      </c>
      <c r="C235" s="3" t="s">
        <v>499</v>
      </c>
      <c r="D235" s="162">
        <f>'дод 2'!E57</f>
        <v>2599200</v>
      </c>
      <c r="E235" s="162">
        <f>'дод 2'!F57</f>
        <v>2599200</v>
      </c>
      <c r="F235" s="162">
        <f>'дод 2'!G57</f>
        <v>1998000</v>
      </c>
      <c r="G235" s="162">
        <f>'дод 2'!H57</f>
        <v>79800</v>
      </c>
      <c r="H235" s="162">
        <f>'дод 2'!I57</f>
        <v>0</v>
      </c>
      <c r="I235" s="162">
        <f>'дод 2'!J57</f>
        <v>5900</v>
      </c>
      <c r="J235" s="162">
        <f>'дод 2'!K57</f>
        <v>0</v>
      </c>
      <c r="K235" s="162">
        <f>'дод 2'!L57</f>
        <v>5900</v>
      </c>
      <c r="L235" s="162">
        <f>'дод 2'!M57</f>
        <v>0</v>
      </c>
      <c r="M235" s="162">
        <f>'дод 2'!N57</f>
        <v>1600</v>
      </c>
      <c r="N235" s="162">
        <f>'дод 2'!O57</f>
        <v>0</v>
      </c>
      <c r="O235" s="162">
        <f>'дод 2'!P57</f>
        <v>2605100</v>
      </c>
    </row>
    <row r="236" spans="1:15" s="51" customFormat="1" ht="52.5" customHeight="1" x14ac:dyDescent="0.25">
      <c r="A236" s="71"/>
      <c r="B236" s="80"/>
      <c r="C236" s="79" t="s">
        <v>377</v>
      </c>
      <c r="D236" s="163">
        <f>'дод 2'!E58</f>
        <v>493540</v>
      </c>
      <c r="E236" s="163">
        <f>'дод 2'!F58</f>
        <v>493540</v>
      </c>
      <c r="F236" s="163">
        <f>'дод 2'!G58</f>
        <v>404541</v>
      </c>
      <c r="G236" s="163">
        <f>'дод 2'!H58</f>
        <v>0</v>
      </c>
      <c r="H236" s="163">
        <f>'дод 2'!I58</f>
        <v>0</v>
      </c>
      <c r="I236" s="163">
        <f>'дод 2'!J58</f>
        <v>0</v>
      </c>
      <c r="J236" s="163">
        <f>'дод 2'!K58</f>
        <v>0</v>
      </c>
      <c r="K236" s="163">
        <f>'дод 2'!L58</f>
        <v>0</v>
      </c>
      <c r="L236" s="163">
        <f>'дод 2'!M58</f>
        <v>0</v>
      </c>
      <c r="M236" s="163">
        <f>'дод 2'!N58</f>
        <v>0</v>
      </c>
      <c r="N236" s="163">
        <f>'дод 2'!O58</f>
        <v>0</v>
      </c>
      <c r="O236" s="163">
        <f>'дод 2'!P58</f>
        <v>493540</v>
      </c>
    </row>
    <row r="237" spans="1:15" s="49" customFormat="1" ht="23.25" customHeight="1" x14ac:dyDescent="0.25">
      <c r="A237" s="38" t="s">
        <v>247</v>
      </c>
      <c r="B237" s="38"/>
      <c r="C237" s="12" t="s">
        <v>248</v>
      </c>
      <c r="D237" s="47">
        <f t="shared" ref="D237:O237" si="50">D238</f>
        <v>589100</v>
      </c>
      <c r="E237" s="47">
        <f t="shared" si="50"/>
        <v>589100</v>
      </c>
      <c r="F237" s="47">
        <f t="shared" si="50"/>
        <v>0</v>
      </c>
      <c r="G237" s="47">
        <f t="shared" si="50"/>
        <v>426900</v>
      </c>
      <c r="H237" s="47">
        <f t="shared" si="50"/>
        <v>0</v>
      </c>
      <c r="I237" s="47">
        <f t="shared" si="50"/>
        <v>0</v>
      </c>
      <c r="J237" s="47">
        <f t="shared" si="50"/>
        <v>0</v>
      </c>
      <c r="K237" s="47">
        <f t="shared" si="50"/>
        <v>0</v>
      </c>
      <c r="L237" s="47">
        <f t="shared" si="50"/>
        <v>0</v>
      </c>
      <c r="M237" s="47">
        <f t="shared" si="50"/>
        <v>0</v>
      </c>
      <c r="N237" s="47">
        <f t="shared" si="50"/>
        <v>0</v>
      </c>
      <c r="O237" s="47">
        <f t="shared" si="50"/>
        <v>589100</v>
      </c>
    </row>
    <row r="238" spans="1:15" ht="22.5" customHeight="1" x14ac:dyDescent="0.25">
      <c r="A238" s="37" t="s">
        <v>241</v>
      </c>
      <c r="B238" s="42" t="s">
        <v>242</v>
      </c>
      <c r="C238" s="3" t="s">
        <v>243</v>
      </c>
      <c r="D238" s="162">
        <f>'дод 2'!E59+'дод 2'!E269</f>
        <v>589100</v>
      </c>
      <c r="E238" s="162">
        <f>'дод 2'!F59+'дод 2'!F269</f>
        <v>589100</v>
      </c>
      <c r="F238" s="162">
        <f>'дод 2'!G59+'дод 2'!G269</f>
        <v>0</v>
      </c>
      <c r="G238" s="162">
        <f>'дод 2'!H59+'дод 2'!H269</f>
        <v>426900</v>
      </c>
      <c r="H238" s="162">
        <f>'дод 2'!I59+'дод 2'!I269</f>
        <v>0</v>
      </c>
      <c r="I238" s="162">
        <f>'дод 2'!J59+'дод 2'!J269</f>
        <v>0</v>
      </c>
      <c r="J238" s="162">
        <f>'дод 2'!K59+'дод 2'!K269</f>
        <v>0</v>
      </c>
      <c r="K238" s="162">
        <f>'дод 2'!L59+'дод 2'!L269</f>
        <v>0</v>
      </c>
      <c r="L238" s="162">
        <f>'дод 2'!M59+'дод 2'!M269</f>
        <v>0</v>
      </c>
      <c r="M238" s="162">
        <f>'дод 2'!N59+'дод 2'!N269</f>
        <v>0</v>
      </c>
      <c r="N238" s="162">
        <f>'дод 2'!O59+'дод 2'!O269</f>
        <v>0</v>
      </c>
      <c r="O238" s="162">
        <f>'дод 2'!P59+'дод 2'!P269</f>
        <v>589100</v>
      </c>
    </row>
    <row r="239" spans="1:15" s="49" customFormat="1" ht="22.5" customHeight="1" x14ac:dyDescent="0.25">
      <c r="A239" s="38" t="s">
        <v>6</v>
      </c>
      <c r="B239" s="39"/>
      <c r="C239" s="2" t="s">
        <v>8</v>
      </c>
      <c r="D239" s="47">
        <f t="shared" ref="D239:O239" si="51">D241+D240</f>
        <v>80000</v>
      </c>
      <c r="E239" s="47">
        <f t="shared" si="51"/>
        <v>80000</v>
      </c>
      <c r="F239" s="47">
        <f t="shared" si="51"/>
        <v>0</v>
      </c>
      <c r="G239" s="47">
        <f t="shared" si="51"/>
        <v>0</v>
      </c>
      <c r="H239" s="47">
        <f t="shared" si="51"/>
        <v>0</v>
      </c>
      <c r="I239" s="47">
        <f t="shared" si="51"/>
        <v>4489300</v>
      </c>
      <c r="J239" s="47">
        <f t="shared" si="51"/>
        <v>0</v>
      </c>
      <c r="K239" s="47">
        <f t="shared" si="51"/>
        <v>4109300</v>
      </c>
      <c r="L239" s="47">
        <f t="shared" si="51"/>
        <v>0</v>
      </c>
      <c r="M239" s="47">
        <f t="shared" si="51"/>
        <v>0</v>
      </c>
      <c r="N239" s="47">
        <f t="shared" si="51"/>
        <v>380000</v>
      </c>
      <c r="O239" s="47">
        <f t="shared" si="51"/>
        <v>4569300</v>
      </c>
    </row>
    <row r="240" spans="1:15" s="49" customFormat="1" ht="33.75" customHeight="1" x14ac:dyDescent="0.25">
      <c r="A240" s="37">
        <v>8330</v>
      </c>
      <c r="B240" s="55" t="s">
        <v>91</v>
      </c>
      <c r="C240" s="3" t="s">
        <v>343</v>
      </c>
      <c r="D240" s="162">
        <f>'дод 2'!E327</f>
        <v>80000</v>
      </c>
      <c r="E240" s="162">
        <f>'дод 2'!F327</f>
        <v>80000</v>
      </c>
      <c r="F240" s="162">
        <f>'дод 2'!G327</f>
        <v>0</v>
      </c>
      <c r="G240" s="162">
        <f>'дод 2'!H327</f>
        <v>0</v>
      </c>
      <c r="H240" s="162">
        <f>'дод 2'!I327</f>
        <v>0</v>
      </c>
      <c r="I240" s="162">
        <f>'дод 2'!J327</f>
        <v>0</v>
      </c>
      <c r="J240" s="162">
        <f>'дод 2'!K327</f>
        <v>0</v>
      </c>
      <c r="K240" s="162">
        <f>'дод 2'!L327</f>
        <v>0</v>
      </c>
      <c r="L240" s="162">
        <f>'дод 2'!M327</f>
        <v>0</v>
      </c>
      <c r="M240" s="162">
        <f>'дод 2'!N327</f>
        <v>0</v>
      </c>
      <c r="N240" s="162">
        <f>'дод 2'!O327</f>
        <v>0</v>
      </c>
      <c r="O240" s="162">
        <f>'дод 2'!P327</f>
        <v>80000</v>
      </c>
    </row>
    <row r="241" spans="1:15" s="49" customFormat="1" ht="19.5" customHeight="1" x14ac:dyDescent="0.25">
      <c r="A241" s="37" t="s">
        <v>9</v>
      </c>
      <c r="B241" s="37" t="s">
        <v>91</v>
      </c>
      <c r="C241" s="3" t="s">
        <v>10</v>
      </c>
      <c r="D241" s="162">
        <f>'дод 2'!E60+'дод 2'!E126+'дод 2'!E270+'дод 2'!E328+'дод 2'!E227</f>
        <v>0</v>
      </c>
      <c r="E241" s="162">
        <f>'дод 2'!F60+'дод 2'!F126+'дод 2'!F270+'дод 2'!F328+'дод 2'!F227</f>
        <v>0</v>
      </c>
      <c r="F241" s="162">
        <f>'дод 2'!G60+'дод 2'!G126+'дод 2'!G270+'дод 2'!G328+'дод 2'!G227</f>
        <v>0</v>
      </c>
      <c r="G241" s="162">
        <f>'дод 2'!H60+'дод 2'!H126+'дод 2'!H270+'дод 2'!H328+'дод 2'!H227</f>
        <v>0</v>
      </c>
      <c r="H241" s="162">
        <f>'дод 2'!I60+'дод 2'!I126+'дод 2'!I270+'дод 2'!I328+'дод 2'!I227</f>
        <v>0</v>
      </c>
      <c r="I241" s="162">
        <f>'дод 2'!J60+'дод 2'!J126+'дод 2'!J270+'дод 2'!J328+'дод 2'!J227</f>
        <v>4489300</v>
      </c>
      <c r="J241" s="162">
        <f>'дод 2'!K60+'дод 2'!K126+'дод 2'!K270+'дод 2'!K328+'дод 2'!K227</f>
        <v>0</v>
      </c>
      <c r="K241" s="162">
        <f>'дод 2'!L60+'дод 2'!L126+'дод 2'!L270+'дод 2'!L328+'дод 2'!L227</f>
        <v>4109300</v>
      </c>
      <c r="L241" s="162">
        <f>'дод 2'!M60+'дод 2'!M126+'дод 2'!M270+'дод 2'!M328+'дод 2'!M227</f>
        <v>0</v>
      </c>
      <c r="M241" s="162">
        <f>'дод 2'!N60+'дод 2'!N126+'дод 2'!N270+'дод 2'!N328+'дод 2'!N227</f>
        <v>0</v>
      </c>
      <c r="N241" s="162">
        <f>'дод 2'!O60+'дод 2'!O126+'дод 2'!O270+'дод 2'!O328+'дод 2'!O227</f>
        <v>380000</v>
      </c>
      <c r="O241" s="162">
        <f>'дод 2'!P60+'дод 2'!P126+'дод 2'!P270+'дод 2'!P328+'дод 2'!P227</f>
        <v>4489300</v>
      </c>
    </row>
    <row r="242" spans="1:15" s="49" customFormat="1" ht="20.25" hidden="1" customHeight="1" x14ac:dyDescent="0.25">
      <c r="A242" s="38" t="s">
        <v>131</v>
      </c>
      <c r="B242" s="39"/>
      <c r="C242" s="2" t="s">
        <v>75</v>
      </c>
      <c r="D242" s="47">
        <f t="shared" ref="D242:O242" si="52">D243</f>
        <v>0</v>
      </c>
      <c r="E242" s="47">
        <f t="shared" si="52"/>
        <v>0</v>
      </c>
      <c r="F242" s="47">
        <f t="shared" si="52"/>
        <v>0</v>
      </c>
      <c r="G242" s="47">
        <f t="shared" si="52"/>
        <v>0</v>
      </c>
      <c r="H242" s="47">
        <f t="shared" si="52"/>
        <v>0</v>
      </c>
      <c r="I242" s="47">
        <f t="shared" si="52"/>
        <v>0</v>
      </c>
      <c r="J242" s="47">
        <f t="shared" si="52"/>
        <v>0</v>
      </c>
      <c r="K242" s="47">
        <f t="shared" si="52"/>
        <v>0</v>
      </c>
      <c r="L242" s="47">
        <f t="shared" si="52"/>
        <v>0</v>
      </c>
      <c r="M242" s="47">
        <f t="shared" si="52"/>
        <v>0</v>
      </c>
      <c r="N242" s="47">
        <f t="shared" si="52"/>
        <v>0</v>
      </c>
      <c r="O242" s="47">
        <f t="shared" si="52"/>
        <v>0</v>
      </c>
    </row>
    <row r="243" spans="1:15" s="49" customFormat="1" ht="21" hidden="1" customHeight="1" x14ac:dyDescent="0.25">
      <c r="A243" s="37" t="s">
        <v>252</v>
      </c>
      <c r="B243" s="42" t="s">
        <v>76</v>
      </c>
      <c r="C243" s="3" t="s">
        <v>253</v>
      </c>
      <c r="D243" s="162">
        <f>'дод 2'!E61</f>
        <v>0</v>
      </c>
      <c r="E243" s="162">
        <f>'дод 2'!F61</f>
        <v>0</v>
      </c>
      <c r="F243" s="162">
        <f>'дод 2'!G61</f>
        <v>0</v>
      </c>
      <c r="G243" s="162">
        <f>'дод 2'!H61</f>
        <v>0</v>
      </c>
      <c r="H243" s="162">
        <f>'дод 2'!I61</f>
        <v>0</v>
      </c>
      <c r="I243" s="162">
        <f>'дод 2'!J61</f>
        <v>0</v>
      </c>
      <c r="J243" s="162">
        <f>'дод 2'!K61</f>
        <v>0</v>
      </c>
      <c r="K243" s="162">
        <f>'дод 2'!L61</f>
        <v>0</v>
      </c>
      <c r="L243" s="162">
        <f>'дод 2'!M61</f>
        <v>0</v>
      </c>
      <c r="M243" s="162">
        <f>'дод 2'!N61</f>
        <v>0</v>
      </c>
      <c r="N243" s="162">
        <f>'дод 2'!O61</f>
        <v>0</v>
      </c>
      <c r="O243" s="162">
        <f>'дод 2'!P61</f>
        <v>0</v>
      </c>
    </row>
    <row r="244" spans="1:15" s="49" customFormat="1" ht="21" customHeight="1" x14ac:dyDescent="0.25">
      <c r="A244" s="38" t="s">
        <v>94</v>
      </c>
      <c r="B244" s="38" t="s">
        <v>89</v>
      </c>
      <c r="C244" s="2" t="s">
        <v>11</v>
      </c>
      <c r="D244" s="47">
        <f>'дод 2'!E329</f>
        <v>3807000</v>
      </c>
      <c r="E244" s="47">
        <f>'дод 2'!F329</f>
        <v>3807000</v>
      </c>
      <c r="F244" s="47">
        <f>'дод 2'!G329</f>
        <v>0</v>
      </c>
      <c r="G244" s="47">
        <f>'дод 2'!H329</f>
        <v>0</v>
      </c>
      <c r="H244" s="47">
        <f>'дод 2'!I329</f>
        <v>0</v>
      </c>
      <c r="I244" s="47">
        <f>'дод 2'!J329</f>
        <v>0</v>
      </c>
      <c r="J244" s="47">
        <f>'дод 2'!K329</f>
        <v>0</v>
      </c>
      <c r="K244" s="47">
        <f>'дод 2'!L329</f>
        <v>0</v>
      </c>
      <c r="L244" s="47">
        <f>'дод 2'!M329</f>
        <v>0</v>
      </c>
      <c r="M244" s="47">
        <f>'дод 2'!N329</f>
        <v>0</v>
      </c>
      <c r="N244" s="47">
        <f>'дод 2'!O329</f>
        <v>0</v>
      </c>
      <c r="O244" s="47">
        <f>'дод 2'!P329</f>
        <v>3807000</v>
      </c>
    </row>
    <row r="245" spans="1:15" s="49" customFormat="1" ht="25.5" customHeight="1" x14ac:dyDescent="0.25">
      <c r="A245" s="38">
        <v>8710</v>
      </c>
      <c r="B245" s="38" t="s">
        <v>92</v>
      </c>
      <c r="C245" s="2" t="s">
        <v>498</v>
      </c>
      <c r="D245" s="47">
        <f>'дод 2'!E330</f>
        <v>14939692</v>
      </c>
      <c r="E245" s="47">
        <f>'дод 2'!F330</f>
        <v>0</v>
      </c>
      <c r="F245" s="47">
        <f>'дод 2'!G330</f>
        <v>0</v>
      </c>
      <c r="G245" s="47">
        <f>'дод 2'!H330</f>
        <v>0</v>
      </c>
      <c r="H245" s="47">
        <f>'дод 2'!I330</f>
        <v>0</v>
      </c>
      <c r="I245" s="47">
        <f>'дод 2'!J330</f>
        <v>0</v>
      </c>
      <c r="J245" s="47">
        <f>'дод 2'!K330</f>
        <v>0</v>
      </c>
      <c r="K245" s="47">
        <f>'дод 2'!L330</f>
        <v>0</v>
      </c>
      <c r="L245" s="47">
        <f>'дод 2'!M330</f>
        <v>0</v>
      </c>
      <c r="M245" s="47">
        <f>'дод 2'!N330</f>
        <v>0</v>
      </c>
      <c r="N245" s="47">
        <f>'дод 2'!O330</f>
        <v>0</v>
      </c>
      <c r="O245" s="47">
        <f>'дод 2'!P330</f>
        <v>14939692</v>
      </c>
    </row>
    <row r="246" spans="1:15" s="49" customFormat="1" ht="24" customHeight="1" x14ac:dyDescent="0.25">
      <c r="A246" s="38" t="s">
        <v>12</v>
      </c>
      <c r="B246" s="38"/>
      <c r="C246" s="2" t="s">
        <v>594</v>
      </c>
      <c r="D246" s="47">
        <f>D248+D250+D254+D258</f>
        <v>183401140</v>
      </c>
      <c r="E246" s="47">
        <f t="shared" ref="E246:O246" si="53">E248+E250+E254+E258</f>
        <v>183401140</v>
      </c>
      <c r="F246" s="47">
        <f t="shared" si="53"/>
        <v>0</v>
      </c>
      <c r="G246" s="47">
        <f t="shared" si="53"/>
        <v>0</v>
      </c>
      <c r="H246" s="47">
        <f t="shared" si="53"/>
        <v>0</v>
      </c>
      <c r="I246" s="47">
        <f t="shared" si="53"/>
        <v>3903760</v>
      </c>
      <c r="J246" s="47">
        <f t="shared" si="53"/>
        <v>3903760</v>
      </c>
      <c r="K246" s="47">
        <f t="shared" si="53"/>
        <v>0</v>
      </c>
      <c r="L246" s="47">
        <f t="shared" si="53"/>
        <v>0</v>
      </c>
      <c r="M246" s="47">
        <f t="shared" si="53"/>
        <v>0</v>
      </c>
      <c r="N246" s="47">
        <f t="shared" si="53"/>
        <v>3903760</v>
      </c>
      <c r="O246" s="47">
        <f t="shared" si="53"/>
        <v>187304900</v>
      </c>
    </row>
    <row r="247" spans="1:15" s="49" customFormat="1" ht="36.75" hidden="1" customHeight="1" x14ac:dyDescent="0.25">
      <c r="A247" s="38"/>
      <c r="B247" s="38"/>
      <c r="C247" s="70" t="s">
        <v>518</v>
      </c>
      <c r="D247" s="164">
        <f>D251</f>
        <v>0</v>
      </c>
      <c r="E247" s="164">
        <f t="shared" ref="E247:O247" si="54">E251</f>
        <v>0</v>
      </c>
      <c r="F247" s="164">
        <f t="shared" si="54"/>
        <v>0</v>
      </c>
      <c r="G247" s="164">
        <f t="shared" si="54"/>
        <v>0</v>
      </c>
      <c r="H247" s="164">
        <f t="shared" si="54"/>
        <v>0</v>
      </c>
      <c r="I247" s="164">
        <f t="shared" si="54"/>
        <v>0</v>
      </c>
      <c r="J247" s="164">
        <f t="shared" si="54"/>
        <v>0</v>
      </c>
      <c r="K247" s="164">
        <f t="shared" si="54"/>
        <v>0</v>
      </c>
      <c r="L247" s="164">
        <f t="shared" si="54"/>
        <v>0</v>
      </c>
      <c r="M247" s="164">
        <f t="shared" si="54"/>
        <v>0</v>
      </c>
      <c r="N247" s="164">
        <f t="shared" si="54"/>
        <v>0</v>
      </c>
      <c r="O247" s="164">
        <f t="shared" si="54"/>
        <v>0</v>
      </c>
    </row>
    <row r="248" spans="1:15" s="49" customFormat="1" ht="21.75" customHeight="1" x14ac:dyDescent="0.25">
      <c r="A248" s="38" t="s">
        <v>250</v>
      </c>
      <c r="B248" s="38"/>
      <c r="C248" s="2" t="s">
        <v>293</v>
      </c>
      <c r="D248" s="47">
        <f t="shared" ref="D248:O248" si="55">D249</f>
        <v>171293100</v>
      </c>
      <c r="E248" s="47">
        <f t="shared" si="55"/>
        <v>171293100</v>
      </c>
      <c r="F248" s="47">
        <f t="shared" si="55"/>
        <v>0</v>
      </c>
      <c r="G248" s="47">
        <f t="shared" si="55"/>
        <v>0</v>
      </c>
      <c r="H248" s="47">
        <f t="shared" si="55"/>
        <v>0</v>
      </c>
      <c r="I248" s="47">
        <f t="shared" si="55"/>
        <v>0</v>
      </c>
      <c r="J248" s="47">
        <f t="shared" si="55"/>
        <v>0</v>
      </c>
      <c r="K248" s="47">
        <f t="shared" si="55"/>
        <v>0</v>
      </c>
      <c r="L248" s="47">
        <f t="shared" si="55"/>
        <v>0</v>
      </c>
      <c r="M248" s="47">
        <f t="shared" si="55"/>
        <v>0</v>
      </c>
      <c r="N248" s="47">
        <f t="shared" si="55"/>
        <v>0</v>
      </c>
      <c r="O248" s="47">
        <f t="shared" si="55"/>
        <v>171293100</v>
      </c>
    </row>
    <row r="249" spans="1:15" s="49" customFormat="1" ht="21" customHeight="1" x14ac:dyDescent="0.25">
      <c r="A249" s="37" t="s">
        <v>90</v>
      </c>
      <c r="B249" s="42" t="s">
        <v>44</v>
      </c>
      <c r="C249" s="3" t="s">
        <v>109</v>
      </c>
      <c r="D249" s="162">
        <f>'дод 2'!E331</f>
        <v>171293100</v>
      </c>
      <c r="E249" s="162">
        <f>'дод 2'!F331</f>
        <v>171293100</v>
      </c>
      <c r="F249" s="162">
        <f>'дод 2'!G331</f>
        <v>0</v>
      </c>
      <c r="G249" s="162">
        <f>'дод 2'!H331</f>
        <v>0</v>
      </c>
      <c r="H249" s="162">
        <f>'дод 2'!I331</f>
        <v>0</v>
      </c>
      <c r="I249" s="162">
        <f>'дод 2'!J331</f>
        <v>0</v>
      </c>
      <c r="J249" s="162">
        <f>'дод 2'!K331</f>
        <v>0</v>
      </c>
      <c r="K249" s="162">
        <f>'дод 2'!L331</f>
        <v>0</v>
      </c>
      <c r="L249" s="162">
        <f>'дод 2'!M331</f>
        <v>0</v>
      </c>
      <c r="M249" s="162">
        <f>'дод 2'!N331</f>
        <v>0</v>
      </c>
      <c r="N249" s="162">
        <f>'дод 2'!O331</f>
        <v>0</v>
      </c>
      <c r="O249" s="162">
        <f>'дод 2'!P331</f>
        <v>171293100</v>
      </c>
    </row>
    <row r="250" spans="1:15" s="49" customFormat="1" ht="63" hidden="1" customHeight="1" x14ac:dyDescent="0.25">
      <c r="A250" s="38">
        <v>9300</v>
      </c>
      <c r="B250" s="92"/>
      <c r="C250" s="2" t="s">
        <v>515</v>
      </c>
      <c r="D250" s="47">
        <f>D252</f>
        <v>0</v>
      </c>
      <c r="E250" s="47">
        <f t="shared" ref="E250:O250" si="56">E252</f>
        <v>0</v>
      </c>
      <c r="F250" s="47">
        <f t="shared" si="56"/>
        <v>0</v>
      </c>
      <c r="G250" s="47">
        <f t="shared" si="56"/>
        <v>0</v>
      </c>
      <c r="H250" s="47">
        <f t="shared" si="56"/>
        <v>0</v>
      </c>
      <c r="I250" s="47">
        <f t="shared" si="56"/>
        <v>0</v>
      </c>
      <c r="J250" s="47">
        <f t="shared" si="56"/>
        <v>0</v>
      </c>
      <c r="K250" s="47">
        <f t="shared" si="56"/>
        <v>0</v>
      </c>
      <c r="L250" s="47">
        <f t="shared" si="56"/>
        <v>0</v>
      </c>
      <c r="M250" s="47">
        <f t="shared" si="56"/>
        <v>0</v>
      </c>
      <c r="N250" s="47">
        <f t="shared" si="56"/>
        <v>0</v>
      </c>
      <c r="O250" s="47">
        <f t="shared" si="56"/>
        <v>0</v>
      </c>
    </row>
    <row r="251" spans="1:15" s="49" customFormat="1" ht="31.5" hidden="1" customHeight="1" x14ac:dyDescent="0.25">
      <c r="A251" s="38"/>
      <c r="B251" s="89"/>
      <c r="C251" s="70" t="s">
        <v>518</v>
      </c>
      <c r="D251" s="164">
        <f>D253</f>
        <v>0</v>
      </c>
      <c r="E251" s="164">
        <f t="shared" ref="E251:O251" si="57">E253</f>
        <v>0</v>
      </c>
      <c r="F251" s="164">
        <f t="shared" si="57"/>
        <v>0</v>
      </c>
      <c r="G251" s="164">
        <f t="shared" si="57"/>
        <v>0</v>
      </c>
      <c r="H251" s="164">
        <f t="shared" si="57"/>
        <v>0</v>
      </c>
      <c r="I251" s="164">
        <f t="shared" si="57"/>
        <v>0</v>
      </c>
      <c r="J251" s="164">
        <f t="shared" si="57"/>
        <v>0</v>
      </c>
      <c r="K251" s="164">
        <f t="shared" si="57"/>
        <v>0</v>
      </c>
      <c r="L251" s="164">
        <f t="shared" si="57"/>
        <v>0</v>
      </c>
      <c r="M251" s="164">
        <f t="shared" si="57"/>
        <v>0</v>
      </c>
      <c r="N251" s="164">
        <f t="shared" si="57"/>
        <v>0</v>
      </c>
      <c r="O251" s="164">
        <f t="shared" si="57"/>
        <v>0</v>
      </c>
    </row>
    <row r="252" spans="1:15" s="49" customFormat="1" ht="47.25" hidden="1" customHeight="1" x14ac:dyDescent="0.25">
      <c r="A252" s="37">
        <v>9320</v>
      </c>
      <c r="B252" s="89" t="s">
        <v>44</v>
      </c>
      <c r="C252" s="6" t="s">
        <v>516</v>
      </c>
      <c r="D252" s="162">
        <f>'дод 2'!E127</f>
        <v>0</v>
      </c>
      <c r="E252" s="162">
        <f>'дод 2'!F127</f>
        <v>0</v>
      </c>
      <c r="F252" s="162">
        <f>'дод 2'!G127</f>
        <v>0</v>
      </c>
      <c r="G252" s="162">
        <f>'дод 2'!H127</f>
        <v>0</v>
      </c>
      <c r="H252" s="162">
        <f>'дод 2'!I127</f>
        <v>0</v>
      </c>
      <c r="I252" s="162">
        <f>'дод 2'!J127</f>
        <v>0</v>
      </c>
      <c r="J252" s="162">
        <f>'дод 2'!K127</f>
        <v>0</v>
      </c>
      <c r="K252" s="162">
        <f>'дод 2'!L127</f>
        <v>0</v>
      </c>
      <c r="L252" s="162">
        <f>'дод 2'!M127</f>
        <v>0</v>
      </c>
      <c r="M252" s="162">
        <f>'дод 2'!N127</f>
        <v>0</v>
      </c>
      <c r="N252" s="162">
        <f>'дод 2'!O127</f>
        <v>0</v>
      </c>
      <c r="O252" s="162">
        <f>'дод 2'!P127</f>
        <v>0</v>
      </c>
    </row>
    <row r="253" spans="1:15" s="50" customFormat="1" ht="31.5" hidden="1" customHeight="1" x14ac:dyDescent="0.25">
      <c r="A253" s="71"/>
      <c r="B253" s="91"/>
      <c r="C253" s="79" t="s">
        <v>518</v>
      </c>
      <c r="D253" s="163">
        <f>'дод 2'!E128</f>
        <v>0</v>
      </c>
      <c r="E253" s="163">
        <f>'дод 2'!F128</f>
        <v>0</v>
      </c>
      <c r="F253" s="163">
        <f>'дод 2'!G128</f>
        <v>0</v>
      </c>
      <c r="G253" s="163">
        <f>'дод 2'!H128</f>
        <v>0</v>
      </c>
      <c r="H253" s="163">
        <f>'дод 2'!I128</f>
        <v>0</v>
      </c>
      <c r="I253" s="163">
        <f>'дод 2'!J128</f>
        <v>0</v>
      </c>
      <c r="J253" s="163">
        <f>'дод 2'!K128</f>
        <v>0</v>
      </c>
      <c r="K253" s="163">
        <f>'дод 2'!L128</f>
        <v>0</v>
      </c>
      <c r="L253" s="163">
        <f>'дод 2'!M128</f>
        <v>0</v>
      </c>
      <c r="M253" s="163">
        <f>'дод 2'!N128</f>
        <v>0</v>
      </c>
      <c r="N253" s="163">
        <f>'дод 2'!O128</f>
        <v>0</v>
      </c>
      <c r="O253" s="163">
        <f>'дод 2'!P128</f>
        <v>0</v>
      </c>
    </row>
    <row r="254" spans="1:15" s="49" customFormat="1" ht="57.75" customHeight="1" x14ac:dyDescent="0.25">
      <c r="A254" s="38" t="s">
        <v>13</v>
      </c>
      <c r="B254" s="92"/>
      <c r="C254" s="2" t="s">
        <v>342</v>
      </c>
      <c r="D254" s="47">
        <f>D255+D256+D257</f>
        <v>11396240</v>
      </c>
      <c r="E254" s="47">
        <f t="shared" ref="E254:O254" si="58">E255+E256+E257</f>
        <v>11396240</v>
      </c>
      <c r="F254" s="47">
        <f t="shared" si="58"/>
        <v>0</v>
      </c>
      <c r="G254" s="47">
        <f t="shared" si="58"/>
        <v>0</v>
      </c>
      <c r="H254" s="47">
        <f t="shared" si="58"/>
        <v>0</v>
      </c>
      <c r="I254" s="47">
        <f t="shared" si="58"/>
        <v>3903760</v>
      </c>
      <c r="J254" s="47">
        <f t="shared" si="58"/>
        <v>3903760</v>
      </c>
      <c r="K254" s="47">
        <f t="shared" si="58"/>
        <v>0</v>
      </c>
      <c r="L254" s="47">
        <f t="shared" si="58"/>
        <v>0</v>
      </c>
      <c r="M254" s="47">
        <f t="shared" si="58"/>
        <v>0</v>
      </c>
      <c r="N254" s="47">
        <f t="shared" si="58"/>
        <v>3903760</v>
      </c>
      <c r="O254" s="47">
        <f t="shared" si="58"/>
        <v>15300000</v>
      </c>
    </row>
    <row r="255" spans="1:15" s="49" customFormat="1" ht="79.5" hidden="1" customHeight="1" x14ac:dyDescent="0.25">
      <c r="A255" s="84">
        <v>9730</v>
      </c>
      <c r="B255" s="56" t="s">
        <v>44</v>
      </c>
      <c r="C255" s="57" t="s">
        <v>548</v>
      </c>
      <c r="D255" s="162">
        <f>'дод 2'!E271</f>
        <v>0</v>
      </c>
      <c r="E255" s="162">
        <f>'дод 2'!F271</f>
        <v>0</v>
      </c>
      <c r="F255" s="162">
        <f>'дод 2'!G271</f>
        <v>0</v>
      </c>
      <c r="G255" s="162">
        <f>'дод 2'!H271</f>
        <v>0</v>
      </c>
      <c r="H255" s="162">
        <f>'дод 2'!I271</f>
        <v>0</v>
      </c>
      <c r="I255" s="162">
        <f>'дод 2'!J271</f>
        <v>0</v>
      </c>
      <c r="J255" s="162">
        <f>'дод 2'!K271</f>
        <v>0</v>
      </c>
      <c r="K255" s="162">
        <f>'дод 2'!L271</f>
        <v>0</v>
      </c>
      <c r="L255" s="162">
        <f>'дод 2'!M271</f>
        <v>0</v>
      </c>
      <c r="M255" s="162">
        <f>'дод 2'!N271</f>
        <v>0</v>
      </c>
      <c r="N255" s="162">
        <f>'дод 2'!O271</f>
        <v>0</v>
      </c>
      <c r="O255" s="162">
        <f>'дод 2'!P271</f>
        <v>0</v>
      </c>
    </row>
    <row r="256" spans="1:15" ht="31.5" x14ac:dyDescent="0.25">
      <c r="A256" s="37">
        <v>9750</v>
      </c>
      <c r="B256" s="42" t="s">
        <v>44</v>
      </c>
      <c r="C256" s="57" t="s">
        <v>508</v>
      </c>
      <c r="D256" s="162">
        <f>'дод 2'!E272</f>
        <v>0</v>
      </c>
      <c r="E256" s="162">
        <f>'дод 2'!F272</f>
        <v>0</v>
      </c>
      <c r="F256" s="162">
        <f>'дод 2'!G272</f>
        <v>0</v>
      </c>
      <c r="G256" s="162">
        <f>'дод 2'!H272</f>
        <v>0</v>
      </c>
      <c r="H256" s="162">
        <f>'дод 2'!I272</f>
        <v>0</v>
      </c>
      <c r="I256" s="162">
        <f>'дод 2'!J272</f>
        <v>800000</v>
      </c>
      <c r="J256" s="162">
        <f>'дод 2'!K272</f>
        <v>800000</v>
      </c>
      <c r="K256" s="162">
        <f>'дод 2'!L272</f>
        <v>0</v>
      </c>
      <c r="L256" s="162">
        <f>'дод 2'!M272</f>
        <v>0</v>
      </c>
      <c r="M256" s="162">
        <f>'дод 2'!N272</f>
        <v>0</v>
      </c>
      <c r="N256" s="162">
        <f>'дод 2'!O272</f>
        <v>800000</v>
      </c>
      <c r="O256" s="162">
        <f>'дод 2'!P272</f>
        <v>800000</v>
      </c>
    </row>
    <row r="257" spans="1:512" s="49" customFormat="1" ht="24" customHeight="1" x14ac:dyDescent="0.25">
      <c r="A257" s="37" t="s">
        <v>14</v>
      </c>
      <c r="B257" s="42" t="s">
        <v>44</v>
      </c>
      <c r="C257" s="6" t="s">
        <v>351</v>
      </c>
      <c r="D257" s="162">
        <f>'дод 2'!E129+'дод 2'!E164+'дод 2'!E207+'дод 2'!E273+'дод 2'!E62</f>
        <v>11396240</v>
      </c>
      <c r="E257" s="162">
        <f>'дод 2'!F129+'дод 2'!F164+'дод 2'!F207+'дод 2'!F273+'дод 2'!F62</f>
        <v>11396240</v>
      </c>
      <c r="F257" s="162">
        <f>'дод 2'!G129+'дод 2'!G164+'дод 2'!G207+'дод 2'!G273+'дод 2'!G62</f>
        <v>0</v>
      </c>
      <c r="G257" s="162">
        <f>'дод 2'!H129+'дод 2'!H164+'дод 2'!H207+'дод 2'!H273+'дод 2'!H62</f>
        <v>0</v>
      </c>
      <c r="H257" s="162">
        <f>'дод 2'!I129+'дод 2'!I164+'дод 2'!I207+'дод 2'!I273+'дод 2'!I62</f>
        <v>0</v>
      </c>
      <c r="I257" s="162">
        <f>'дод 2'!J129+'дод 2'!J164+'дод 2'!J207+'дод 2'!J273+'дод 2'!J62</f>
        <v>3103760</v>
      </c>
      <c r="J257" s="162">
        <f>'дод 2'!K129+'дод 2'!K164+'дод 2'!K207+'дод 2'!K273+'дод 2'!K62</f>
        <v>3103760</v>
      </c>
      <c r="K257" s="162">
        <f>'дод 2'!L129+'дод 2'!L164+'дод 2'!L207+'дод 2'!L273+'дод 2'!L62</f>
        <v>0</v>
      </c>
      <c r="L257" s="162">
        <f>'дод 2'!M129+'дод 2'!M164+'дод 2'!M207+'дод 2'!M273+'дод 2'!M62</f>
        <v>0</v>
      </c>
      <c r="M257" s="162">
        <f>'дод 2'!N129+'дод 2'!N164+'дод 2'!N207+'дод 2'!N273+'дод 2'!N62</f>
        <v>0</v>
      </c>
      <c r="N257" s="162">
        <f>'дод 2'!O129+'дод 2'!O164+'дод 2'!O207+'дод 2'!O273+'дод 2'!O62</f>
        <v>3103760</v>
      </c>
      <c r="O257" s="162">
        <f>'дод 2'!P129+'дод 2'!P164+'дод 2'!P207+'дод 2'!P273+'дод 2'!P62</f>
        <v>14500000</v>
      </c>
    </row>
    <row r="258" spans="1:512" s="49" customFormat="1" ht="51" customHeight="1" x14ac:dyDescent="0.25">
      <c r="A258" s="38">
        <v>9800</v>
      </c>
      <c r="B258" s="39" t="s">
        <v>44</v>
      </c>
      <c r="C258" s="9" t="s">
        <v>362</v>
      </c>
      <c r="D258" s="47">
        <f>'дод 2'!E130+'дод 2'!E63</f>
        <v>711800</v>
      </c>
      <c r="E258" s="47">
        <f>'дод 2'!F130+'дод 2'!F63</f>
        <v>711800</v>
      </c>
      <c r="F258" s="47">
        <f>'дод 2'!G130+'дод 2'!G63</f>
        <v>0</v>
      </c>
      <c r="G258" s="47">
        <f>'дод 2'!H130+'дод 2'!H63</f>
        <v>0</v>
      </c>
      <c r="H258" s="47">
        <f>'дод 2'!I130+'дод 2'!I63</f>
        <v>0</v>
      </c>
      <c r="I258" s="47">
        <f>'дод 2'!J130+'дод 2'!J63</f>
        <v>0</v>
      </c>
      <c r="J258" s="47">
        <f>'дод 2'!K130+'дод 2'!K63</f>
        <v>0</v>
      </c>
      <c r="K258" s="47">
        <f>'дод 2'!L130+'дод 2'!L63</f>
        <v>0</v>
      </c>
      <c r="L258" s="47">
        <f>'дод 2'!M130+'дод 2'!M63</f>
        <v>0</v>
      </c>
      <c r="M258" s="47">
        <f>'дод 2'!N130+'дод 2'!N63</f>
        <v>0</v>
      </c>
      <c r="N258" s="47">
        <f>'дод 2'!O130+'дод 2'!O63</f>
        <v>0</v>
      </c>
      <c r="O258" s="47">
        <f>'дод 2'!P130+'дод 2'!P63</f>
        <v>711800</v>
      </c>
    </row>
    <row r="259" spans="1:512" s="49" customFormat="1" ht="21" customHeight="1" x14ac:dyDescent="0.25">
      <c r="A259" s="7"/>
      <c r="B259" s="7"/>
      <c r="C259" s="2" t="s">
        <v>402</v>
      </c>
      <c r="D259" s="47">
        <f t="shared" ref="D259:O259" si="59">D16+D23+D81+D102+D144+D149+D158+D171+D230+D246</f>
        <v>2845805079</v>
      </c>
      <c r="E259" s="47">
        <f t="shared" si="59"/>
        <v>2584871667</v>
      </c>
      <c r="F259" s="47">
        <f t="shared" si="59"/>
        <v>1271954705</v>
      </c>
      <c r="G259" s="47">
        <f t="shared" si="59"/>
        <v>220062900</v>
      </c>
      <c r="H259" s="47">
        <f t="shared" si="59"/>
        <v>245993720</v>
      </c>
      <c r="I259" s="47">
        <f t="shared" si="59"/>
        <v>902506338</v>
      </c>
      <c r="J259" s="47">
        <f t="shared" si="59"/>
        <v>789294757</v>
      </c>
      <c r="K259" s="47">
        <f t="shared" si="59"/>
        <v>106562676</v>
      </c>
      <c r="L259" s="47">
        <f t="shared" si="59"/>
        <v>9868845</v>
      </c>
      <c r="M259" s="47">
        <f t="shared" si="59"/>
        <v>5509383</v>
      </c>
      <c r="N259" s="47">
        <f t="shared" si="59"/>
        <v>795943662</v>
      </c>
      <c r="O259" s="47">
        <f t="shared" si="59"/>
        <v>3748311417</v>
      </c>
    </row>
    <row r="260" spans="1:512" s="50" customFormat="1" ht="34.5" customHeight="1" x14ac:dyDescent="0.25">
      <c r="A260" s="78"/>
      <c r="B260" s="78"/>
      <c r="C260" s="69" t="s">
        <v>395</v>
      </c>
      <c r="D260" s="164">
        <f t="shared" ref="D260:O260" si="60">D24+D31+D200+D247+D179+D32</f>
        <v>571788600</v>
      </c>
      <c r="E260" s="164">
        <f t="shared" si="60"/>
        <v>571788600</v>
      </c>
      <c r="F260" s="164">
        <f t="shared" si="60"/>
        <v>469390600</v>
      </c>
      <c r="G260" s="164">
        <f t="shared" si="60"/>
        <v>0</v>
      </c>
      <c r="H260" s="164">
        <f t="shared" si="60"/>
        <v>0</v>
      </c>
      <c r="I260" s="164">
        <f t="shared" si="60"/>
        <v>0</v>
      </c>
      <c r="J260" s="164">
        <f t="shared" si="60"/>
        <v>0</v>
      </c>
      <c r="K260" s="164">
        <f t="shared" si="60"/>
        <v>0</v>
      </c>
      <c r="L260" s="164">
        <f t="shared" si="60"/>
        <v>0</v>
      </c>
      <c r="M260" s="164">
        <f t="shared" si="60"/>
        <v>0</v>
      </c>
      <c r="N260" s="164">
        <f t="shared" si="60"/>
        <v>0</v>
      </c>
      <c r="O260" s="164">
        <f t="shared" si="60"/>
        <v>571788600</v>
      </c>
    </row>
    <row r="261" spans="1:512" s="50" customFormat="1" ht="37.5" customHeight="1" x14ac:dyDescent="0.25">
      <c r="A261" s="78"/>
      <c r="B261" s="78"/>
      <c r="C261" s="69" t="s">
        <v>396</v>
      </c>
      <c r="D261" s="164">
        <f>D25+D26+D28+D105+D106+D107+D236+D30+D34+D84+D85+D150+D33+D174+D168+D173</f>
        <v>6252730</v>
      </c>
      <c r="E261" s="164">
        <f t="shared" ref="E261:O261" si="61">E25+E26+E28+E105+E106+E107+E236+E30+E34+E84+E85+E150+E33+E174+E168+E173</f>
        <v>6252730</v>
      </c>
      <c r="F261" s="164">
        <f t="shared" si="61"/>
        <v>2004561</v>
      </c>
      <c r="G261" s="164">
        <f t="shared" si="61"/>
        <v>0</v>
      </c>
      <c r="H261" s="164">
        <f t="shared" si="61"/>
        <v>0</v>
      </c>
      <c r="I261" s="164">
        <f t="shared" si="61"/>
        <v>0</v>
      </c>
      <c r="J261" s="164">
        <f t="shared" si="61"/>
        <v>0</v>
      </c>
      <c r="K261" s="164">
        <f t="shared" si="61"/>
        <v>0</v>
      </c>
      <c r="L261" s="164">
        <f t="shared" si="61"/>
        <v>0</v>
      </c>
      <c r="M261" s="164">
        <f t="shared" si="61"/>
        <v>0</v>
      </c>
      <c r="N261" s="164">
        <f t="shared" si="61"/>
        <v>0</v>
      </c>
      <c r="O261" s="164">
        <f t="shared" si="61"/>
        <v>6252730</v>
      </c>
    </row>
    <row r="262" spans="1:512" s="50" customFormat="1" ht="23.25" customHeight="1" x14ac:dyDescent="0.25">
      <c r="A262" s="65"/>
      <c r="B262" s="65"/>
      <c r="C262" s="75" t="s">
        <v>413</v>
      </c>
      <c r="D262" s="164">
        <f>D175</f>
        <v>0</v>
      </c>
      <c r="E262" s="164">
        <f t="shared" ref="E262:O262" si="62">E175</f>
        <v>0</v>
      </c>
      <c r="F262" s="164">
        <f t="shared" si="62"/>
        <v>0</v>
      </c>
      <c r="G262" s="164">
        <f t="shared" si="62"/>
        <v>0</v>
      </c>
      <c r="H262" s="164">
        <f t="shared" si="62"/>
        <v>0</v>
      </c>
      <c r="I262" s="164">
        <f t="shared" si="62"/>
        <v>180458652</v>
      </c>
      <c r="J262" s="164">
        <f t="shared" si="62"/>
        <v>180458652</v>
      </c>
      <c r="K262" s="164">
        <f t="shared" si="62"/>
        <v>0</v>
      </c>
      <c r="L262" s="164">
        <f t="shared" si="62"/>
        <v>0</v>
      </c>
      <c r="M262" s="164">
        <f t="shared" si="62"/>
        <v>0</v>
      </c>
      <c r="N262" s="164">
        <f t="shared" si="62"/>
        <v>180458652</v>
      </c>
      <c r="O262" s="164">
        <f t="shared" si="62"/>
        <v>180458652</v>
      </c>
    </row>
    <row r="263" spans="1:512" s="49" customFormat="1" ht="27.75" customHeight="1" x14ac:dyDescent="0.25">
      <c r="A263" s="59"/>
      <c r="B263" s="59"/>
      <c r="C263" s="60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</row>
    <row r="264" spans="1:512" s="49" customFormat="1" ht="27.75" customHeight="1" x14ac:dyDescent="0.25">
      <c r="A264" s="59"/>
      <c r="B264" s="59"/>
      <c r="C264" s="60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</row>
    <row r="265" spans="1:512" s="49" customFormat="1" ht="26.25" customHeight="1" x14ac:dyDescent="0.25">
      <c r="A265" s="59"/>
      <c r="B265" s="59"/>
      <c r="C265" s="60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</row>
    <row r="266" spans="1:512" s="49" customFormat="1" ht="30.75" customHeight="1" x14ac:dyDescent="0.55000000000000004">
      <c r="A266" s="59"/>
      <c r="B266" s="59"/>
      <c r="C266" s="60"/>
      <c r="D266" s="165"/>
      <c r="E266" s="165"/>
      <c r="F266" s="165"/>
      <c r="G266" s="165"/>
      <c r="H266" s="165"/>
      <c r="I266" s="165"/>
      <c r="J266" s="114"/>
      <c r="K266" s="165"/>
      <c r="L266" s="165"/>
      <c r="M266" s="165"/>
      <c r="N266" s="165"/>
      <c r="O266" s="165"/>
    </row>
    <row r="267" spans="1:512" s="121" customFormat="1" ht="47.25" customHeight="1" x14ac:dyDescent="0.55000000000000004">
      <c r="A267" s="118" t="s">
        <v>569</v>
      </c>
      <c r="B267" s="119"/>
      <c r="C267" s="120"/>
      <c r="D267" s="114"/>
      <c r="E267" s="114"/>
      <c r="F267" s="114"/>
      <c r="G267" s="114"/>
      <c r="H267" s="114"/>
      <c r="I267" s="114"/>
      <c r="J267" s="132"/>
      <c r="K267" s="114"/>
      <c r="L267" s="114" t="s">
        <v>571</v>
      </c>
      <c r="M267" s="153"/>
      <c r="N267" s="153"/>
      <c r="O267" s="153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  <c r="BK267" s="122"/>
      <c r="BL267" s="122"/>
      <c r="BM267" s="122"/>
      <c r="BN267" s="122"/>
      <c r="BO267" s="122"/>
      <c r="BP267" s="122"/>
      <c r="BQ267" s="122"/>
      <c r="BR267" s="122"/>
      <c r="BS267" s="122"/>
      <c r="BT267" s="122"/>
      <c r="BU267" s="122"/>
      <c r="BV267" s="122"/>
      <c r="BW267" s="122"/>
      <c r="BX267" s="122"/>
      <c r="BY267" s="122"/>
      <c r="BZ267" s="122"/>
      <c r="CA267" s="122"/>
      <c r="CB267" s="122"/>
      <c r="CC267" s="122"/>
      <c r="CD267" s="122"/>
      <c r="CE267" s="122"/>
      <c r="CF267" s="122"/>
      <c r="CG267" s="122"/>
      <c r="CH267" s="122"/>
      <c r="CI267" s="122"/>
      <c r="CJ267" s="122"/>
      <c r="CK267" s="122"/>
      <c r="CL267" s="122"/>
      <c r="CM267" s="122"/>
      <c r="CN267" s="122"/>
      <c r="CO267" s="122"/>
      <c r="CP267" s="122"/>
      <c r="CQ267" s="122"/>
      <c r="CR267" s="122"/>
      <c r="CS267" s="122"/>
      <c r="CT267" s="122"/>
      <c r="CU267" s="122"/>
      <c r="CV267" s="122"/>
      <c r="CW267" s="122"/>
      <c r="CX267" s="122"/>
      <c r="CY267" s="122"/>
      <c r="CZ267" s="122"/>
      <c r="DA267" s="122"/>
      <c r="DB267" s="122"/>
      <c r="DC267" s="122"/>
      <c r="DD267" s="122"/>
      <c r="DE267" s="122"/>
      <c r="DF267" s="122"/>
      <c r="DG267" s="122"/>
      <c r="DH267" s="122"/>
      <c r="DI267" s="122"/>
      <c r="DJ267" s="122"/>
      <c r="DK267" s="122"/>
      <c r="DL267" s="122"/>
      <c r="DM267" s="122"/>
      <c r="DN267" s="122"/>
      <c r="DO267" s="122"/>
      <c r="DP267" s="122"/>
      <c r="DQ267" s="122"/>
      <c r="DR267" s="122"/>
      <c r="DS267" s="122"/>
      <c r="DT267" s="122"/>
      <c r="DU267" s="122"/>
      <c r="DV267" s="122"/>
      <c r="DW267" s="122"/>
      <c r="DX267" s="122"/>
      <c r="DY267" s="122"/>
      <c r="DZ267" s="122"/>
      <c r="EA267" s="122"/>
      <c r="EB267" s="122"/>
      <c r="EC267" s="122"/>
      <c r="ED267" s="122"/>
      <c r="EE267" s="122"/>
      <c r="EF267" s="122"/>
      <c r="EG267" s="122"/>
      <c r="EH267" s="122"/>
      <c r="EI267" s="122"/>
      <c r="EJ267" s="122"/>
      <c r="EK267" s="122"/>
      <c r="EL267" s="122"/>
      <c r="EM267" s="122"/>
      <c r="EN267" s="122"/>
      <c r="EO267" s="122"/>
      <c r="EP267" s="122"/>
      <c r="EQ267" s="122"/>
      <c r="ER267" s="122"/>
      <c r="ES267" s="122"/>
      <c r="ET267" s="122"/>
      <c r="EU267" s="122"/>
      <c r="EV267" s="122"/>
      <c r="EW267" s="122"/>
      <c r="EX267" s="122"/>
      <c r="EY267" s="122"/>
      <c r="EZ267" s="122"/>
      <c r="FA267" s="122"/>
      <c r="FB267" s="122"/>
      <c r="FC267" s="122"/>
      <c r="FD267" s="122"/>
      <c r="FE267" s="122"/>
      <c r="FF267" s="122"/>
      <c r="FG267" s="122"/>
      <c r="FH267" s="122"/>
      <c r="FI267" s="122"/>
      <c r="FJ267" s="122"/>
      <c r="FK267" s="122"/>
      <c r="FL267" s="122"/>
      <c r="FM267" s="122"/>
      <c r="FN267" s="122"/>
      <c r="FO267" s="122"/>
      <c r="FP267" s="122"/>
      <c r="FQ267" s="122"/>
      <c r="FR267" s="122"/>
      <c r="FS267" s="122"/>
      <c r="FT267" s="122"/>
      <c r="FU267" s="122"/>
      <c r="FV267" s="122"/>
      <c r="FW267" s="122"/>
      <c r="FX267" s="122"/>
      <c r="FY267" s="122"/>
      <c r="FZ267" s="122"/>
      <c r="GA267" s="122"/>
      <c r="GB267" s="122"/>
      <c r="GC267" s="122"/>
      <c r="GD267" s="122"/>
      <c r="GE267" s="122"/>
      <c r="GF267" s="122"/>
      <c r="GG267" s="122"/>
      <c r="GH267" s="122"/>
      <c r="GI267" s="122"/>
      <c r="GJ267" s="122"/>
      <c r="GK267" s="122"/>
      <c r="GL267" s="122"/>
      <c r="GM267" s="122"/>
      <c r="GN267" s="122"/>
      <c r="GO267" s="122"/>
      <c r="GP267" s="122"/>
      <c r="GQ267" s="122"/>
      <c r="GR267" s="122"/>
      <c r="GS267" s="122"/>
      <c r="GT267" s="122"/>
      <c r="GU267" s="122"/>
      <c r="GV267" s="122"/>
      <c r="GW267" s="122"/>
      <c r="GX267" s="122"/>
      <c r="GY267" s="122"/>
      <c r="GZ267" s="122"/>
      <c r="HA267" s="122"/>
      <c r="HB267" s="122"/>
      <c r="HC267" s="122"/>
      <c r="HD267" s="122"/>
      <c r="HE267" s="122"/>
      <c r="HF267" s="122"/>
      <c r="HG267" s="122"/>
      <c r="HH267" s="122"/>
      <c r="HI267" s="122"/>
      <c r="HJ267" s="122"/>
      <c r="HK267" s="122"/>
      <c r="HL267" s="122"/>
      <c r="HM267" s="122"/>
      <c r="HN267" s="122"/>
      <c r="HO267" s="122"/>
      <c r="HP267" s="122"/>
      <c r="HQ267" s="122"/>
      <c r="HR267" s="122"/>
      <c r="HS267" s="122"/>
      <c r="HT267" s="122"/>
      <c r="HU267" s="122"/>
      <c r="HV267" s="122"/>
      <c r="HW267" s="122"/>
      <c r="HX267" s="122"/>
      <c r="HY267" s="122"/>
      <c r="HZ267" s="122"/>
      <c r="IA267" s="122"/>
      <c r="IB267" s="122"/>
      <c r="IC267" s="122"/>
      <c r="ID267" s="122"/>
      <c r="IE267" s="122"/>
      <c r="IF267" s="122"/>
      <c r="IG267" s="122"/>
      <c r="IH267" s="122"/>
      <c r="II267" s="122"/>
      <c r="IJ267" s="122"/>
      <c r="IK267" s="122"/>
      <c r="IL267" s="122"/>
      <c r="IM267" s="122"/>
      <c r="IN267" s="122"/>
      <c r="IO267" s="122"/>
      <c r="IP267" s="122"/>
      <c r="IQ267" s="122"/>
      <c r="IR267" s="122"/>
      <c r="IS267" s="122"/>
      <c r="IT267" s="122"/>
      <c r="IU267" s="122"/>
      <c r="IV267" s="122"/>
      <c r="IW267" s="122"/>
      <c r="IX267" s="122"/>
      <c r="IY267" s="122"/>
      <c r="IZ267" s="122"/>
      <c r="JA267" s="122"/>
      <c r="JB267" s="122"/>
      <c r="JC267" s="122"/>
      <c r="JD267" s="122"/>
      <c r="JE267" s="122"/>
      <c r="JF267" s="122"/>
      <c r="JG267" s="122"/>
      <c r="JH267" s="122"/>
      <c r="JI267" s="122"/>
      <c r="JJ267" s="122"/>
      <c r="JK267" s="122"/>
      <c r="JL267" s="122"/>
      <c r="JM267" s="122"/>
      <c r="JN267" s="122"/>
      <c r="JO267" s="122"/>
      <c r="JP267" s="122"/>
      <c r="JQ267" s="122"/>
      <c r="JR267" s="122"/>
      <c r="JS267" s="122"/>
      <c r="JT267" s="122"/>
      <c r="JU267" s="122"/>
      <c r="JV267" s="122"/>
      <c r="JW267" s="122"/>
      <c r="JX267" s="122"/>
      <c r="JY267" s="122"/>
      <c r="JZ267" s="122"/>
      <c r="KA267" s="122"/>
      <c r="KB267" s="122"/>
      <c r="KC267" s="122"/>
      <c r="KD267" s="122"/>
      <c r="KE267" s="122"/>
      <c r="KF267" s="122"/>
      <c r="KG267" s="122"/>
      <c r="KH267" s="122"/>
      <c r="KI267" s="122"/>
      <c r="KJ267" s="122"/>
      <c r="KK267" s="122"/>
      <c r="KL267" s="122"/>
      <c r="KM267" s="122"/>
      <c r="KN267" s="122"/>
      <c r="KO267" s="122"/>
      <c r="KP267" s="122"/>
      <c r="KQ267" s="122"/>
      <c r="KR267" s="122"/>
      <c r="KS267" s="122"/>
      <c r="KT267" s="122"/>
      <c r="KU267" s="122"/>
      <c r="KV267" s="122"/>
      <c r="KW267" s="122"/>
      <c r="KX267" s="122"/>
      <c r="KY267" s="122"/>
      <c r="KZ267" s="122"/>
      <c r="LA267" s="122"/>
      <c r="LB267" s="122"/>
      <c r="LC267" s="122"/>
      <c r="LD267" s="122"/>
      <c r="LE267" s="122"/>
      <c r="LF267" s="122"/>
      <c r="LG267" s="122"/>
      <c r="LH267" s="122"/>
      <c r="LI267" s="122"/>
      <c r="LJ267" s="122"/>
      <c r="LK267" s="122"/>
      <c r="LL267" s="122"/>
      <c r="LM267" s="122"/>
      <c r="LN267" s="122"/>
      <c r="LO267" s="122"/>
      <c r="LP267" s="122"/>
      <c r="LQ267" s="122"/>
      <c r="LR267" s="122"/>
      <c r="LS267" s="122"/>
      <c r="LT267" s="122"/>
      <c r="LU267" s="122"/>
      <c r="LV267" s="122"/>
      <c r="LW267" s="122"/>
      <c r="LX267" s="122"/>
      <c r="LY267" s="122"/>
      <c r="LZ267" s="122"/>
      <c r="MA267" s="122"/>
      <c r="MB267" s="122"/>
      <c r="MC267" s="122"/>
      <c r="MD267" s="122"/>
      <c r="ME267" s="122"/>
      <c r="MF267" s="122"/>
      <c r="MG267" s="122"/>
      <c r="MH267" s="122"/>
      <c r="MI267" s="122"/>
      <c r="MJ267" s="122"/>
      <c r="MK267" s="122"/>
      <c r="ML267" s="122"/>
      <c r="MM267" s="122"/>
      <c r="MN267" s="122"/>
      <c r="MO267" s="122"/>
      <c r="MP267" s="122"/>
      <c r="MQ267" s="122"/>
      <c r="MR267" s="122"/>
      <c r="MS267" s="122"/>
      <c r="MT267" s="122"/>
      <c r="MU267" s="122"/>
      <c r="MV267" s="122"/>
      <c r="MW267" s="122"/>
      <c r="MX267" s="122"/>
      <c r="MY267" s="122"/>
      <c r="MZ267" s="122"/>
      <c r="NA267" s="122"/>
      <c r="NB267" s="122"/>
      <c r="NC267" s="122"/>
      <c r="ND267" s="122"/>
      <c r="NE267" s="122"/>
      <c r="NF267" s="122"/>
      <c r="NG267" s="122"/>
      <c r="NH267" s="122"/>
      <c r="NI267" s="122"/>
      <c r="NJ267" s="122"/>
      <c r="NK267" s="122"/>
      <c r="NL267" s="122"/>
      <c r="NM267" s="122"/>
      <c r="NN267" s="122"/>
      <c r="NO267" s="122"/>
      <c r="NP267" s="122"/>
      <c r="NQ267" s="122"/>
      <c r="NR267" s="122"/>
      <c r="NS267" s="122"/>
      <c r="NT267" s="122"/>
      <c r="NU267" s="122"/>
      <c r="NV267" s="122"/>
      <c r="NW267" s="122"/>
      <c r="NX267" s="122"/>
      <c r="NY267" s="122"/>
      <c r="NZ267" s="122"/>
      <c r="OA267" s="122"/>
      <c r="OB267" s="122"/>
      <c r="OC267" s="122"/>
      <c r="OD267" s="122"/>
      <c r="OE267" s="122"/>
      <c r="OF267" s="122"/>
      <c r="OG267" s="122"/>
      <c r="OH267" s="122"/>
      <c r="OI267" s="122"/>
      <c r="OJ267" s="122"/>
      <c r="OK267" s="122"/>
      <c r="OL267" s="122"/>
      <c r="OM267" s="122"/>
      <c r="ON267" s="122"/>
      <c r="OO267" s="122"/>
      <c r="OP267" s="122"/>
      <c r="OQ267" s="122"/>
      <c r="OR267" s="122"/>
      <c r="OS267" s="122"/>
      <c r="OT267" s="122"/>
      <c r="OU267" s="122"/>
      <c r="OV267" s="122"/>
      <c r="OW267" s="122"/>
      <c r="OX267" s="122"/>
      <c r="OY267" s="122"/>
      <c r="OZ267" s="122"/>
      <c r="PA267" s="122"/>
      <c r="PB267" s="122"/>
      <c r="PC267" s="122"/>
      <c r="PD267" s="122"/>
      <c r="PE267" s="122"/>
      <c r="PF267" s="122"/>
      <c r="PG267" s="122"/>
      <c r="PH267" s="122"/>
      <c r="PI267" s="122"/>
      <c r="PJ267" s="122"/>
      <c r="PK267" s="122"/>
      <c r="PL267" s="122"/>
      <c r="PM267" s="122"/>
      <c r="PN267" s="122"/>
      <c r="PO267" s="122"/>
      <c r="PP267" s="122"/>
      <c r="PQ267" s="122"/>
      <c r="PR267" s="122"/>
      <c r="PS267" s="122"/>
      <c r="PT267" s="122"/>
      <c r="PU267" s="122"/>
      <c r="PV267" s="122"/>
      <c r="PW267" s="122"/>
      <c r="PX267" s="122"/>
      <c r="PY267" s="122"/>
      <c r="PZ267" s="122"/>
      <c r="QA267" s="122"/>
      <c r="QB267" s="122"/>
      <c r="QC267" s="122"/>
      <c r="QD267" s="122"/>
      <c r="QE267" s="122"/>
      <c r="QF267" s="122"/>
      <c r="QG267" s="122"/>
      <c r="QH267" s="122"/>
      <c r="QI267" s="122"/>
      <c r="QJ267" s="122"/>
      <c r="QK267" s="122"/>
      <c r="QL267" s="122"/>
      <c r="QM267" s="122"/>
      <c r="QN267" s="122"/>
      <c r="QO267" s="122"/>
      <c r="QP267" s="122"/>
      <c r="QQ267" s="122"/>
      <c r="QR267" s="122"/>
      <c r="QS267" s="122"/>
      <c r="QT267" s="122"/>
      <c r="QU267" s="122"/>
      <c r="QV267" s="122"/>
      <c r="QW267" s="122"/>
      <c r="QX267" s="122"/>
      <c r="QY267" s="122"/>
      <c r="QZ267" s="122"/>
      <c r="RA267" s="122"/>
      <c r="RB267" s="122"/>
      <c r="RC267" s="122"/>
      <c r="RD267" s="122"/>
      <c r="RE267" s="122"/>
      <c r="RF267" s="122"/>
      <c r="RG267" s="122"/>
      <c r="RH267" s="122"/>
      <c r="RI267" s="122"/>
      <c r="RJ267" s="122"/>
      <c r="RK267" s="122"/>
      <c r="RL267" s="122"/>
      <c r="RM267" s="122"/>
      <c r="RN267" s="122"/>
      <c r="RO267" s="122"/>
      <c r="RP267" s="122"/>
      <c r="RQ267" s="122"/>
      <c r="RR267" s="122"/>
      <c r="RS267" s="122"/>
      <c r="RT267" s="122"/>
      <c r="RU267" s="122"/>
      <c r="RV267" s="122"/>
      <c r="RW267" s="122"/>
      <c r="RX267" s="122"/>
      <c r="RY267" s="122"/>
      <c r="RZ267" s="122"/>
      <c r="SA267" s="122"/>
      <c r="SB267" s="122"/>
      <c r="SC267" s="122"/>
      <c r="SD267" s="122"/>
      <c r="SE267" s="122"/>
      <c r="SF267" s="122"/>
      <c r="SG267" s="122"/>
      <c r="SH267" s="122"/>
      <c r="SI267" s="122"/>
      <c r="SJ267" s="122"/>
      <c r="SK267" s="122"/>
      <c r="SL267" s="122"/>
      <c r="SM267" s="122"/>
      <c r="SN267" s="122"/>
      <c r="SO267" s="122"/>
      <c r="SP267" s="122"/>
      <c r="SQ267" s="122"/>
      <c r="SR267" s="122"/>
    </row>
    <row r="268" spans="1:512" s="28" customFormat="1" ht="22.5" customHeight="1" x14ac:dyDescent="0.45">
      <c r="A268" s="53"/>
      <c r="B268" s="58"/>
      <c r="C268" s="58"/>
      <c r="D268" s="166"/>
      <c r="E268" s="132"/>
      <c r="F268" s="132"/>
      <c r="G268" s="132"/>
      <c r="H268" s="132"/>
      <c r="I268" s="132"/>
      <c r="J268" s="155"/>
      <c r="K268" s="132"/>
      <c r="L268" s="132"/>
      <c r="M268" s="132"/>
      <c r="N268" s="132"/>
      <c r="O268" s="132"/>
    </row>
    <row r="269" spans="1:512" s="116" customFormat="1" ht="31.5" x14ac:dyDescent="0.45">
      <c r="A269" s="115" t="s">
        <v>619</v>
      </c>
      <c r="B269" s="115"/>
      <c r="C269" s="115"/>
      <c r="D269" s="167"/>
      <c r="E269" s="155"/>
      <c r="F269" s="155"/>
      <c r="G269" s="155"/>
      <c r="H269" s="155"/>
      <c r="I269" s="155"/>
      <c r="J269" s="156"/>
      <c r="K269" s="155"/>
      <c r="L269" s="155"/>
      <c r="M269" s="155"/>
      <c r="N269" s="155"/>
      <c r="O269" s="155"/>
    </row>
    <row r="270" spans="1:512" s="107" customFormat="1" ht="25.5" customHeight="1" x14ac:dyDescent="0.4">
      <c r="A270" s="175"/>
      <c r="B270" s="175"/>
      <c r="C270" s="108"/>
      <c r="D270" s="168"/>
      <c r="E270" s="156"/>
      <c r="F270" s="156"/>
      <c r="G270" s="156"/>
      <c r="H270" s="156"/>
      <c r="I270" s="156"/>
      <c r="J270" s="169"/>
      <c r="K270" s="156"/>
      <c r="L270" s="156"/>
      <c r="M270" s="156"/>
      <c r="N270" s="156"/>
      <c r="O270" s="156"/>
    </row>
    <row r="271" spans="1:512" s="112" customFormat="1" ht="18.75" customHeight="1" x14ac:dyDescent="0.4">
      <c r="A271" s="109"/>
      <c r="B271" s="110"/>
      <c r="C271" s="111"/>
      <c r="D271" s="169"/>
      <c r="E271" s="169"/>
      <c r="F271" s="169"/>
      <c r="G271" s="169"/>
      <c r="H271" s="169"/>
      <c r="I271" s="169"/>
      <c r="J271" s="159"/>
      <c r="K271" s="169"/>
      <c r="L271" s="169"/>
      <c r="M271" s="169"/>
      <c r="N271" s="169"/>
      <c r="O271" s="169"/>
    </row>
  </sheetData>
  <mergeCells count="19">
    <mergeCell ref="A270:B270"/>
    <mergeCell ref="O13:O15"/>
    <mergeCell ref="I13:N13"/>
    <mergeCell ref="A10:O10"/>
    <mergeCell ref="A11:O11"/>
    <mergeCell ref="A9:O9"/>
    <mergeCell ref="B13:B15"/>
    <mergeCell ref="C13:C15"/>
    <mergeCell ref="A13:A15"/>
    <mergeCell ref="D14:D15"/>
    <mergeCell ref="L14:M14"/>
    <mergeCell ref="F14:G14"/>
    <mergeCell ref="E14:E15"/>
    <mergeCell ref="D13:H13"/>
    <mergeCell ref="K14:K15"/>
    <mergeCell ref="H14:H15"/>
    <mergeCell ref="I14:I15"/>
    <mergeCell ref="N14:N15"/>
    <mergeCell ref="J14:J15"/>
  </mergeCells>
  <phoneticPr fontId="3" type="noConversion"/>
  <printOptions horizontalCentered="1"/>
  <pageMargins left="0" right="0" top="0.86614173228346458" bottom="0.59055118110236227" header="0" footer="0.31496062992125984"/>
  <pageSetup paperSize="9" scale="44" fitToHeight="100" orientation="landscape" verticalDpi="300" r:id="rId1"/>
  <headerFooter scaleWithDoc="0" alignWithMargins="0">
    <oddFooter>&amp;RСторінка &amp;P</oddFooter>
  </headerFooter>
  <rowBreaks count="2" manualBreakCount="2">
    <brk id="197" max="15" man="1"/>
    <brk id="22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2022-02-16T13:31:56Z</cp:lastPrinted>
  <dcterms:created xsi:type="dcterms:W3CDTF">2014-01-17T10:52:16Z</dcterms:created>
  <dcterms:modified xsi:type="dcterms:W3CDTF">2022-02-16T13:31:58Z</dcterms:modified>
</cp:coreProperties>
</file>