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D:\Рішення СМР від 23.02.22\2934\"/>
    </mc:Choice>
  </mc:AlternateContent>
  <xr:revisionPtr revIDLastSave="0" documentId="13_ncr:1_{A6FBC99F-F03A-49A7-B3D9-EA378CC70670}" xr6:coauthVersionLast="45" xr6:coauthVersionMax="45" xr10:uidLastSave="{00000000-0000-0000-0000-000000000000}"/>
  <bookViews>
    <workbookView xWindow="-108" yWindow="-108" windowWidth="23256" windowHeight="12576" firstSheet="1" activeTab="3" xr2:uid="{00000000-000D-0000-FFFF-FFFF00000000}"/>
  </bookViews>
  <sheets>
    <sheet name="Додаток 1" sheetId="10" state="hidden" r:id="rId1"/>
    <sheet name="Додаток 3" sheetId="25" r:id="rId2"/>
    <sheet name="Додаток 4" sheetId="14" r:id="rId3"/>
    <sheet name="Лист1" sheetId="30" r:id="rId4"/>
  </sheets>
  <definedNames>
    <definedName name="_xlnm._FilterDatabase" localSheetId="1" hidden="1">'Додаток 3'!$A$6:$L$527</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3'!$A$1:$L$529</definedName>
    <definedName name="_xlnm.Print_Area" localSheetId="2">'Додаток 4'!$A$1:$K$384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4" i="25" l="1"/>
  <c r="K244" i="25"/>
  <c r="J244" i="25"/>
  <c r="I482" i="25"/>
  <c r="J482" i="25"/>
  <c r="I427" i="25"/>
  <c r="J427" i="25"/>
  <c r="K433" i="25"/>
  <c r="K482" i="25" s="1"/>
  <c r="K429" i="25"/>
  <c r="K431" i="25"/>
  <c r="K418" i="25"/>
  <c r="K419" i="25"/>
  <c r="K420" i="25"/>
  <c r="K421" i="25"/>
  <c r="K422" i="25"/>
  <c r="K423" i="25"/>
  <c r="K424" i="25"/>
  <c r="K425" i="25"/>
  <c r="K426" i="25"/>
  <c r="J265" i="25"/>
  <c r="H433" i="25" l="1"/>
  <c r="H482" i="25" s="1"/>
  <c r="J278" i="25"/>
  <c r="J276" i="25"/>
  <c r="J275" i="25"/>
  <c r="J274" i="25"/>
  <c r="J273" i="25"/>
  <c r="J257" i="25"/>
  <c r="J256" i="25"/>
  <c r="J255" i="25"/>
  <c r="J254" i="25"/>
  <c r="J253" i="25"/>
  <c r="J184" i="25"/>
  <c r="J35" i="25"/>
  <c r="J39" i="25"/>
  <c r="I308" i="25"/>
  <c r="I361" i="25" s="1"/>
  <c r="I496" i="25" s="1"/>
  <c r="K308" i="25"/>
  <c r="K361" i="25" s="1"/>
  <c r="K496" i="25" s="1"/>
  <c r="J308" i="25"/>
  <c r="J361" i="25" s="1"/>
  <c r="J496" i="25" s="1"/>
  <c r="I290" i="25"/>
  <c r="K290" i="25"/>
  <c r="J290" i="25"/>
  <c r="H262" i="25"/>
  <c r="H308" i="25" s="1"/>
  <c r="H361" i="25" s="1"/>
  <c r="H496" i="25" s="1"/>
  <c r="J34" i="25" l="1"/>
  <c r="J72" i="25"/>
  <c r="I328" i="25" l="1"/>
  <c r="I450" i="25" s="1"/>
  <c r="K328" i="25"/>
  <c r="K450" i="25" s="1"/>
  <c r="J328" i="25"/>
  <c r="J450" i="25" s="1"/>
  <c r="I294" i="25"/>
  <c r="I336" i="25" s="1"/>
  <c r="I461" i="25" s="1"/>
  <c r="K294" i="25"/>
  <c r="K336" i="25" s="1"/>
  <c r="K461" i="25" s="1"/>
  <c r="J294" i="25"/>
  <c r="J336" i="25" s="1"/>
  <c r="J461" i="25" s="1"/>
  <c r="H261" i="25"/>
  <c r="H290" i="25" s="1"/>
  <c r="H328" i="25" s="1"/>
  <c r="H450" i="25" s="1"/>
  <c r="J31" i="25"/>
  <c r="J289" i="25"/>
  <c r="N450" i="25" l="1"/>
  <c r="H294" i="25"/>
  <c r="H336" i="25" s="1"/>
  <c r="H461" i="25" s="1"/>
  <c r="J224" i="25"/>
  <c r="J89" i="25" l="1"/>
  <c r="J78" i="25"/>
  <c r="J77" i="25"/>
  <c r="J199" i="25"/>
  <c r="J198" i="25"/>
  <c r="J133" i="25"/>
  <c r="J132" i="25" s="1"/>
  <c r="J200" i="25"/>
  <c r="J196" i="25"/>
  <c r="K282" i="25"/>
  <c r="J282" i="25"/>
  <c r="J202" i="25" l="1"/>
  <c r="J266" i="25"/>
  <c r="J263" i="25" s="1"/>
  <c r="J402" i="25"/>
  <c r="J491" i="25" s="1"/>
  <c r="J223" i="25"/>
  <c r="J135" i="25"/>
  <c r="J50" i="25"/>
  <c r="J125" i="25"/>
  <c r="J47" i="25"/>
  <c r="J48" i="25"/>
  <c r="J49" i="25"/>
  <c r="J46" i="25"/>
  <c r="J16" i="25"/>
  <c r="J15" i="25"/>
  <c r="I467" i="25"/>
  <c r="K467" i="25"/>
  <c r="J297" i="25"/>
  <c r="J341" i="25" s="1"/>
  <c r="J467" i="25" s="1"/>
  <c r="I459" i="25"/>
  <c r="J459" i="25"/>
  <c r="K459" i="25"/>
  <c r="J352" i="25"/>
  <c r="J480" i="25" s="1"/>
  <c r="K352" i="25"/>
  <c r="K480" i="25" s="1"/>
  <c r="I79" i="25"/>
  <c r="I491" i="25"/>
  <c r="K491" i="25"/>
  <c r="I317" i="25"/>
  <c r="I382" i="25" s="1"/>
  <c r="I525" i="25" s="1"/>
  <c r="J317" i="25"/>
  <c r="J382" i="25" s="1"/>
  <c r="J525" i="25" s="1"/>
  <c r="K317" i="25"/>
  <c r="K382" i="25" s="1"/>
  <c r="K525" i="25" s="1"/>
  <c r="K272" i="25"/>
  <c r="K271" i="25" s="1"/>
  <c r="I307" i="25"/>
  <c r="I360" i="25" s="1"/>
  <c r="I495" i="25" s="1"/>
  <c r="K307" i="25"/>
  <c r="K360" i="25" s="1"/>
  <c r="K495" i="25" s="1"/>
  <c r="J307" i="25"/>
  <c r="J360" i="25" s="1"/>
  <c r="J495" i="25" s="1"/>
  <c r="I302" i="25"/>
  <c r="I353" i="25" s="1"/>
  <c r="I487" i="25" s="1"/>
  <c r="K302" i="25"/>
  <c r="K353" i="25" s="1"/>
  <c r="K487" i="25" s="1"/>
  <c r="J302" i="25"/>
  <c r="J353" i="25" s="1"/>
  <c r="J487" i="25" s="1"/>
  <c r="I289" i="25"/>
  <c r="I327" i="25" s="1"/>
  <c r="I449" i="25" s="1"/>
  <c r="K289" i="25"/>
  <c r="K327" i="25" s="1"/>
  <c r="K449" i="25" s="1"/>
  <c r="J327" i="25"/>
  <c r="J449" i="25" s="1"/>
  <c r="H281" i="25"/>
  <c r="H307" i="25" s="1"/>
  <c r="H360" i="25" s="1"/>
  <c r="H495" i="25" s="1"/>
  <c r="H280" i="25"/>
  <c r="H302" i="25" s="1"/>
  <c r="H353" i="25" s="1"/>
  <c r="H487" i="25" s="1"/>
  <c r="K300" i="25"/>
  <c r="K301" i="25"/>
  <c r="K368" i="14"/>
  <c r="K376" i="14" s="1"/>
  <c r="J301" i="25" l="1"/>
  <c r="N449" i="25"/>
  <c r="K299" i="25"/>
  <c r="H289" i="25"/>
  <c r="H327" i="25" s="1"/>
  <c r="H449" i="25" s="1"/>
  <c r="I370" i="14"/>
  <c r="I371" i="14"/>
  <c r="I368" i="14"/>
  <c r="G136" i="14" l="1"/>
  <c r="J493" i="25"/>
  <c r="H493" i="25" s="1"/>
  <c r="I446" i="25"/>
  <c r="I404" i="25"/>
  <c r="I490" i="25"/>
  <c r="K490" i="25"/>
  <c r="H406" i="25" l="1"/>
  <c r="J405" i="25"/>
  <c r="J446" i="25" s="1"/>
  <c r="K405" i="25"/>
  <c r="H403" i="25"/>
  <c r="J313" i="25"/>
  <c r="J374" i="25" s="1"/>
  <c r="H297" i="25"/>
  <c r="J286" i="25"/>
  <c r="K263" i="25"/>
  <c r="H265" i="25"/>
  <c r="H269" i="25"/>
  <c r="J440" i="25" l="1"/>
  <c r="K446" i="25"/>
  <c r="N446" i="25" s="1"/>
  <c r="K404" i="25"/>
  <c r="J486" i="25"/>
  <c r="J404" i="25"/>
  <c r="H467" i="25"/>
  <c r="H341" i="25"/>
  <c r="H313" i="25"/>
  <c r="J513" i="25"/>
  <c r="H513" i="25" s="1"/>
  <c r="H374" i="25"/>
  <c r="H15" i="14" l="1"/>
  <c r="F142" i="14"/>
  <c r="J283" i="25"/>
  <c r="J284" i="25"/>
  <c r="J304" i="25"/>
  <c r="K251" i="25"/>
  <c r="H259" i="25"/>
  <c r="J118" i="25"/>
  <c r="K30" i="25"/>
  <c r="K288" i="25" l="1"/>
  <c r="K250" i="25"/>
  <c r="J161" i="25"/>
  <c r="J287" i="25"/>
  <c r="J325" i="25" s="1"/>
  <c r="J356" i="25"/>
  <c r="J490" i="25" s="1"/>
  <c r="J33" i="25"/>
  <c r="J32" i="25"/>
  <c r="J252" i="25"/>
  <c r="H277" i="25"/>
  <c r="J251" i="25" l="1"/>
  <c r="J250" i="25" s="1"/>
  <c r="N250" i="25"/>
  <c r="J30" i="25"/>
  <c r="H356" i="25"/>
  <c r="H490" i="25" s="1"/>
  <c r="I119" i="25" l="1"/>
  <c r="J119" i="25"/>
  <c r="J162" i="25" s="1"/>
  <c r="K119" i="25"/>
  <c r="K162" i="25" s="1"/>
  <c r="K358" i="25" s="1"/>
  <c r="K492" i="25" s="1"/>
  <c r="J99" i="25"/>
  <c r="K99" i="25"/>
  <c r="I99" i="25"/>
  <c r="H39" i="25"/>
  <c r="I61" i="25"/>
  <c r="I162" i="25"/>
  <c r="I358" i="25" s="1"/>
  <c r="I492" i="25" s="1"/>
  <c r="K79" i="25"/>
  <c r="H83" i="25"/>
  <c r="J81" i="25"/>
  <c r="I287" i="25"/>
  <c r="K287" i="25"/>
  <c r="J79" i="25" l="1"/>
  <c r="H119" i="25"/>
  <c r="H162" i="25" s="1"/>
  <c r="H358" i="25" s="1"/>
  <c r="J358" i="25"/>
  <c r="J12" i="25"/>
  <c r="I306" i="25"/>
  <c r="I359" i="25" s="1"/>
  <c r="I494" i="25" s="1"/>
  <c r="K306" i="25"/>
  <c r="K359" i="25" s="1"/>
  <c r="K494" i="25" s="1"/>
  <c r="J306" i="25"/>
  <c r="J359" i="25" s="1"/>
  <c r="J494" i="25" s="1"/>
  <c r="H260" i="25"/>
  <c r="H306" i="25" s="1"/>
  <c r="H359" i="25" s="1"/>
  <c r="H494" i="25" s="1"/>
  <c r="J117" i="25" l="1"/>
  <c r="J492" i="25"/>
  <c r="H492" i="25"/>
  <c r="J45" i="25"/>
  <c r="J174" i="25"/>
  <c r="H94" i="25"/>
  <c r="H93" i="25"/>
  <c r="H91" i="25"/>
  <c r="H92" i="25"/>
  <c r="J211" i="25"/>
  <c r="K211" i="25"/>
  <c r="I211" i="25"/>
  <c r="I174" i="25"/>
  <c r="K174" i="25"/>
  <c r="H177" i="25"/>
  <c r="H211" i="25" s="1"/>
  <c r="J121" i="25"/>
  <c r="J172" i="25" s="1"/>
  <c r="K121" i="25"/>
  <c r="K172" i="25" s="1"/>
  <c r="K378" i="25" s="1"/>
  <c r="K519" i="25" s="1"/>
  <c r="I121" i="25"/>
  <c r="I172" i="25" s="1"/>
  <c r="I378" i="25" s="1"/>
  <c r="I519" i="25" s="1"/>
  <c r="I120" i="25"/>
  <c r="H76" i="25"/>
  <c r="H121" i="25" s="1"/>
  <c r="H172" i="25" s="1"/>
  <c r="H378" i="25" s="1"/>
  <c r="H519" i="25" s="1"/>
  <c r="I315" i="25"/>
  <c r="I384" i="25" s="1"/>
  <c r="K315" i="25"/>
  <c r="K384" i="25" s="1"/>
  <c r="H284" i="25"/>
  <c r="H402" i="25"/>
  <c r="H491" i="25" s="1"/>
  <c r="J460" i="25"/>
  <c r="I410" i="25"/>
  <c r="I409" i="25" s="1"/>
  <c r="J410" i="25"/>
  <c r="J409" i="25" s="1"/>
  <c r="K410" i="25"/>
  <c r="K409" i="25" s="1"/>
  <c r="H409" i="25" l="1"/>
  <c r="J378" i="25"/>
  <c r="J519" i="25" s="1"/>
  <c r="G141" i="14"/>
  <c r="H411" i="25"/>
  <c r="H412" i="25"/>
  <c r="H413" i="25"/>
  <c r="H414" i="25"/>
  <c r="H415" i="25"/>
  <c r="K161" i="25"/>
  <c r="I161" i="25"/>
  <c r="H304" i="25"/>
  <c r="J305" i="25"/>
  <c r="J303" i="25" s="1"/>
  <c r="K305" i="25"/>
  <c r="K303" i="25" s="1"/>
  <c r="I305" i="25"/>
  <c r="I303" i="25" s="1"/>
  <c r="K286" i="25"/>
  <c r="H267" i="25"/>
  <c r="F141" i="14" l="1"/>
  <c r="B141" i="14" s="1"/>
  <c r="G143" i="14"/>
  <c r="F143" i="14" s="1"/>
  <c r="I355" i="25"/>
  <c r="I160" i="25"/>
  <c r="K355" i="25"/>
  <c r="K160" i="25"/>
  <c r="J355" i="25"/>
  <c r="J160" i="25"/>
  <c r="K357" i="25"/>
  <c r="I357" i="25"/>
  <c r="J357" i="25"/>
  <c r="H410" i="25"/>
  <c r="I489" i="25"/>
  <c r="I488" i="25" s="1"/>
  <c r="H305" i="25"/>
  <c r="H303" i="25" s="1"/>
  <c r="J193" i="25"/>
  <c r="I118" i="25"/>
  <c r="I117" i="25" s="1"/>
  <c r="K118" i="25"/>
  <c r="K117" i="25" s="1"/>
  <c r="J120" i="25"/>
  <c r="K120" i="25"/>
  <c r="J68" i="25"/>
  <c r="K68" i="25"/>
  <c r="I68" i="25"/>
  <c r="J51" i="25"/>
  <c r="K51" i="25"/>
  <c r="H57" i="25"/>
  <c r="K45" i="25"/>
  <c r="H50" i="25"/>
  <c r="I354" i="25" l="1"/>
  <c r="J354" i="25"/>
  <c r="K354" i="25"/>
  <c r="J191" i="25"/>
  <c r="J489" i="25"/>
  <c r="J488" i="25" s="1"/>
  <c r="K489" i="25"/>
  <c r="K488" i="25" s="1"/>
  <c r="H357" i="25"/>
  <c r="H35" i="25"/>
  <c r="H118" i="25" l="1"/>
  <c r="H117" i="25" s="1"/>
  <c r="H161" i="25"/>
  <c r="H397" i="25"/>
  <c r="H396" i="25"/>
  <c r="H395" i="25"/>
  <c r="K296" i="25"/>
  <c r="K295" i="25" s="1"/>
  <c r="H220" i="25"/>
  <c r="K130" i="25"/>
  <c r="J130" i="25"/>
  <c r="K114" i="25"/>
  <c r="J110" i="25"/>
  <c r="K107" i="25"/>
  <c r="J107" i="25"/>
  <c r="H128" i="25"/>
  <c r="H127" i="25"/>
  <c r="H126" i="25"/>
  <c r="H124" i="25"/>
  <c r="K122" i="25"/>
  <c r="K129" i="25" s="1"/>
  <c r="J122" i="25"/>
  <c r="J129" i="25" s="1"/>
  <c r="H84" i="25"/>
  <c r="H87" i="25"/>
  <c r="H86" i="25"/>
  <c r="H82" i="25"/>
  <c r="H81" i="25"/>
  <c r="H80" i="25"/>
  <c r="H77" i="25"/>
  <c r="H75" i="25"/>
  <c r="H120" i="25" s="1"/>
  <c r="H72" i="25"/>
  <c r="H71" i="25"/>
  <c r="H70" i="25"/>
  <c r="H69" i="25"/>
  <c r="J64" i="25"/>
  <c r="I64" i="25"/>
  <c r="H67" i="25"/>
  <c r="H66" i="25"/>
  <c r="H65" i="25"/>
  <c r="H62" i="25"/>
  <c r="H60" i="25"/>
  <c r="H58" i="25"/>
  <c r="I52" i="25"/>
  <c r="H52" i="25" s="1"/>
  <c r="H55" i="25"/>
  <c r="H54" i="25"/>
  <c r="H53" i="25"/>
  <c r="H49" i="25"/>
  <c r="H47" i="25"/>
  <c r="H46" i="25"/>
  <c r="K28" i="25"/>
  <c r="K27" i="25"/>
  <c r="I23" i="25"/>
  <c r="J27" i="25"/>
  <c r="H25" i="25"/>
  <c r="H24" i="25"/>
  <c r="J20" i="25"/>
  <c r="H22" i="25"/>
  <c r="H21" i="25"/>
  <c r="H19" i="25"/>
  <c r="H18" i="25"/>
  <c r="H15" i="25"/>
  <c r="H131" i="25"/>
  <c r="H79" i="25" l="1"/>
  <c r="H355" i="25"/>
  <c r="H354" i="25" s="1"/>
  <c r="H160" i="25"/>
  <c r="H23" i="25"/>
  <c r="H68" i="25"/>
  <c r="H17" i="25"/>
  <c r="H20" i="25"/>
  <c r="H64" i="25"/>
  <c r="J13" i="25"/>
  <c r="I116" i="25"/>
  <c r="I159" i="25" s="1"/>
  <c r="I352" i="25" s="1"/>
  <c r="I480" i="25" s="1"/>
  <c r="I98" i="25"/>
  <c r="I44" i="25"/>
  <c r="H37" i="25"/>
  <c r="H116" i="25" s="1"/>
  <c r="H159" i="25" s="1"/>
  <c r="H352" i="25" s="1"/>
  <c r="H480" i="25" s="1"/>
  <c r="I115" i="25" l="1"/>
  <c r="I158" i="25" s="1"/>
  <c r="H368" i="14"/>
  <c r="F368" i="14" s="1"/>
  <c r="J28" i="25"/>
  <c r="H489" i="25"/>
  <c r="H488" i="25" s="1"/>
  <c r="J315" i="25"/>
  <c r="J384" i="25" s="1"/>
  <c r="J296" i="25"/>
  <c r="J295" i="25" s="1"/>
  <c r="I142" i="25"/>
  <c r="H376" i="14" l="1"/>
  <c r="F376" i="14" s="1"/>
  <c r="J442" i="25"/>
  <c r="J102" i="25"/>
  <c r="E352" i="14"/>
  <c r="D76" i="14"/>
  <c r="C76" i="14"/>
  <c r="G285" i="14" l="1"/>
  <c r="E354" i="14" l="1"/>
  <c r="I32" i="25" l="1"/>
  <c r="H32" i="25" l="1"/>
  <c r="I232" i="25"/>
  <c r="I33" i="25"/>
  <c r="I48" i="25"/>
  <c r="I207" i="14"/>
  <c r="F207" i="14"/>
  <c r="D155" i="14"/>
  <c r="D154" i="14"/>
  <c r="F216" i="14"/>
  <c r="C354" i="14"/>
  <c r="C352" i="14"/>
  <c r="J307" i="14"/>
  <c r="G307" i="14"/>
  <c r="D307" i="14"/>
  <c r="J279" i="14"/>
  <c r="I279" i="14" s="1"/>
  <c r="I276" i="14"/>
  <c r="I268" i="14"/>
  <c r="F276" i="14"/>
  <c r="F268" i="14"/>
  <c r="D279" i="14"/>
  <c r="D275" i="14"/>
  <c r="G279" i="14"/>
  <c r="F279" i="14" s="1"/>
  <c r="G270" i="14"/>
  <c r="J270" i="14" s="1"/>
  <c r="D232" i="14"/>
  <c r="D231" i="14"/>
  <c r="D230" i="14"/>
  <c r="J230" i="14"/>
  <c r="J224" i="14"/>
  <c r="J232" i="14" s="1"/>
  <c r="J223" i="14"/>
  <c r="J231" i="14" s="1"/>
  <c r="G232" i="14"/>
  <c r="G231" i="14"/>
  <c r="G230" i="14"/>
  <c r="F180" i="14"/>
  <c r="F179" i="14"/>
  <c r="G182" i="14"/>
  <c r="F182" i="14" s="1"/>
  <c r="I171" i="14"/>
  <c r="F171" i="14"/>
  <c r="J165" i="14"/>
  <c r="G165" i="14"/>
  <c r="D165" i="14"/>
  <c r="G124" i="14"/>
  <c r="F124" i="14"/>
  <c r="D118" i="14"/>
  <c r="D100" i="14"/>
  <c r="G100" i="14"/>
  <c r="D91" i="14"/>
  <c r="D90" i="14"/>
  <c r="D89" i="14"/>
  <c r="D88" i="14"/>
  <c r="J76" i="14"/>
  <c r="G76" i="14"/>
  <c r="J62" i="14"/>
  <c r="G62" i="14"/>
  <c r="C35" i="14"/>
  <c r="J35" i="14"/>
  <c r="J34" i="14"/>
  <c r="G35" i="14"/>
  <c r="D35" i="14"/>
  <c r="F200" i="14"/>
  <c r="F201" i="14"/>
  <c r="F187" i="14"/>
  <c r="F188" i="14"/>
  <c r="F49" i="14"/>
  <c r="F50" i="14"/>
  <c r="I45" i="25" l="1"/>
  <c r="H48" i="25"/>
  <c r="H45" i="25" s="1"/>
  <c r="I110" i="25"/>
  <c r="I198" i="14"/>
  <c r="C198" i="14"/>
  <c r="G198" i="14"/>
  <c r="G185" i="14"/>
  <c r="I47" i="14"/>
  <c r="C47" i="14"/>
  <c r="F198" i="14" l="1"/>
  <c r="B198" i="14" s="1"/>
  <c r="G203" i="14"/>
  <c r="F203" i="14" s="1"/>
  <c r="F185" i="14"/>
  <c r="G190" i="14"/>
  <c r="F190" i="14" s="1"/>
  <c r="J85" i="25"/>
  <c r="J96" i="25" s="1"/>
  <c r="J145" i="25"/>
  <c r="J150" i="25"/>
  <c r="I85" i="25"/>
  <c r="K85" i="25"/>
  <c r="J23" i="25"/>
  <c r="G47" i="14" s="1"/>
  <c r="F47" i="14" s="1"/>
  <c r="B47" i="14" s="1"/>
  <c r="K23" i="25"/>
  <c r="H78" i="25" l="1"/>
  <c r="J114" i="25"/>
  <c r="G52" i="14"/>
  <c r="F52" i="14" s="1"/>
  <c r="J164" i="25"/>
  <c r="I224" i="14"/>
  <c r="I232" i="14" s="1"/>
  <c r="G38" i="14" l="1"/>
  <c r="B185" i="14" l="1"/>
  <c r="F176" i="14"/>
  <c r="B176" i="14" s="1"/>
  <c r="F38" i="14" l="1"/>
  <c r="C38" i="14"/>
  <c r="G79" i="14" l="1"/>
  <c r="J324" i="14"/>
  <c r="I324" i="14" s="1"/>
  <c r="G324" i="14"/>
  <c r="G328" i="14" s="1"/>
  <c r="F324" i="14" l="1"/>
  <c r="F328" i="14" s="1"/>
  <c r="I268" i="25"/>
  <c r="I266" i="25"/>
  <c r="I264" i="25"/>
  <c r="I286" i="25" l="1"/>
  <c r="I324" i="25" s="1"/>
  <c r="I263" i="25"/>
  <c r="I293" i="25"/>
  <c r="I440" i="25" l="1"/>
  <c r="J272" i="25"/>
  <c r="I188" i="25"/>
  <c r="I457" i="25"/>
  <c r="J310" i="25" l="1"/>
  <c r="J366" i="25" s="1"/>
  <c r="J502" i="25" s="1"/>
  <c r="J300" i="25"/>
  <c r="J299" i="25" s="1"/>
  <c r="J271" i="25"/>
  <c r="J285" i="25" s="1"/>
  <c r="K394" i="25"/>
  <c r="K393" i="25" s="1"/>
  <c r="J399" i="25"/>
  <c r="J393" i="25" s="1"/>
  <c r="J288" i="25" l="1"/>
  <c r="H367" i="14"/>
  <c r="F367" i="14" s="1"/>
  <c r="K223" i="25"/>
  <c r="K133" i="25"/>
  <c r="K392" i="25"/>
  <c r="J392" i="25"/>
  <c r="J187" i="25"/>
  <c r="I273" i="25"/>
  <c r="I274" i="25"/>
  <c r="I256" i="25"/>
  <c r="I255" i="25"/>
  <c r="I196" i="25"/>
  <c r="I199" i="25"/>
  <c r="I198" i="25"/>
  <c r="I125" i="25"/>
  <c r="H125" i="25" s="1"/>
  <c r="I123" i="25"/>
  <c r="I31" i="25"/>
  <c r="I74" i="25"/>
  <c r="M320" i="25" l="1"/>
  <c r="I30" i="25"/>
  <c r="I102" i="25"/>
  <c r="I145" i="25" s="1"/>
  <c r="J368" i="25"/>
  <c r="J505" i="25" s="1"/>
  <c r="H375" i="14"/>
  <c r="F375" i="14" s="1"/>
  <c r="J436" i="25"/>
  <c r="H365" i="14"/>
  <c r="F365" i="14" s="1"/>
  <c r="H366" i="14"/>
  <c r="H74" i="25"/>
  <c r="I107" i="25"/>
  <c r="H123" i="25"/>
  <c r="I122" i="25"/>
  <c r="I129" i="25" s="1"/>
  <c r="I130" i="25"/>
  <c r="I16" i="25"/>
  <c r="H16" i="25" s="1"/>
  <c r="H14" i="25" s="1"/>
  <c r="H374" i="14" l="1"/>
  <c r="F374" i="14" s="1"/>
  <c r="H338" i="14"/>
  <c r="F366" i="14"/>
  <c r="H130" i="25"/>
  <c r="H122" i="25"/>
  <c r="H129" i="25" s="1"/>
  <c r="J98" i="25"/>
  <c r="K98" i="25"/>
  <c r="K20" i="25"/>
  <c r="J38" i="14" s="1"/>
  <c r="I38" i="14" s="1"/>
  <c r="B38" i="14" s="1"/>
  <c r="I20" i="25"/>
  <c r="J17" i="25"/>
  <c r="G29" i="14" s="1"/>
  <c r="G193" i="14"/>
  <c r="G195" i="14" s="1"/>
  <c r="G60" i="14" l="1"/>
  <c r="F62" i="14" s="1"/>
  <c r="J40" i="25"/>
  <c r="J29" i="25" s="1"/>
  <c r="J14" i="25"/>
  <c r="G24" i="14" s="1"/>
  <c r="G26" i="14" s="1"/>
  <c r="J11" i="25"/>
  <c r="J207" i="25"/>
  <c r="J330" i="25" s="1"/>
  <c r="J387" i="25"/>
  <c r="J213" i="25"/>
  <c r="I213" i="25"/>
  <c r="K132" i="25"/>
  <c r="J182" i="25"/>
  <c r="H88" i="25"/>
  <c r="H89" i="25"/>
  <c r="H270" i="25"/>
  <c r="H317" i="25" s="1"/>
  <c r="H382" i="25" s="1"/>
  <c r="H525" i="25" s="1"/>
  <c r="J452" i="25" l="1"/>
  <c r="G19" i="14"/>
  <c r="J26" i="25"/>
  <c r="H85" i="25"/>
  <c r="J97" i="25"/>
  <c r="I257" i="25"/>
  <c r="I224" i="25"/>
  <c r="G21" i="14" l="1"/>
  <c r="G55" i="14"/>
  <c r="G57" i="14" s="1"/>
  <c r="H394" i="25"/>
  <c r="I253" i="25"/>
  <c r="H230" i="25"/>
  <c r="H244" i="25" s="1"/>
  <c r="I275" i="25" l="1"/>
  <c r="I272" i="25" s="1"/>
  <c r="I271" i="25" l="1"/>
  <c r="K432" i="25"/>
  <c r="I133" i="25"/>
  <c r="H133" i="25" s="1"/>
  <c r="I132" i="25" l="1"/>
  <c r="I137" i="25"/>
  <c r="I399" i="25"/>
  <c r="I183" i="25"/>
  <c r="I56" i="25"/>
  <c r="I298" i="25"/>
  <c r="H274" i="25"/>
  <c r="I231" i="25"/>
  <c r="I96" i="25" l="1"/>
  <c r="I210" i="25"/>
  <c r="H56" i="25"/>
  <c r="H51" i="25" s="1"/>
  <c r="I114" i="25"/>
  <c r="I113" i="25" s="1"/>
  <c r="I51" i="25"/>
  <c r="I229" i="25"/>
  <c r="I228" i="25"/>
  <c r="I227" i="25" l="1"/>
  <c r="I235" i="25" s="1"/>
  <c r="I193" i="25"/>
  <c r="I194" i="25"/>
  <c r="I202" i="25" s="1"/>
  <c r="I282" i="25" l="1"/>
  <c r="I300" i="25" l="1"/>
  <c r="I398" i="25"/>
  <c r="I393" i="25" s="1"/>
  <c r="I254" i="25"/>
  <c r="I252" i="25"/>
  <c r="E15" i="14"/>
  <c r="K15" i="14"/>
  <c r="D136" i="14"/>
  <c r="D138" i="14" s="1"/>
  <c r="I136" i="14"/>
  <c r="F136" i="14"/>
  <c r="I171" i="25"/>
  <c r="J171" i="25"/>
  <c r="J377" i="25" s="1"/>
  <c r="J518" i="25" s="1"/>
  <c r="K171" i="25"/>
  <c r="K377" i="25" s="1"/>
  <c r="K518" i="25" s="1"/>
  <c r="H171" i="25"/>
  <c r="H377" i="25" s="1"/>
  <c r="H518" i="25" s="1"/>
  <c r="I258" i="25"/>
  <c r="C91" i="14"/>
  <c r="C90" i="14"/>
  <c r="C89" i="14"/>
  <c r="C88" i="14"/>
  <c r="I251" i="25" l="1"/>
  <c r="I377" i="25"/>
  <c r="I296" i="25"/>
  <c r="I295" i="25" s="1"/>
  <c r="C136" i="14"/>
  <c r="C138" i="14" s="1"/>
  <c r="F100" i="14"/>
  <c r="C100" i="14"/>
  <c r="I443" i="25"/>
  <c r="J443" i="25"/>
  <c r="K443" i="25"/>
  <c r="J351" i="25"/>
  <c r="J524" i="25"/>
  <c r="K524" i="25"/>
  <c r="H408" i="25"/>
  <c r="H459" i="25" s="1"/>
  <c r="K407" i="25"/>
  <c r="J407" i="25"/>
  <c r="I407" i="25"/>
  <c r="K325" i="25"/>
  <c r="H282" i="25"/>
  <c r="I13" i="25"/>
  <c r="C155" i="14"/>
  <c r="C165" i="14"/>
  <c r="J310" i="14"/>
  <c r="J314" i="14" s="1"/>
  <c r="G310" i="14"/>
  <c r="G314" i="14" s="1"/>
  <c r="D310" i="14"/>
  <c r="C310" i="14" s="1"/>
  <c r="C232" i="14"/>
  <c r="C231" i="14"/>
  <c r="N443" i="25" l="1"/>
  <c r="I288" i="25"/>
  <c r="I250" i="25"/>
  <c r="H407" i="25"/>
  <c r="I28" i="25"/>
  <c r="H28" i="25" s="1"/>
  <c r="H13" i="25"/>
  <c r="I325" i="25"/>
  <c r="I524" i="25"/>
  <c r="I518" i="25"/>
  <c r="B136" i="14"/>
  <c r="H443" i="25"/>
  <c r="K442" i="25"/>
  <c r="C118" i="14"/>
  <c r="I243" i="25"/>
  <c r="J243" i="25"/>
  <c r="K243" i="25"/>
  <c r="H221" i="25"/>
  <c r="I236" i="25"/>
  <c r="J236" i="25"/>
  <c r="K236" i="25"/>
  <c r="I222" i="25"/>
  <c r="J222" i="25"/>
  <c r="K222" i="25"/>
  <c r="H224" i="25"/>
  <c r="I216" i="25"/>
  <c r="I191" i="25"/>
  <c r="I187" i="25"/>
  <c r="I182" i="25"/>
  <c r="I178" i="25"/>
  <c r="D122" i="14"/>
  <c r="D126" i="14" s="1"/>
  <c r="I442" i="25" l="1"/>
  <c r="N442" i="25" s="1"/>
  <c r="H36" i="25"/>
  <c r="K366" i="14" l="1"/>
  <c r="I366" i="14" s="1"/>
  <c r="K285" i="25"/>
  <c r="K374" i="14"/>
  <c r="I374" i="14" s="1"/>
  <c r="D193" i="14"/>
  <c r="D195" i="14" s="1"/>
  <c r="I310" i="14"/>
  <c r="I314" i="14" s="1"/>
  <c r="F310" i="14"/>
  <c r="F314" i="14" l="1"/>
  <c r="B310" i="14"/>
  <c r="E296" i="14" l="1"/>
  <c r="H296" i="14"/>
  <c r="K296" i="14"/>
  <c r="D324" i="14" l="1"/>
  <c r="D328" i="14" s="1"/>
  <c r="J317" i="14"/>
  <c r="J321" i="14" s="1"/>
  <c r="G317" i="14"/>
  <c r="G321" i="14" s="1"/>
  <c r="D317" i="14"/>
  <c r="D321" i="14" s="1"/>
  <c r="C307" i="14"/>
  <c r="J300" i="14"/>
  <c r="J305" i="14" s="1"/>
  <c r="G300" i="14"/>
  <c r="G305" i="14" s="1"/>
  <c r="D300" i="14"/>
  <c r="D305" i="14" s="1"/>
  <c r="E210" i="14"/>
  <c r="H210" i="14"/>
  <c r="K210" i="14"/>
  <c r="C279" i="14"/>
  <c r="J296" i="14" l="1"/>
  <c r="J266" i="14"/>
  <c r="J278" i="14" s="1"/>
  <c r="I278" i="14" s="1"/>
  <c r="G266" i="14"/>
  <c r="G278" i="14" s="1"/>
  <c r="F278" i="14" s="1"/>
  <c r="D266" i="14"/>
  <c r="C263" i="14"/>
  <c r="J250" i="14"/>
  <c r="I250" i="14" s="1"/>
  <c r="G250" i="14"/>
  <c r="F250" i="14" s="1"/>
  <c r="D250" i="14"/>
  <c r="D243" i="14"/>
  <c r="D247" i="14" s="1"/>
  <c r="J235" i="14"/>
  <c r="G235" i="14"/>
  <c r="D235" i="14"/>
  <c r="D239" i="14" s="1"/>
  <c r="C230" i="14"/>
  <c r="F232" i="14"/>
  <c r="F231" i="14"/>
  <c r="F230" i="14"/>
  <c r="I165" i="14"/>
  <c r="F165" i="14"/>
  <c r="D159" i="14"/>
  <c r="C154" i="14"/>
  <c r="C250" i="14" l="1"/>
  <c r="C254" i="14" s="1"/>
  <c r="D254" i="14"/>
  <c r="D278" i="14"/>
  <c r="D273" i="14"/>
  <c r="C159" i="14"/>
  <c r="C166" i="14" s="1"/>
  <c r="D166" i="14"/>
  <c r="B250" i="14"/>
  <c r="I230" i="14"/>
  <c r="I223" i="14"/>
  <c r="I231" i="14" s="1"/>
  <c r="D147" i="14" l="1"/>
  <c r="J129" i="14"/>
  <c r="G129" i="14"/>
  <c r="D129" i="14"/>
  <c r="C147" i="14" l="1"/>
  <c r="C156" i="14" s="1"/>
  <c r="D156" i="14"/>
  <c r="C129" i="14"/>
  <c r="C133" i="14" s="1"/>
  <c r="D133" i="14"/>
  <c r="F129" i="14"/>
  <c r="F133" i="14" s="1"/>
  <c r="G133" i="14"/>
  <c r="I129" i="14"/>
  <c r="I133" i="14" s="1"/>
  <c r="J133" i="14"/>
  <c r="D94" i="14"/>
  <c r="D79" i="14"/>
  <c r="C79" i="14" s="1"/>
  <c r="F76" i="14"/>
  <c r="I76" i="14"/>
  <c r="D70" i="14"/>
  <c r="D75" i="14" s="1"/>
  <c r="F60" i="14"/>
  <c r="F35" i="14"/>
  <c r="I35" i="14"/>
  <c r="B129" i="14" l="1"/>
  <c r="C94" i="14"/>
  <c r="C99" i="14" s="1"/>
  <c r="D99" i="14"/>
  <c r="C70" i="14"/>
  <c r="C75" i="14" s="1"/>
  <c r="F55" i="14"/>
  <c r="F57" i="14" s="1"/>
  <c r="I19" i="14"/>
  <c r="F19" i="14"/>
  <c r="I212" i="25"/>
  <c r="F21" i="14" l="1"/>
  <c r="F24" i="14"/>
  <c r="I509" i="25"/>
  <c r="I507" i="25"/>
  <c r="I503" i="25"/>
  <c r="I501" i="25"/>
  <c r="I486" i="25"/>
  <c r="K486" i="25"/>
  <c r="I485" i="25"/>
  <c r="J485" i="25"/>
  <c r="K485" i="25"/>
  <c r="I484" i="25"/>
  <c r="J484" i="25"/>
  <c r="K484" i="25"/>
  <c r="I481" i="25"/>
  <c r="I475" i="25"/>
  <c r="I473" i="25"/>
  <c r="I468" i="25"/>
  <c r="I465" i="25"/>
  <c r="I514" i="25"/>
  <c r="I517" i="25"/>
  <c r="I460" i="25"/>
  <c r="I444" i="25"/>
  <c r="J444" i="25"/>
  <c r="K444" i="25"/>
  <c r="I445" i="25"/>
  <c r="J445" i="25"/>
  <c r="K445" i="25"/>
  <c r="K387" i="25"/>
  <c r="H390" i="25"/>
  <c r="H391" i="25"/>
  <c r="H392" i="25"/>
  <c r="H388" i="25"/>
  <c r="N444" i="25" l="1"/>
  <c r="N445" i="25"/>
  <c r="F26" i="14"/>
  <c r="I389" i="25"/>
  <c r="I351" i="25"/>
  <c r="J483" i="25"/>
  <c r="K351" i="25"/>
  <c r="K483" i="25" s="1"/>
  <c r="I292" i="25"/>
  <c r="J292" i="25"/>
  <c r="K292" i="25"/>
  <c r="K324" i="25"/>
  <c r="H252" i="25"/>
  <c r="I241" i="25"/>
  <c r="J241" i="25"/>
  <c r="K241" i="25"/>
  <c r="K373" i="25" s="1"/>
  <c r="K512" i="25" s="1"/>
  <c r="I242" i="25"/>
  <c r="J242" i="25"/>
  <c r="K242" i="25"/>
  <c r="I248" i="25"/>
  <c r="J248" i="25"/>
  <c r="K248" i="25"/>
  <c r="I247" i="25"/>
  <c r="J247" i="25"/>
  <c r="K247" i="25"/>
  <c r="I246" i="25"/>
  <c r="J246" i="25"/>
  <c r="K246" i="25"/>
  <c r="I245" i="25"/>
  <c r="J245" i="25"/>
  <c r="K245" i="25"/>
  <c r="I239" i="25"/>
  <c r="J239" i="25"/>
  <c r="K239" i="25"/>
  <c r="I335" i="25" l="1"/>
  <c r="I458" i="25" s="1"/>
  <c r="I291" i="25"/>
  <c r="K365" i="14"/>
  <c r="I365" i="14" s="1"/>
  <c r="B365" i="14" s="1"/>
  <c r="K367" i="14"/>
  <c r="K440" i="25"/>
  <c r="N440" i="25" s="1"/>
  <c r="I373" i="25"/>
  <c r="I483" i="25"/>
  <c r="E350" i="14"/>
  <c r="H316" i="25"/>
  <c r="H385" i="25" s="1"/>
  <c r="K320" i="25"/>
  <c r="K436" i="25" s="1"/>
  <c r="J335" i="25"/>
  <c r="J458" i="25" s="1"/>
  <c r="K335" i="25"/>
  <c r="K458" i="25" s="1"/>
  <c r="I387" i="25"/>
  <c r="H389" i="25"/>
  <c r="H387" i="25" s="1"/>
  <c r="J240" i="25"/>
  <c r="K240" i="25"/>
  <c r="I240" i="25"/>
  <c r="J373" i="25"/>
  <c r="J512" i="25" s="1"/>
  <c r="J212" i="25"/>
  <c r="K212" i="25"/>
  <c r="I218" i="25"/>
  <c r="I380" i="25" s="1"/>
  <c r="J218" i="25"/>
  <c r="K218" i="25"/>
  <c r="K380" i="25" s="1"/>
  <c r="K521" i="25" s="1"/>
  <c r="I217" i="25"/>
  <c r="J217" i="25"/>
  <c r="J381" i="25" s="1"/>
  <c r="J523" i="25" s="1"/>
  <c r="K217" i="25"/>
  <c r="K381" i="25" s="1"/>
  <c r="K523" i="25" s="1"/>
  <c r="I383" i="25"/>
  <c r="J216" i="25"/>
  <c r="K216" i="25"/>
  <c r="K383" i="25" s="1"/>
  <c r="K522" i="25" s="1"/>
  <c r="I214" i="25"/>
  <c r="I209" i="25"/>
  <c r="I208" i="25"/>
  <c r="I207" i="25"/>
  <c r="I330" i="25" s="1"/>
  <c r="I206" i="25"/>
  <c r="J206" i="25"/>
  <c r="K206" i="25"/>
  <c r="I195" i="25"/>
  <c r="D282" i="14"/>
  <c r="D287" i="14" s="1"/>
  <c r="K191" i="25"/>
  <c r="J282" i="14" s="1"/>
  <c r="H190" i="25"/>
  <c r="D257" i="14"/>
  <c r="G257" i="14"/>
  <c r="G262" i="14" s="1"/>
  <c r="K187" i="25"/>
  <c r="G243" i="14"/>
  <c r="G247" i="14" s="1"/>
  <c r="K182" i="25"/>
  <c r="D221" i="14"/>
  <c r="C221" i="14" s="1"/>
  <c r="D214" i="14"/>
  <c r="D218" i="14" s="1"/>
  <c r="G214" i="14"/>
  <c r="G218" i="14" s="1"/>
  <c r="F218" i="14" s="1"/>
  <c r="I203" i="25"/>
  <c r="J203" i="25"/>
  <c r="K203" i="25"/>
  <c r="I204" i="25"/>
  <c r="J204" i="25"/>
  <c r="J322" i="25" s="1"/>
  <c r="J439" i="25" s="1"/>
  <c r="K204" i="25"/>
  <c r="K322" i="25" s="1"/>
  <c r="I349" i="25"/>
  <c r="J115" i="25"/>
  <c r="J113" i="25" s="1"/>
  <c r="K115" i="25"/>
  <c r="I112" i="25"/>
  <c r="I155" i="25" s="1"/>
  <c r="J112" i="25"/>
  <c r="J155" i="25" s="1"/>
  <c r="J345" i="25" s="1"/>
  <c r="J472" i="25" s="1"/>
  <c r="I111" i="25"/>
  <c r="I154" i="25" s="1"/>
  <c r="J111" i="25"/>
  <c r="J154" i="25" s="1"/>
  <c r="J344" i="25" s="1"/>
  <c r="J471" i="25" s="1"/>
  <c r="K111" i="25"/>
  <c r="K154" i="25" s="1"/>
  <c r="K344" i="25" s="1"/>
  <c r="K471" i="25" s="1"/>
  <c r="I108" i="25"/>
  <c r="J108" i="25"/>
  <c r="K108" i="25"/>
  <c r="K151" i="25" s="1"/>
  <c r="K339" i="25" s="1"/>
  <c r="K464" i="25" s="1"/>
  <c r="I105" i="25"/>
  <c r="I147" i="25" s="1"/>
  <c r="J105" i="25"/>
  <c r="J147" i="25" s="1"/>
  <c r="J334" i="25" s="1"/>
  <c r="J456" i="25" s="1"/>
  <c r="K105" i="25"/>
  <c r="K147" i="25" s="1"/>
  <c r="K334" i="25" s="1"/>
  <c r="K456" i="25" s="1"/>
  <c r="I104" i="25"/>
  <c r="I146" i="25" s="1"/>
  <c r="J104" i="25"/>
  <c r="J146" i="25" s="1"/>
  <c r="K104" i="25"/>
  <c r="K146" i="25" s="1"/>
  <c r="I103" i="25"/>
  <c r="J103" i="25"/>
  <c r="K103" i="25"/>
  <c r="K148" i="25" s="1"/>
  <c r="K331" i="25" s="1"/>
  <c r="K453" i="25" s="1"/>
  <c r="J143" i="25"/>
  <c r="J326" i="25" s="1"/>
  <c r="K143" i="25"/>
  <c r="K326" i="25" s="1"/>
  <c r="K441" i="25" s="1"/>
  <c r="J142" i="25"/>
  <c r="D60" i="14"/>
  <c r="J60" i="14"/>
  <c r="I40" i="25"/>
  <c r="K40" i="25"/>
  <c r="I138" i="25"/>
  <c r="J138" i="25"/>
  <c r="J168" i="25" s="1"/>
  <c r="J369" i="25" s="1"/>
  <c r="J506" i="25" s="1"/>
  <c r="K138" i="25"/>
  <c r="K168" i="25" s="1"/>
  <c r="K369" i="25" s="1"/>
  <c r="K506" i="25" s="1"/>
  <c r="J137" i="25"/>
  <c r="J140" i="25" s="1"/>
  <c r="K137" i="25"/>
  <c r="K167" i="25" s="1"/>
  <c r="I131" i="25"/>
  <c r="J131" i="25"/>
  <c r="J165" i="25" s="1"/>
  <c r="J364" i="25" s="1"/>
  <c r="J500" i="25" s="1"/>
  <c r="K131" i="25"/>
  <c r="K165" i="25" s="1"/>
  <c r="K364" i="25" s="1"/>
  <c r="K500" i="25" s="1"/>
  <c r="J136" i="25"/>
  <c r="G206" i="14" s="1"/>
  <c r="K136" i="25"/>
  <c r="J206" i="14" s="1"/>
  <c r="I170" i="25"/>
  <c r="D169" i="14"/>
  <c r="D111" i="14"/>
  <c r="D116" i="14" s="1"/>
  <c r="C122" i="14"/>
  <c r="I452" i="25" l="1"/>
  <c r="I320" i="25"/>
  <c r="I436" i="25" s="1"/>
  <c r="N436" i="25" s="1"/>
  <c r="K375" i="14"/>
  <c r="I375" i="14" s="1"/>
  <c r="I367" i="14"/>
  <c r="K338" i="14"/>
  <c r="K97" i="25"/>
  <c r="K141" i="25" s="1"/>
  <c r="K29" i="25"/>
  <c r="I29" i="25"/>
  <c r="I95" i="25" s="1"/>
  <c r="J441" i="25"/>
  <c r="K158" i="25"/>
  <c r="K349" i="25" s="1"/>
  <c r="K478" i="25" s="1"/>
  <c r="K113" i="25"/>
  <c r="I168" i="25"/>
  <c r="I165" i="25"/>
  <c r="J167" i="25"/>
  <c r="J166" i="25" s="1"/>
  <c r="I148" i="25"/>
  <c r="I331" i="25" s="1"/>
  <c r="I101" i="25"/>
  <c r="I334" i="25"/>
  <c r="J151" i="25"/>
  <c r="J339" i="25" s="1"/>
  <c r="J106" i="25"/>
  <c r="I344" i="25"/>
  <c r="I345" i="25"/>
  <c r="I322" i="25"/>
  <c r="J214" i="14"/>
  <c r="J218" i="14" s="1"/>
  <c r="J243" i="14"/>
  <c r="J247" i="14" s="1"/>
  <c r="J257" i="14"/>
  <c r="J383" i="25"/>
  <c r="J522" i="25" s="1"/>
  <c r="I381" i="25"/>
  <c r="I512" i="25"/>
  <c r="I143" i="25"/>
  <c r="J148" i="25"/>
  <c r="J331" i="25" s="1"/>
  <c r="J101" i="25"/>
  <c r="I151" i="25"/>
  <c r="I106" i="25"/>
  <c r="I478" i="25"/>
  <c r="G282" i="14"/>
  <c r="G287" i="14" s="1"/>
  <c r="D290" i="14"/>
  <c r="D294" i="14" s="1"/>
  <c r="I522" i="25"/>
  <c r="K439" i="25"/>
  <c r="J208" i="14"/>
  <c r="I208" i="14" s="1"/>
  <c r="I206" i="14"/>
  <c r="J380" i="25"/>
  <c r="F206" i="14"/>
  <c r="G208" i="14"/>
  <c r="F208" i="14" s="1"/>
  <c r="I62" i="14"/>
  <c r="I60" i="14"/>
  <c r="J158" i="25"/>
  <c r="C169" i="14"/>
  <c r="C173" i="14" s="1"/>
  <c r="D173" i="14"/>
  <c r="C60" i="14"/>
  <c r="D62" i="14"/>
  <c r="I97" i="25"/>
  <c r="C126" i="14"/>
  <c r="I376" i="25"/>
  <c r="K166" i="25"/>
  <c r="K368" i="25"/>
  <c r="K505" i="25" s="1"/>
  <c r="I323" i="25"/>
  <c r="I438" i="25" s="1"/>
  <c r="J332" i="25"/>
  <c r="J454" i="25" s="1"/>
  <c r="J323" i="25"/>
  <c r="J438" i="25" s="1"/>
  <c r="K332" i="25"/>
  <c r="K454" i="25" s="1"/>
  <c r="I332" i="25"/>
  <c r="K215" i="25"/>
  <c r="I215" i="25"/>
  <c r="I205" i="25"/>
  <c r="J215" i="25"/>
  <c r="I201" i="25"/>
  <c r="J141" i="25"/>
  <c r="J321" i="25" s="1"/>
  <c r="J437" i="25" s="1"/>
  <c r="J453" i="25" l="1"/>
  <c r="J149" i="25"/>
  <c r="K321" i="25"/>
  <c r="K437" i="25" s="1"/>
  <c r="I439" i="25"/>
  <c r="N439" i="25" s="1"/>
  <c r="F282" i="14"/>
  <c r="I141" i="25"/>
  <c r="D210" i="14"/>
  <c r="I321" i="25"/>
  <c r="I454" i="25"/>
  <c r="I523" i="25"/>
  <c r="I472" i="25"/>
  <c r="I471" i="25"/>
  <c r="I456" i="25"/>
  <c r="I364" i="25"/>
  <c r="I369" i="25"/>
  <c r="I521" i="25"/>
  <c r="J349" i="25"/>
  <c r="I339" i="25"/>
  <c r="I326" i="25"/>
  <c r="B60" i="14"/>
  <c r="C62" i="14"/>
  <c r="J521" i="25"/>
  <c r="J464" i="25"/>
  <c r="I375" i="25"/>
  <c r="I516" i="25"/>
  <c r="I515" i="25" s="1"/>
  <c r="D65" i="14"/>
  <c r="I238" i="25"/>
  <c r="J227" i="25"/>
  <c r="K227" i="25"/>
  <c r="K235" i="25" s="1"/>
  <c r="K238" i="25" s="1"/>
  <c r="H233" i="25"/>
  <c r="H248" i="25" s="1"/>
  <c r="H232" i="25"/>
  <c r="H247" i="25" s="1"/>
  <c r="H231" i="25"/>
  <c r="H246" i="25" s="1"/>
  <c r="H229" i="25"/>
  <c r="H245" i="25" s="1"/>
  <c r="H228" i="25"/>
  <c r="H226" i="25"/>
  <c r="H194" i="25"/>
  <c r="H218" i="25" s="1"/>
  <c r="H193" i="25"/>
  <c r="H192" i="25"/>
  <c r="H189" i="25"/>
  <c r="H212" i="25" s="1"/>
  <c r="H188" i="25"/>
  <c r="H186" i="25"/>
  <c r="H185" i="25"/>
  <c r="H184" i="25"/>
  <c r="H183" i="25"/>
  <c r="H181" i="25"/>
  <c r="H176" i="25"/>
  <c r="H175" i="25"/>
  <c r="H135" i="25"/>
  <c r="H137" i="25" s="1"/>
  <c r="H216" i="25" l="1"/>
  <c r="H383" i="25" s="1"/>
  <c r="H522" i="25" s="1"/>
  <c r="H174" i="25"/>
  <c r="I506" i="25"/>
  <c r="I500" i="25"/>
  <c r="I453" i="25"/>
  <c r="I437" i="25"/>
  <c r="N437" i="25" s="1"/>
  <c r="I441" i="25"/>
  <c r="N441" i="25" s="1"/>
  <c r="I464" i="25"/>
  <c r="J478" i="25"/>
  <c r="J235" i="25"/>
  <c r="J238" i="25" s="1"/>
  <c r="I448" i="25"/>
  <c r="C65" i="14"/>
  <c r="C67" i="14" s="1"/>
  <c r="D67" i="14"/>
  <c r="H242" i="25"/>
  <c r="H227" i="25"/>
  <c r="H225" i="25" s="1"/>
  <c r="H234" i="25" s="1"/>
  <c r="H239" i="25"/>
  <c r="H236" i="25"/>
  <c r="H182" i="25"/>
  <c r="H241" i="25"/>
  <c r="H373" i="25" s="1"/>
  <c r="K225" i="25"/>
  <c r="K234" i="25" s="1"/>
  <c r="K237" i="25" s="1"/>
  <c r="I225" i="25"/>
  <c r="D332" i="14" s="1"/>
  <c r="D336" i="14" s="1"/>
  <c r="J225" i="25"/>
  <c r="H204" i="25"/>
  <c r="H217" i="25"/>
  <c r="H381" i="25" s="1"/>
  <c r="K180" i="25"/>
  <c r="J214" i="25"/>
  <c r="J178" i="25"/>
  <c r="N319" i="25" s="1"/>
  <c r="H187" i="25"/>
  <c r="H191" i="25"/>
  <c r="K213" i="25"/>
  <c r="H44" i="25"/>
  <c r="I14" i="25"/>
  <c r="D24" i="14" s="1"/>
  <c r="K14" i="25"/>
  <c r="J24" i="14" s="1"/>
  <c r="I12" i="25"/>
  <c r="J170" i="25"/>
  <c r="J169" i="25"/>
  <c r="J372" i="25" s="1"/>
  <c r="J371" i="25" s="1"/>
  <c r="I17" i="25"/>
  <c r="D29" i="14" s="1"/>
  <c r="C29" i="14" s="1"/>
  <c r="C193" i="14"/>
  <c r="G159" i="14"/>
  <c r="G147" i="14"/>
  <c r="F147" i="14" s="1"/>
  <c r="J193" i="14"/>
  <c r="J195" i="14" s="1"/>
  <c r="G70" i="14"/>
  <c r="G75" i="14" s="1"/>
  <c r="J503" i="25"/>
  <c r="J475" i="25"/>
  <c r="J468" i="25"/>
  <c r="J517" i="25"/>
  <c r="I416" i="25"/>
  <c r="I447" i="25" s="1"/>
  <c r="J507" i="25"/>
  <c r="J481" i="25"/>
  <c r="J473" i="25"/>
  <c r="J465" i="25"/>
  <c r="J457" i="25"/>
  <c r="H405" i="25"/>
  <c r="H401" i="25"/>
  <c r="H400" i="25"/>
  <c r="H399" i="25"/>
  <c r="H398" i="25"/>
  <c r="K316" i="25"/>
  <c r="K314" i="25" s="1"/>
  <c r="J316" i="25"/>
  <c r="J314" i="25" s="1"/>
  <c r="I316" i="25"/>
  <c r="I314" i="25" s="1"/>
  <c r="K312" i="25"/>
  <c r="K370" i="25" s="1"/>
  <c r="J312" i="25"/>
  <c r="J370" i="25" s="1"/>
  <c r="I312" i="25"/>
  <c r="K311" i="25"/>
  <c r="K365" i="25" s="1"/>
  <c r="K499" i="25" s="1"/>
  <c r="J311" i="25"/>
  <c r="J365" i="25" s="1"/>
  <c r="J499" i="25" s="1"/>
  <c r="I311" i="25"/>
  <c r="K310" i="25"/>
  <c r="K366" i="25" s="1"/>
  <c r="K502" i="25" s="1"/>
  <c r="I310" i="25"/>
  <c r="K350" i="25"/>
  <c r="K479" i="25" s="1"/>
  <c r="J350" i="25"/>
  <c r="J479" i="25" s="1"/>
  <c r="I301" i="25"/>
  <c r="I299" i="25" s="1"/>
  <c r="K298" i="25"/>
  <c r="K346" i="25" s="1"/>
  <c r="K474" i="25" s="1"/>
  <c r="J298" i="25"/>
  <c r="I346" i="25"/>
  <c r="K340" i="25"/>
  <c r="J340" i="25"/>
  <c r="J466" i="25" s="1"/>
  <c r="I340" i="25"/>
  <c r="I466" i="25" s="1"/>
  <c r="K293" i="25"/>
  <c r="K291" i="25" s="1"/>
  <c r="J293" i="25"/>
  <c r="J291" i="25" s="1"/>
  <c r="H283" i="25"/>
  <c r="H287" i="25" s="1"/>
  <c r="H279" i="25"/>
  <c r="H278" i="25"/>
  <c r="H276" i="25"/>
  <c r="H275" i="25"/>
  <c r="H273" i="25"/>
  <c r="H268" i="25"/>
  <c r="H266" i="25"/>
  <c r="H264" i="25"/>
  <c r="H258" i="25"/>
  <c r="H312" i="25" s="1"/>
  <c r="H370" i="25" s="1"/>
  <c r="H257" i="25"/>
  <c r="H256" i="25"/>
  <c r="H255" i="25"/>
  <c r="H254" i="25"/>
  <c r="H296" i="25" s="1"/>
  <c r="H295" i="25" s="1"/>
  <c r="H253" i="25"/>
  <c r="H526" i="25"/>
  <c r="H223" i="25"/>
  <c r="H243" i="25" s="1"/>
  <c r="J210" i="25"/>
  <c r="H197" i="25"/>
  <c r="G146" i="25"/>
  <c r="G332" i="25" s="1"/>
  <c r="K11" i="25"/>
  <c r="H134" i="25"/>
  <c r="H43" i="25"/>
  <c r="H42" i="25"/>
  <c r="H41" i="25"/>
  <c r="H103" i="25" s="1"/>
  <c r="H38" i="25"/>
  <c r="I5" i="25"/>
  <c r="H272" i="25" l="1"/>
  <c r="H271" i="25" s="1"/>
  <c r="N239" i="25"/>
  <c r="M319" i="25"/>
  <c r="H380" i="25"/>
  <c r="H132" i="25"/>
  <c r="H136" i="25" s="1"/>
  <c r="H251" i="25"/>
  <c r="H263" i="25"/>
  <c r="H286" i="25"/>
  <c r="H446" i="25"/>
  <c r="H404" i="25"/>
  <c r="H393" i="25"/>
  <c r="H99" i="25"/>
  <c r="H143" i="25" s="1"/>
  <c r="H326" i="25" s="1"/>
  <c r="H315" i="25"/>
  <c r="H384" i="25" s="1"/>
  <c r="H325" i="25"/>
  <c r="H322" i="25"/>
  <c r="J346" i="25"/>
  <c r="J474" i="25" s="1"/>
  <c r="I350" i="25"/>
  <c r="I365" i="25"/>
  <c r="J376" i="25"/>
  <c r="J375" i="25" s="1"/>
  <c r="I474" i="25"/>
  <c r="I366" i="25"/>
  <c r="I502" i="25" s="1"/>
  <c r="I370" i="25"/>
  <c r="I27" i="25"/>
  <c r="H27" i="25" s="1"/>
  <c r="H26" i="25" s="1"/>
  <c r="H12" i="25"/>
  <c r="K466" i="25"/>
  <c r="J234" i="25"/>
  <c r="J237" i="25" s="1"/>
  <c r="G332" i="14"/>
  <c r="J26" i="14"/>
  <c r="I24" i="14"/>
  <c r="I26" i="14" s="1"/>
  <c r="C24" i="14"/>
  <c r="C26" i="14" s="1"/>
  <c r="D26" i="14"/>
  <c r="F159" i="14"/>
  <c r="F166" i="14" s="1"/>
  <c r="G166" i="14"/>
  <c r="F70" i="14"/>
  <c r="F75" i="14" s="1"/>
  <c r="H298" i="25"/>
  <c r="H346" i="25" s="1"/>
  <c r="H474" i="25" s="1"/>
  <c r="H310" i="25"/>
  <c r="H366" i="25" s="1"/>
  <c r="H502" i="25" s="1"/>
  <c r="H300" i="25"/>
  <c r="I11" i="25"/>
  <c r="I26" i="25" s="1"/>
  <c r="I140" i="25" s="1"/>
  <c r="I319" i="25" s="1"/>
  <c r="I435" i="25" s="1"/>
  <c r="G221" i="14"/>
  <c r="H293" i="25"/>
  <c r="H333" i="25" s="1"/>
  <c r="H455" i="25" s="1"/>
  <c r="I234" i="25"/>
  <c r="H292" i="25"/>
  <c r="G65" i="14"/>
  <c r="H311" i="25"/>
  <c r="H365" i="25" s="1"/>
  <c r="H499" i="25" s="1"/>
  <c r="I385" i="25"/>
  <c r="I379" i="25" s="1"/>
  <c r="K385" i="25"/>
  <c r="K526" i="25" s="1"/>
  <c r="K520" i="25" s="1"/>
  <c r="H340" i="25"/>
  <c r="H466" i="25" s="1"/>
  <c r="H301" i="25"/>
  <c r="H350" i="25" s="1"/>
  <c r="H479" i="25" s="1"/>
  <c r="J385" i="25"/>
  <c r="J379" i="25" s="1"/>
  <c r="H222" i="25"/>
  <c r="H237" i="25" s="1"/>
  <c r="I333" i="25"/>
  <c r="I329" i="25" s="1"/>
  <c r="K333" i="25"/>
  <c r="K455" i="25" s="1"/>
  <c r="J333" i="25"/>
  <c r="J329" i="25" s="1"/>
  <c r="H235" i="25"/>
  <c r="J367" i="25"/>
  <c r="J508" i="25"/>
  <c r="H445" i="25"/>
  <c r="H485" i="25"/>
  <c r="K367" i="25"/>
  <c r="K508" i="25"/>
  <c r="H444" i="25"/>
  <c r="H484" i="25"/>
  <c r="H486" i="25"/>
  <c r="K59" i="25"/>
  <c r="F79" i="14"/>
  <c r="J94" i="14"/>
  <c r="I94" i="14" s="1"/>
  <c r="G94" i="14"/>
  <c r="C195" i="14"/>
  <c r="J511" i="25"/>
  <c r="K501" i="25"/>
  <c r="J501" i="25"/>
  <c r="K509" i="25"/>
  <c r="J509" i="25"/>
  <c r="H215" i="25"/>
  <c r="H240" i="25"/>
  <c r="H512" i="25"/>
  <c r="J309" i="25"/>
  <c r="I309" i="25"/>
  <c r="K309" i="25"/>
  <c r="H180" i="25"/>
  <c r="K214" i="25"/>
  <c r="H206" i="25"/>
  <c r="H203" i="25"/>
  <c r="K199" i="25"/>
  <c r="J209" i="25"/>
  <c r="K178" i="25"/>
  <c r="J221" i="14" s="1"/>
  <c r="J205" i="25"/>
  <c r="J195" i="25"/>
  <c r="J201" i="25" s="1"/>
  <c r="K208" i="25"/>
  <c r="J208" i="25"/>
  <c r="F193" i="14"/>
  <c r="H148" i="25"/>
  <c r="H331" i="25" s="1"/>
  <c r="H34" i="25"/>
  <c r="H115" i="25"/>
  <c r="H158" i="25" s="1"/>
  <c r="H104" i="25"/>
  <c r="H146" i="25" s="1"/>
  <c r="H111" i="25"/>
  <c r="H154" i="25" s="1"/>
  <c r="H105" i="25"/>
  <c r="H147" i="25" s="1"/>
  <c r="H108" i="25"/>
  <c r="H151" i="25" s="1"/>
  <c r="H33" i="25"/>
  <c r="I109" i="25"/>
  <c r="K112" i="25"/>
  <c r="K155" i="25" s="1"/>
  <c r="K142" i="25"/>
  <c r="H165" i="25"/>
  <c r="I167" i="25"/>
  <c r="I136" i="25"/>
  <c r="H40" i="25"/>
  <c r="H97" i="25" s="1"/>
  <c r="I164" i="25"/>
  <c r="H138" i="25"/>
  <c r="K428" i="25"/>
  <c r="H179" i="25"/>
  <c r="H508" i="25"/>
  <c r="H31" i="25"/>
  <c r="J147" i="14"/>
  <c r="I147" i="14" s="1"/>
  <c r="I156" i="14" s="1"/>
  <c r="G169" i="14"/>
  <c r="K169" i="25"/>
  <c r="K372" i="25" s="1"/>
  <c r="K371" i="25" s="1"/>
  <c r="K170" i="25"/>
  <c r="J159" i="14"/>
  <c r="J169" i="14"/>
  <c r="K517" i="25"/>
  <c r="H98" i="25"/>
  <c r="J70" i="14"/>
  <c r="D103" i="14"/>
  <c r="J109" i="25"/>
  <c r="K481" i="25"/>
  <c r="K503" i="25"/>
  <c r="K507" i="25"/>
  <c r="H425" i="25"/>
  <c r="H432" i="25"/>
  <c r="H509" i="25" s="1"/>
  <c r="K465" i="25"/>
  <c r="K430" i="25"/>
  <c r="K475" i="25" s="1"/>
  <c r="K473" i="25"/>
  <c r="K468" i="25"/>
  <c r="K417" i="25"/>
  <c r="K457" i="25" s="1"/>
  <c r="H291" i="25" l="1"/>
  <c r="K427" i="25"/>
  <c r="J319" i="25"/>
  <c r="J435" i="25" s="1"/>
  <c r="H250" i="25"/>
  <c r="H285" i="25" s="1"/>
  <c r="H324" i="25"/>
  <c r="H440" i="25" s="1"/>
  <c r="H379" i="25"/>
  <c r="H214" i="25"/>
  <c r="H11" i="25"/>
  <c r="K202" i="25"/>
  <c r="H114" i="25"/>
  <c r="H113" i="25" s="1"/>
  <c r="H421" i="25"/>
  <c r="H501" i="25" s="1"/>
  <c r="H288" i="25"/>
  <c r="H524" i="25"/>
  <c r="H314" i="25"/>
  <c r="H351" i="25"/>
  <c r="H483" i="25" s="1"/>
  <c r="H299" i="25"/>
  <c r="G67" i="14"/>
  <c r="H30" i="25"/>
  <c r="H29" i="25" s="1"/>
  <c r="I169" i="25"/>
  <c r="I372" i="25" s="1"/>
  <c r="I371" i="25" s="1"/>
  <c r="H107" i="25"/>
  <c r="H106" i="25" s="1"/>
  <c r="H439" i="25"/>
  <c r="J516" i="25"/>
  <c r="J515" i="25" s="1"/>
  <c r="H213" i="25"/>
  <c r="K323" i="25"/>
  <c r="K102" i="25"/>
  <c r="H59" i="25"/>
  <c r="H102" i="25" s="1"/>
  <c r="H101" i="25" s="1"/>
  <c r="I237" i="25"/>
  <c r="I508" i="25"/>
  <c r="I499" i="25"/>
  <c r="I479" i="25"/>
  <c r="I363" i="25"/>
  <c r="D206" i="14"/>
  <c r="C206" i="14" s="1"/>
  <c r="K345" i="25"/>
  <c r="J338" i="25"/>
  <c r="K209" i="25"/>
  <c r="I455" i="25"/>
  <c r="I451" i="25" s="1"/>
  <c r="H521" i="25"/>
  <c r="J448" i="25"/>
  <c r="B24" i="14"/>
  <c r="G111" i="14"/>
  <c r="J455" i="25"/>
  <c r="J451" i="25" s="1"/>
  <c r="C103" i="14"/>
  <c r="C108" i="14" s="1"/>
  <c r="D108" i="14"/>
  <c r="F332" i="14"/>
  <c r="G296" i="14"/>
  <c r="I169" i="14"/>
  <c r="I173" i="14" s="1"/>
  <c r="J173" i="14"/>
  <c r="F169" i="14"/>
  <c r="F173" i="14" s="1"/>
  <c r="G173" i="14"/>
  <c r="I159" i="14"/>
  <c r="I166" i="14" s="1"/>
  <c r="J166" i="14"/>
  <c r="I70" i="14"/>
  <c r="I75" i="14" s="1"/>
  <c r="J75" i="14"/>
  <c r="F94" i="14"/>
  <c r="F99" i="14" s="1"/>
  <c r="G99" i="14"/>
  <c r="B70" i="14"/>
  <c r="F221" i="14"/>
  <c r="F65" i="14"/>
  <c r="J363" i="25"/>
  <c r="J498" i="25" s="1"/>
  <c r="J79" i="14"/>
  <c r="I79" i="14" s="1"/>
  <c r="B79" i="14" s="1"/>
  <c r="J504" i="25"/>
  <c r="K379" i="25"/>
  <c r="J526" i="25"/>
  <c r="J520" i="25" s="1"/>
  <c r="H335" i="25"/>
  <c r="H458" i="25" s="1"/>
  <c r="H238" i="25"/>
  <c r="J65" i="14"/>
  <c r="J67" i="14" s="1"/>
  <c r="I526" i="25"/>
  <c r="I520" i="25" s="1"/>
  <c r="H442" i="25"/>
  <c r="F195" i="14"/>
  <c r="H364" i="25"/>
  <c r="H500" i="25" s="1"/>
  <c r="H339" i="25"/>
  <c r="H464" i="25" s="1"/>
  <c r="H334" i="25"/>
  <c r="H456" i="25" s="1"/>
  <c r="H332" i="25"/>
  <c r="H454" i="25" s="1"/>
  <c r="H309" i="25"/>
  <c r="H441" i="25"/>
  <c r="H344" i="25"/>
  <c r="H471" i="25" s="1"/>
  <c r="H349" i="25"/>
  <c r="H478" i="25" s="1"/>
  <c r="K376" i="25"/>
  <c r="H376" i="25" s="1"/>
  <c r="G122" i="14"/>
  <c r="H523" i="25"/>
  <c r="D19" i="14"/>
  <c r="D21" i="14" s="1"/>
  <c r="G290" i="14"/>
  <c r="I221" i="14"/>
  <c r="C332" i="14"/>
  <c r="D296" i="14"/>
  <c r="H198" i="25"/>
  <c r="K504" i="25"/>
  <c r="B147" i="14"/>
  <c r="J416" i="25"/>
  <c r="J514" i="25"/>
  <c r="J510" i="25" s="1"/>
  <c r="H428" i="25"/>
  <c r="K460" i="25"/>
  <c r="K511" i="25"/>
  <c r="J163" i="25"/>
  <c r="H199" i="25"/>
  <c r="H209" i="25" s="1"/>
  <c r="I166" i="25"/>
  <c r="I368" i="25"/>
  <c r="H453" i="25"/>
  <c r="H200" i="25"/>
  <c r="H210" i="25" s="1"/>
  <c r="K210" i="25"/>
  <c r="K207" i="25"/>
  <c r="K195" i="25"/>
  <c r="H178" i="25"/>
  <c r="I163" i="25"/>
  <c r="K64" i="25"/>
  <c r="J153" i="25"/>
  <c r="H168" i="25"/>
  <c r="H141" i="25"/>
  <c r="I157" i="25"/>
  <c r="I156" i="25" s="1"/>
  <c r="I150" i="25"/>
  <c r="I153" i="25"/>
  <c r="J157" i="25"/>
  <c r="H112" i="25"/>
  <c r="H155" i="25" s="1"/>
  <c r="H142" i="25"/>
  <c r="H164" i="25"/>
  <c r="H363" i="25" s="1"/>
  <c r="H498" i="25" s="1"/>
  <c r="K164" i="25"/>
  <c r="K363" i="25" s="1"/>
  <c r="K498" i="25" s="1"/>
  <c r="H167" i="25"/>
  <c r="H368" i="25" s="1"/>
  <c r="H170" i="25"/>
  <c r="K17" i="25"/>
  <c r="H431" i="25"/>
  <c r="H503" i="25" s="1"/>
  <c r="H426" i="25"/>
  <c r="H420" i="25"/>
  <c r="H418" i="25"/>
  <c r="H465" i="25" s="1"/>
  <c r="H424" i="25"/>
  <c r="K63" i="25"/>
  <c r="J61" i="25"/>
  <c r="J95" i="25" s="1"/>
  <c r="H422" i="25"/>
  <c r="H507" i="25" s="1"/>
  <c r="H417" i="25"/>
  <c r="H457" i="25" s="1"/>
  <c r="H419" i="25"/>
  <c r="H473" i="25" s="1"/>
  <c r="H430" i="25"/>
  <c r="H475" i="25" s="1"/>
  <c r="H429" i="25"/>
  <c r="H468" i="25" s="1"/>
  <c r="H196" i="25"/>
  <c r="H460" i="25" l="1"/>
  <c r="H427" i="25"/>
  <c r="H320" i="25"/>
  <c r="H436" i="25" s="1"/>
  <c r="H520" i="25"/>
  <c r="H208" i="25"/>
  <c r="I362" i="25"/>
  <c r="I498" i="25"/>
  <c r="I497" i="25" s="1"/>
  <c r="H497" i="25"/>
  <c r="J447" i="25"/>
  <c r="J463" i="25"/>
  <c r="J462" i="25" s="1"/>
  <c r="J337" i="25"/>
  <c r="B94" i="14"/>
  <c r="B169" i="14"/>
  <c r="H202" i="25"/>
  <c r="K96" i="25"/>
  <c r="J348" i="25"/>
  <c r="J156" i="25"/>
  <c r="D208" i="14"/>
  <c r="C208" i="14"/>
  <c r="B206" i="14"/>
  <c r="H63" i="25"/>
  <c r="H61" i="25" s="1"/>
  <c r="K110" i="25"/>
  <c r="K109" i="25" s="1"/>
  <c r="J139" i="25"/>
  <c r="I348" i="25"/>
  <c r="I347" i="25" s="1"/>
  <c r="K205" i="25"/>
  <c r="K438" i="25"/>
  <c r="N438" i="25" s="1"/>
  <c r="I338" i="25"/>
  <c r="I337" i="25" s="1"/>
  <c r="I511" i="25"/>
  <c r="I510" i="25" s="1"/>
  <c r="K472" i="25"/>
  <c r="K101" i="25"/>
  <c r="B159" i="14"/>
  <c r="K448" i="25"/>
  <c r="N448" i="25" s="1"/>
  <c r="J29" i="14"/>
  <c r="K26" i="25"/>
  <c r="J343" i="25"/>
  <c r="J470" i="25" s="1"/>
  <c r="G210" i="14"/>
  <c r="G294" i="14"/>
  <c r="B221" i="14"/>
  <c r="F122" i="14"/>
  <c r="F126" i="14" s="1"/>
  <c r="G126" i="14"/>
  <c r="F67" i="14"/>
  <c r="K375" i="25"/>
  <c r="I65" i="14"/>
  <c r="I67" i="14" s="1"/>
  <c r="H375" i="25"/>
  <c r="H362" i="25"/>
  <c r="H481" i="25"/>
  <c r="K516" i="25"/>
  <c r="K515" i="25" s="1"/>
  <c r="H323" i="25"/>
  <c r="H369" i="25"/>
  <c r="H367" i="25" s="1"/>
  <c r="H345" i="25"/>
  <c r="H472" i="25" s="1"/>
  <c r="H321" i="25"/>
  <c r="J122" i="14"/>
  <c r="I193" i="14"/>
  <c r="H195" i="25"/>
  <c r="H201" i="25" s="1"/>
  <c r="H169" i="25"/>
  <c r="H372" i="25" s="1"/>
  <c r="H371" i="25" s="1"/>
  <c r="G103" i="14"/>
  <c r="G15" i="14" s="1"/>
  <c r="K362" i="25"/>
  <c r="K497" i="25"/>
  <c r="I139" i="25"/>
  <c r="D55" i="14"/>
  <c r="D57" i="14" s="1"/>
  <c r="I367" i="25"/>
  <c r="I505" i="25"/>
  <c r="I504" i="25" s="1"/>
  <c r="C19" i="14"/>
  <c r="F29" i="14"/>
  <c r="H505" i="25"/>
  <c r="K201" i="25"/>
  <c r="J290" i="14"/>
  <c r="J362" i="25"/>
  <c r="J497" i="25"/>
  <c r="B332" i="14"/>
  <c r="C336" i="14"/>
  <c r="K416" i="25"/>
  <c r="K447" i="25" s="1"/>
  <c r="K514" i="25"/>
  <c r="K510" i="25" s="1"/>
  <c r="H516" i="25"/>
  <c r="H517" i="25"/>
  <c r="H163" i="25"/>
  <c r="I152" i="25"/>
  <c r="I343" i="25"/>
  <c r="J144" i="25"/>
  <c r="H166" i="25"/>
  <c r="H207" i="25"/>
  <c r="H205" i="25" s="1"/>
  <c r="I144" i="25"/>
  <c r="I149" i="25"/>
  <c r="J152" i="25"/>
  <c r="K163" i="25"/>
  <c r="K157" i="25"/>
  <c r="K106" i="25"/>
  <c r="K150" i="25"/>
  <c r="H150" i="25"/>
  <c r="H338" i="25" s="1"/>
  <c r="K145" i="25"/>
  <c r="K330" i="25" s="1"/>
  <c r="H157" i="25"/>
  <c r="K61" i="25"/>
  <c r="H448" i="25"/>
  <c r="H423" i="25"/>
  <c r="H416" i="25" s="1"/>
  <c r="M318" i="25" l="1"/>
  <c r="J318" i="25"/>
  <c r="N447" i="25"/>
  <c r="K452" i="25"/>
  <c r="K451" i="25" s="1"/>
  <c r="K329" i="25"/>
  <c r="H337" i="25"/>
  <c r="H463" i="25"/>
  <c r="H462" i="25" s="1"/>
  <c r="J434" i="25"/>
  <c r="J477" i="25"/>
  <c r="J476" i="25" s="1"/>
  <c r="J347" i="25"/>
  <c r="K156" i="25"/>
  <c r="K348" i="25"/>
  <c r="K347" i="25" s="1"/>
  <c r="I477" i="25"/>
  <c r="I476" i="25" s="1"/>
  <c r="H515" i="25"/>
  <c r="I463" i="25"/>
  <c r="I462" i="25" s="1"/>
  <c r="H437" i="25"/>
  <c r="H96" i="25"/>
  <c r="H140" i="25" s="1"/>
  <c r="H319" i="25" s="1"/>
  <c r="H435" i="25" s="1"/>
  <c r="H438" i="25"/>
  <c r="H348" i="25"/>
  <c r="H347" i="25" s="1"/>
  <c r="H156" i="25"/>
  <c r="K95" i="25"/>
  <c r="K139" i="25" s="1"/>
  <c r="K318" i="25" s="1"/>
  <c r="H95" i="25"/>
  <c r="H139" i="25" s="1"/>
  <c r="H318" i="25" s="1"/>
  <c r="H110" i="25"/>
  <c r="H109" i="25" s="1"/>
  <c r="J210" i="14"/>
  <c r="J294" i="14"/>
  <c r="I122" i="14"/>
  <c r="B122" i="14" s="1"/>
  <c r="J126" i="14"/>
  <c r="B65" i="14"/>
  <c r="J469" i="25"/>
  <c r="J342" i="25"/>
  <c r="F103" i="14"/>
  <c r="F15" i="14" s="1"/>
  <c r="B19" i="14"/>
  <c r="C21" i="14"/>
  <c r="I29" i="14"/>
  <c r="B29" i="14" s="1"/>
  <c r="I34" i="14"/>
  <c r="K140" i="25"/>
  <c r="K319" i="25" s="1"/>
  <c r="K435" i="25" s="1"/>
  <c r="N435" i="25" s="1"/>
  <c r="H511" i="25"/>
  <c r="C55" i="14"/>
  <c r="B55" i="14" s="1"/>
  <c r="D15" i="14"/>
  <c r="H506" i="25"/>
  <c r="H504" i="25" s="1"/>
  <c r="I195" i="14"/>
  <c r="B193" i="14"/>
  <c r="J103" i="14"/>
  <c r="J15" i="14" s="1"/>
  <c r="I342" i="25"/>
  <c r="I470" i="25"/>
  <c r="H447" i="25"/>
  <c r="H514" i="25"/>
  <c r="K149" i="25"/>
  <c r="K338" i="25"/>
  <c r="K337" i="25" s="1"/>
  <c r="K144" i="25"/>
  <c r="H149" i="25"/>
  <c r="H145" i="25"/>
  <c r="H330" i="25" s="1"/>
  <c r="K153" i="25"/>
  <c r="H452" i="25" l="1"/>
  <c r="H451" i="25" s="1"/>
  <c r="H329" i="25"/>
  <c r="K434" i="25"/>
  <c r="H477" i="25"/>
  <c r="H476" i="25" s="1"/>
  <c r="H434" i="25"/>
  <c r="H510" i="25"/>
  <c r="I126" i="14"/>
  <c r="K343" i="25"/>
  <c r="K342" i="25" s="1"/>
  <c r="I469" i="25"/>
  <c r="C57" i="14"/>
  <c r="K477" i="25"/>
  <c r="K476" i="25" s="1"/>
  <c r="K463" i="25"/>
  <c r="K462" i="25" s="1"/>
  <c r="I103" i="14"/>
  <c r="I15" i="14" s="1"/>
  <c r="H144" i="25"/>
  <c r="K152" i="25"/>
  <c r="H153" i="25"/>
  <c r="H343" i="25" s="1"/>
  <c r="H342" i="25" s="1"/>
  <c r="G338" i="14"/>
  <c r="G12" i="14" s="1"/>
  <c r="H12" i="14"/>
  <c r="J338" i="14"/>
  <c r="I338" i="14" s="1"/>
  <c r="K12" i="14"/>
  <c r="D338" i="14"/>
  <c r="D12" i="14" s="1"/>
  <c r="K470" i="25" l="1"/>
  <c r="K469" i="25" s="1"/>
  <c r="F338" i="14"/>
  <c r="J12" i="14"/>
  <c r="H470" i="25"/>
  <c r="B103" i="14"/>
  <c r="H152" i="25"/>
  <c r="H469" i="25" l="1"/>
  <c r="O451" i="25" s="1"/>
  <c r="F307" i="14"/>
  <c r="I307" i="14"/>
  <c r="F243" i="14" l="1"/>
  <c r="F247" i="14" s="1"/>
  <c r="I243" i="14"/>
  <c r="I247" i="14" s="1"/>
  <c r="F266" i="14" l="1"/>
  <c r="I266" i="14"/>
  <c r="C350" i="14" l="1"/>
  <c r="C275" i="14" l="1"/>
  <c r="C266" i="14"/>
  <c r="C278" i="14" s="1"/>
  <c r="F270" i="14"/>
  <c r="I270" i="14" s="1"/>
  <c r="F259" i="14"/>
  <c r="F263" i="14" s="1"/>
  <c r="C243" i="14"/>
  <c r="C235" i="14"/>
  <c r="C239" i="14" s="1"/>
  <c r="I259" i="14" l="1"/>
  <c r="I263" i="14" s="1"/>
  <c r="B243" i="14"/>
  <c r="C247" i="14"/>
  <c r="C273" i="14"/>
  <c r="B266" i="14"/>
  <c r="F317" i="14" l="1"/>
  <c r="F321" i="14" s="1"/>
  <c r="I317" i="14"/>
  <c r="I321" i="14" s="1"/>
  <c r="F300" i="14"/>
  <c r="I300" i="14"/>
  <c r="I305" i="14" l="1"/>
  <c r="I296" i="14"/>
  <c r="F305" i="14"/>
  <c r="F296" i="14"/>
  <c r="C300" i="14"/>
  <c r="C282" i="14"/>
  <c r="B282" i="14" s="1"/>
  <c r="C324" i="14"/>
  <c r="C317" i="14"/>
  <c r="C305" i="14" l="1"/>
  <c r="C296" i="14"/>
  <c r="M296" i="14" s="1"/>
  <c r="B317" i="14"/>
  <c r="C321" i="14"/>
  <c r="C287" i="14"/>
  <c r="C328" i="14"/>
  <c r="B324" i="14"/>
  <c r="B300" i="14"/>
  <c r="F257" i="14"/>
  <c r="F262" i="14" s="1"/>
  <c r="I257" i="14"/>
  <c r="I262" i="14" s="1"/>
  <c r="F235" i="14"/>
  <c r="I235" i="14"/>
  <c r="B296" i="14" l="1"/>
  <c r="N296" i="14" s="1"/>
  <c r="B235" i="14"/>
  <c r="C290" i="14"/>
  <c r="C294" i="14" s="1"/>
  <c r="C257" i="14"/>
  <c r="C262" i="14" s="1"/>
  <c r="C214" i="14"/>
  <c r="C218" i="14" l="1"/>
  <c r="C210" i="14"/>
  <c r="B257" i="14"/>
  <c r="C111" i="14"/>
  <c r="C15" i="14" s="1"/>
  <c r="M15" i="14" s="1"/>
  <c r="I290" i="14"/>
  <c r="I294" i="14" s="1"/>
  <c r="F290" i="14"/>
  <c r="F294" i="14" s="1"/>
  <c r="C116" i="14" l="1"/>
  <c r="B290" i="14"/>
  <c r="B111" i="14" l="1"/>
  <c r="B15" i="14" s="1"/>
  <c r="F214" i="14"/>
  <c r="F210" i="14" s="1"/>
  <c r="N15" i="14" l="1"/>
  <c r="F12" i="14"/>
  <c r="I214" i="14"/>
  <c r="I218" i="14" s="1"/>
  <c r="I210" i="14" l="1"/>
  <c r="B214" i="14"/>
  <c r="B210" i="14" s="1"/>
  <c r="I12" i="14" l="1"/>
  <c r="M210" i="14"/>
  <c r="N210" i="14" s="1"/>
  <c r="I285" i="25" l="1"/>
  <c r="E349" i="14"/>
  <c r="E348" i="14" l="1"/>
  <c r="C348" i="14" s="1"/>
  <c r="B348" i="14" s="1"/>
  <c r="I318" i="25"/>
  <c r="E356" i="14"/>
  <c r="C356" i="14" s="1"/>
  <c r="E338" i="14"/>
  <c r="E12" i="14" s="1"/>
  <c r="C349" i="14"/>
  <c r="I434" i="25" l="1"/>
  <c r="N434" i="25" s="1"/>
  <c r="C338" i="14"/>
  <c r="C12" i="14" s="1"/>
  <c r="B338" i="14" l="1"/>
  <c r="B12" i="14" s="1"/>
  <c r="M338" i="14"/>
  <c r="N338" i="14" l="1"/>
</calcChain>
</file>

<file path=xl/sharedStrings.xml><?xml version="1.0" encoding="utf-8"?>
<sst xmlns="http://schemas.openxmlformats.org/spreadsheetml/2006/main" count="1490" uniqueCount="488">
  <si>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</si>
  <si>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</si>
  <si>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</si>
  <si>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</si>
  <si>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</si>
  <si>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</si>
  <si>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</si>
  <si>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</si>
  <si>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</si>
  <si>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</si>
  <si>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</si>
  <si>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</si>
  <si>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</si>
  <si>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</si>
  <si>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</si>
  <si>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</si>
  <si>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</si>
  <si>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</si>
  <si>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</si>
  <si>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</si>
  <si>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</si>
  <si>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</si>
  <si>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</si>
  <si>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</si>
  <si>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</si>
  <si>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</si>
  <si>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</si>
  <si>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</si>
  <si>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</si>
  <si>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</si>
  <si>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</si>
  <si>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</si>
  <si>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</si>
  <si>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</si>
  <si>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</si>
  <si>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</si>
  <si>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</si>
  <si>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</si>
  <si>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</si>
  <si>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</si>
  <si>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</si>
  <si>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</si>
  <si>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</si>
  <si>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</si>
  <si>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</si>
  <si>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</si>
  <si>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</si>
  <si>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</si>
  <si>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</si>
  <si>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</si>
  <si>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</si>
  <si>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</si>
  <si>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</si>
  <si>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</si>
  <si>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</si>
  <si>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</si>
  <si>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</si>
  <si>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</si>
  <si>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</si>
  <si>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</si>
  <si>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</si>
  <si>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</si>
  <si>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</si>
  <si>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</si>
  <si>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</si>
  <si>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</si>
  <si>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</si>
  <si>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</si>
  <si>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</si>
  <si>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</si>
  <si>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</si>
  <si>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</si>
  <si>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</si>
  <si>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</si>
  <si>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</si>
  <si>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</si>
  <si>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</si>
  <si>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</si>
  <si>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</si>
  <si>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</si>
  <si>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</si>
  <si>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</si>
  <si>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</si>
  <si>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</si>
  <si>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</si>
  <si>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</si>
  <si>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</si>
  <si>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</si>
  <si>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</si>
  <si>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</si>
  <si>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</si>
  <si>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</si>
  <si>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</si>
  <si>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</si>
  <si>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</si>
  <si>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</si>
  <si>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</si>
  <si>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</si>
  <si>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</si>
  <si>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</si>
  <si>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</si>
  <si>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</si>
  <si>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</si>
  <si>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</si>
  <si>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</si>
  <si>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</si>
  <si>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</si>
  <si>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</si>
  <si>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</si>
  <si>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</si>
  <si>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</si>
  <si>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</si>
  <si>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</si>
  <si>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</si>
  <si>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</si>
  <si>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</si>
  <si>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</si>
  <si>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</si>
  <si>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</si>
  <si>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</si>
  <si>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</si>
  <si>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</si>
  <si>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</si>
  <si>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</si>
  <si>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</si>
  <si>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</si>
  <si>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</si>
  <si>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</si>
  <si>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</si>
  <si>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</si>
  <si>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</si>
  <si>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</si>
  <si>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</si>
  <si>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</si>
  <si>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</si>
  <si>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</si>
  <si>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</si>
  <si>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</si>
  <si>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</si>
  <si>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</si>
  <si>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</si>
  <si>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</si>
  <si>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</si>
  <si>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</si>
  <si>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</si>
  <si>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КПКВК 0712152</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</si>
  <si>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</si>
  <si>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</si>
  <si>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</si>
  <si>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</si>
  <si>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</si>
  <si>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</si>
  <si>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</si>
  <si>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</si>
  <si>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</si>
  <si>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</si>
  <si>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</si>
  <si>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</si>
  <si>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</si>
  <si>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</si>
  <si>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</si>
  <si>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</si>
  <si>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</si>
  <si>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</si>
  <si>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</si>
  <si>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</si>
  <si>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</si>
  <si>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</si>
  <si>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</si>
  <si>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</si>
  <si>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</si>
  <si>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</si>
  <si>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</si>
  <si>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</si>
  <si>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</si>
  <si>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</si>
  <si>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</si>
  <si>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</si>
  <si>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</si>
  <si>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</si>
  <si>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</si>
  <si>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</si>
  <si>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</si>
  <si>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</si>
  <si>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</si>
  <si>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</si>
  <si>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</si>
  <si>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</si>
  <si>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</si>
  <si>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</si>
  <si>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</si>
  <si>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</si>
  <si>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</si>
  <si>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</si>
  <si>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</si>
  <si>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</si>
  <si>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</si>
  <si>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</si>
  <si>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</si>
  <si>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</si>
  <si>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</si>
  <si>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</si>
  <si>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</si>
  <si>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</si>
  <si>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</si>
  <si>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</si>
  <si>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</si>
  <si>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</si>
  <si>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</si>
  <si>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</si>
  <si>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</si>
  <si>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</si>
  <si>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</si>
  <si>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</si>
  <si>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</si>
  <si>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</si>
  <si>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</si>
  <si>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</si>
  <si>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</si>
  <si>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</si>
  <si>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</si>
  <si>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</si>
  <si>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</si>
  <si>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</si>
  <si>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</si>
  <si>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</si>
  <si>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</si>
  <si>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</si>
  <si>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</si>
  <si>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</si>
  <si>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</si>
  <si>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</si>
  <si>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</si>
  <si>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</si>
  <si>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</si>
  <si>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</si>
  <si>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</si>
  <si>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</si>
  <si>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</si>
  <si>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</si>
  <si>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</si>
  <si>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</si>
  <si>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</si>
  <si>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</si>
  <si>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</si>
  <si>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</si>
  <si>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</si>
  <si>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</si>
  <si>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</si>
  <si>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</si>
  <si>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</si>
  <si>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</si>
  <si>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</si>
  <si>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</si>
  <si>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</si>
  <si>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</si>
  <si>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</si>
  <si>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</si>
  <si>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</si>
  <si>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</si>
  <si>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</si>
  <si>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</si>
  <si>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</si>
  <si>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</si>
  <si>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</si>
  <si>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</si>
  <si>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</si>
  <si>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</si>
  <si>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</si>
  <si>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</si>
  <si>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</si>
  <si>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</si>
  <si>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</si>
  <si>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</si>
  <si>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</si>
  <si>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</si>
  <si>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</si>
  <si>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</si>
  <si>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</si>
  <si>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</si>
  <si>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</si>
  <si>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</si>
  <si>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</si>
  <si>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</si>
  <si>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</si>
  <si>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</si>
  <si>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</si>
  <si>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</si>
  <si>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</si>
  <si>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</si>
  <si>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</si>
  <si>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</si>
  <si>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</si>
  <si>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</si>
  <si>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</si>
  <si>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</si>
  <si>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</si>
  <si>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</si>
  <si>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</si>
  <si>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</si>
  <si>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</si>
  <si>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</si>
  <si>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</si>
  <si>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</si>
  <si>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</si>
  <si>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</si>
  <si>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</si>
  <si>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</si>
  <si>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</si>
  <si>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</si>
  <si>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</si>
  <si>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</si>
  <si>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</si>
  <si>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</si>
  <si>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</si>
  <si>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</si>
  <si>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</si>
  <si>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</si>
  <si>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</si>
  <si>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</si>
  <si>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</si>
  <si>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</si>
  <si>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</si>
  <si>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</si>
  <si>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</si>
  <si>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</si>
  <si>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</si>
  <si>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</si>
  <si>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</si>
  <si>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</si>
  <si>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</si>
  <si>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</si>
  <si>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</si>
  <si>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</si>
  <si>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</si>
  <si>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</si>
  <si>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</si>
  <si>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</si>
  <si>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</si>
  <si>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</si>
  <si>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</si>
  <si>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</si>
  <si>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</si>
  <si>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</si>
  <si>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</si>
  <si>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</si>
  <si>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</si>
  <si>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</si>
  <si>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</si>
  <si>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</si>
  <si>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</si>
  <si>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</si>
  <si>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</si>
  <si>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</si>
  <si>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</si>
  <si>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</si>
  <si>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</si>
  <si>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</si>
  <si>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</si>
  <si>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</si>
  <si>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</si>
  <si>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</si>
  <si>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</si>
  <si>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</si>
  <si>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</si>
  <si>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</si>
  <si>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</si>
  <si>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</si>
  <si>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</si>
  <si>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</si>
  <si>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</si>
  <si>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</si>
  <si>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</si>
  <si>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</si>
  <si>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</si>
  <si>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</si>
  <si>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</si>
  <si>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</si>
  <si>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</si>
  <si>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</si>
  <si>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</si>
  <si>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</si>
  <si>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</si>
  <si>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</si>
  <si>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</si>
  <si>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</si>
  <si>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</si>
  <si>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</si>
  <si>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</si>
  <si>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</si>
  <si>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</si>
  <si>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</si>
  <si>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</si>
  <si>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</si>
  <si>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</si>
  <si>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</si>
  <si>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</si>
  <si>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</si>
  <si>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</si>
  <si>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</si>
  <si>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</si>
  <si>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</si>
  <si>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</si>
  <si>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</si>
  <si>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</si>
  <si>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</si>
  <si>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</si>
  <si>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</si>
  <si>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</si>
  <si>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</si>
  <si>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</si>
  <si>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</si>
  <si>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</si>
  <si>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</si>
  <si>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</si>
  <si>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</si>
  <si>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</si>
  <si>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</si>
  <si>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</si>
  <si>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</si>
  <si>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</si>
  <si>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</si>
  <si>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</si>
  <si>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</si>
  <si>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</si>
  <si>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</si>
  <si>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</si>
  <si>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</si>
  <si>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</si>
  <si>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</si>
  <si>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</si>
  <si>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</si>
  <si>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</si>
  <si>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</si>
  <si>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</si>
  <si>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</si>
  <si>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</si>
  <si>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</si>
  <si>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</si>
  <si>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</si>
  <si>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КНП "Клінічна лікарня Святого Пантлеймона" СМР</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</si>
  <si>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</si>
  <si>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</si>
  <si>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</si>
  <si>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</si>
  <si>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</si>
  <si>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</si>
  <si>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</si>
  <si>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</si>
  <si>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</si>
  <si>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</si>
  <si>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</si>
  <si>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</si>
  <si>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</si>
  <si>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</si>
  <si>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</si>
  <si>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</si>
  <si>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</si>
  <si>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0718861</t>
  </si>
  <si>
    <t>0718862</t>
  </si>
  <si>
    <t>Разом по заходу 1.2.15</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</si>
  <si>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</si>
  <si>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3.2.2.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</si>
  <si>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1.1.2. Співфінансування покриття/покриття вартості комунальних послуг та енергоносіїв</t>
  </si>
  <si>
    <t>Співфінансування покриття/покриття вартості комунальних послуг та енергоносіїв</t>
  </si>
  <si>
    <t>Забезпечення надання стоматологічної допомоги відповідно до галузевих стандартів</t>
  </si>
  <si>
    <t>Сумський міський голова</t>
  </si>
  <si>
    <t>Олександр ЛИСЕНКО</t>
  </si>
  <si>
    <t>Разом по заходу 3.2.2.</t>
  </si>
  <si>
    <t xml:space="preserve">поліпшення умов перебування під час лікування  в  КНП СОР "Сумський обласний спеціалізований диспансер радіаційного захисту населення" </t>
  </si>
  <si>
    <r>
      <t xml:space="preserve">Показник продукту: </t>
    </r>
    <r>
      <rPr>
        <sz val="18"/>
        <rFont val="Times New Roman"/>
        <family val="1"/>
        <charset val="204"/>
      </rPr>
      <t>кількість ліжок, од.</t>
    </r>
  </si>
  <si>
    <r>
      <t xml:space="preserve">Показник ефективності: </t>
    </r>
    <r>
      <rPr>
        <sz val="18"/>
        <rFont val="Times New Roman"/>
        <family val="1"/>
        <charset val="204"/>
      </rPr>
      <t>середні витрати на придбання 1 ліжка, грн.</t>
    </r>
  </si>
  <si>
    <t>витрати на проведення капітальних ремонтів та реставрації</t>
  </si>
  <si>
    <t>витрати на участь у  проектах, які реалізуються за рахунок коштів державного фонду регіонального розвитку</t>
  </si>
  <si>
    <t>Кількість придбаного обладнання,од.</t>
  </si>
  <si>
    <t>Кількість об'єктів капітального ремонту та реставрації,од</t>
  </si>
  <si>
    <t>кількість інвестиційних проектів,од.</t>
  </si>
  <si>
    <t>середні витрати на придбання одиниці обладнання, грн.</t>
  </si>
  <si>
    <t>середні вартість об'єкта капітального ремонту та реставрації, грн</t>
  </si>
  <si>
    <t>середні витрати на участь в інвестеційному проекті, грн</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</si>
  <si>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(спеціальний фонд)</t>
  </si>
  <si>
    <t>3.2.1. Закупівля лікарських засобів, медичних виробів, засобів індивідуального захисту, антисептиків, шприцеві дозатори</t>
  </si>
  <si>
    <t>Закупівля лікарських засобів, медичних виробів, засобів індивідуального захисту, антисептиків, шприцевих дозаторів</t>
  </si>
  <si>
    <t>Субвенції з місцевого бюджету на закупівлю опорними закладами охорони здоров'я послуг щодо проектування та встановлення кисневих станцій за рахунок відповідної субвенції з державного бюджету (спеціальний фонд)</t>
  </si>
  <si>
    <t>Субвенція з державного бюджету місцевим бюджетам на здійснення підтримки окремих закладів та заходів у системі охорони здоров'я між місцевими бюджетами (спеціальний фонд)</t>
  </si>
  <si>
    <t>від 23 лютого 2022  року № 2934-МР</t>
  </si>
  <si>
    <t>від 23 лютого 2022 року № 2934-МР</t>
  </si>
  <si>
    <t>Виконавець: Пак 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</si>
</sst>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44" x14ac:knownFonts="1">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
      <sz val="26"/>
      <name val="Times New Roman"/>
      <family val="1"/>
      <charset val="204"/>
    </font>
    <font>
      <sz val="26"/>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585">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3" fillId="2" borderId="1" xfId="0" applyNumberFormat="1" applyFont="1" applyFill="1" applyBorder="1" applyAlignment="1"/>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13" xfId="3" applyFont="1" applyFill="1" applyBorder="1" applyAlignment="1">
      <alignment vertical="top" wrapText="1"/>
    </xf>
    <xf numFmtId="0" fontId="22" fillId="2" borderId="2" xfId="3" applyFont="1" applyFill="1" applyBorder="1" applyAlignment="1">
      <alignment vertical="top" wrapText="1"/>
    </xf>
    <xf numFmtId="0" fontId="22" fillId="2" borderId="0" xfId="0" applyFont="1" applyFill="1" applyAlignment="1">
      <alignment horizontal="justify" wrapText="1"/>
    </xf>
    <xf numFmtId="0" fontId="13" fillId="2" borderId="1" xfId="0" applyFont="1" applyFill="1" applyBorder="1" applyAlignment="1">
      <alignment vertical="top" wrapText="1"/>
    </xf>
    <xf numFmtId="166" fontId="17" fillId="2" borderId="9" xfId="0" applyNumberFormat="1" applyFont="1" applyFill="1" applyBorder="1" applyAlignment="1">
      <alignment horizontal="center" vertical="top"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vertical="top" wrapText="1"/>
    </xf>
    <xf numFmtId="3" fontId="10" fillId="2" borderId="1" xfId="0" applyNumberFormat="1" applyFont="1" applyFill="1" applyBorder="1" applyAlignment="1">
      <alignment horizontal="left"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0" xfId="7" applyNumberFormat="1" applyFont="1" applyFill="1" applyBorder="1" applyAlignment="1">
      <alignment vertical="top" wrapText="1"/>
    </xf>
    <xf numFmtId="3" fontId="17" fillId="2" borderId="1" xfId="0" applyNumberFormat="1" applyFont="1" applyFill="1" applyBorder="1"/>
    <xf numFmtId="3" fontId="17" fillId="2" borderId="1" xfId="0" applyNumberFormat="1" applyFont="1" applyFill="1" applyBorder="1" applyAlignment="1">
      <alignment horizontal="right"/>
    </xf>
    <xf numFmtId="3" fontId="17" fillId="2" borderId="1" xfId="0" applyNumberFormat="1" applyFont="1" applyFill="1" applyBorder="1" applyAlignment="1">
      <alignment horizontal="center" vertical="center"/>
    </xf>
    <xf numFmtId="3" fontId="13" fillId="2" borderId="1" xfId="0" applyNumberFormat="1" applyFont="1" applyFill="1" applyBorder="1" applyAlignment="1">
      <alignment horizontal="right"/>
    </xf>
    <xf numFmtId="3" fontId="13" fillId="2"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top" wrapText="1"/>
    </xf>
    <xf numFmtId="3" fontId="10" fillId="2" borderId="1" xfId="0" applyNumberFormat="1" applyFont="1" applyFill="1" applyBorder="1" applyAlignment="1">
      <alignment horizontal="center"/>
    </xf>
    <xf numFmtId="3" fontId="17" fillId="2" borderId="1" xfId="0" applyNumberFormat="1" applyFont="1" applyFill="1" applyBorder="1" applyAlignment="1">
      <alignment horizontal="center" wrapText="1"/>
    </xf>
    <xf numFmtId="0" fontId="14" fillId="2" borderId="0" xfId="0" applyFont="1" applyFill="1" applyBorder="1" applyAlignment="1">
      <alignment horizontal="left" vertical="top" wrapText="1"/>
    </xf>
    <xf numFmtId="0" fontId="29" fillId="2" borderId="1" xfId="0" applyFont="1" applyFill="1" applyBorder="1" applyAlignment="1">
      <alignment horizontal="center" vertical="center" wrapText="1"/>
    </xf>
    <xf numFmtId="0" fontId="29" fillId="2" borderId="6" xfId="0" applyFont="1" applyFill="1" applyBorder="1" applyAlignment="1">
      <alignment horizontal="center" vertical="top" wrapText="1"/>
    </xf>
    <xf numFmtId="0" fontId="13" fillId="2" borderId="1" xfId="0" applyFont="1" applyFill="1" applyBorder="1" applyAlignment="1">
      <alignment horizontal="center" vertical="center"/>
    </xf>
    <xf numFmtId="0" fontId="29" fillId="2" borderId="9" xfId="0" applyFont="1" applyFill="1" applyBorder="1" applyAlignment="1">
      <alignment horizontal="center" vertical="top" wrapText="1"/>
    </xf>
    <xf numFmtId="0" fontId="13" fillId="2" borderId="6" xfId="0" applyFont="1" applyFill="1" applyBorder="1" applyAlignment="1">
      <alignment vertical="top" wrapText="1"/>
    </xf>
    <xf numFmtId="0" fontId="17" fillId="2" borderId="6" xfId="0" applyFont="1" applyFill="1" applyBorder="1" applyAlignment="1">
      <alignment horizontal="center" vertical="center"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4"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3" fillId="2" borderId="1" xfId="3" applyFont="1" applyFill="1" applyBorder="1" applyAlignment="1">
      <alignment horizontal="center" vertical="top" wrapText="1"/>
    </xf>
    <xf numFmtId="0" fontId="0" fillId="2" borderId="8" xfId="0" applyFill="1" applyBorder="1"/>
    <xf numFmtId="0" fontId="13" fillId="2" borderId="1" xfId="0" applyFont="1" applyFill="1" applyBorder="1" applyAlignment="1">
      <alignment horizontal="center" vertical="top" wrapText="1"/>
    </xf>
    <xf numFmtId="0" fontId="10" fillId="2" borderId="9" xfId="0" applyFont="1" applyFill="1" applyBorder="1" applyAlignment="1">
      <alignment horizontal="center" vertical="center" wrapText="1"/>
    </xf>
    <xf numFmtId="0" fontId="11" fillId="2" borderId="6" xfId="0" applyFont="1" applyFill="1" applyBorder="1" applyAlignment="1">
      <alignment vertical="top"/>
    </xf>
    <xf numFmtId="0" fontId="19" fillId="2" borderId="1" xfId="0"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22" fillId="2" borderId="1" xfId="3" applyFont="1" applyFill="1" applyBorder="1" applyAlignment="1">
      <alignment horizontal="left" vertical="top" wrapText="1"/>
    </xf>
    <xf numFmtId="0" fontId="17" fillId="2" borderId="6" xfId="0" applyFont="1" applyFill="1" applyBorder="1" applyAlignment="1">
      <alignment horizontal="left" vertical="top" wrapText="1"/>
    </xf>
    <xf numFmtId="0" fontId="13" fillId="2" borderId="1" xfId="0" applyFont="1" applyFill="1" applyBorder="1" applyAlignment="1">
      <alignment horizontal="center"/>
    </xf>
    <xf numFmtId="0" fontId="14" fillId="2" borderId="12" xfId="0" applyFont="1" applyFill="1" applyBorder="1" applyAlignment="1">
      <alignment horizontal="center" vertical="top"/>
    </xf>
    <xf numFmtId="49" fontId="13" fillId="2" borderId="1" xfId="0" applyNumberFormat="1" applyFont="1" applyFill="1" applyBorder="1" applyAlignment="1">
      <alignment horizontal="left" vertical="top" wrapText="1"/>
    </xf>
    <xf numFmtId="0" fontId="22" fillId="2" borderId="9" xfId="3" applyFont="1" applyFill="1" applyBorder="1" applyAlignment="1">
      <alignment horizontal="center" vertical="top" wrapText="1"/>
    </xf>
    <xf numFmtId="0" fontId="23" fillId="2" borderId="1" xfId="0" applyFont="1" applyFill="1" applyBorder="1"/>
    <xf numFmtId="0" fontId="13" fillId="2" borderId="11" xfId="0" applyFont="1" applyFill="1" applyBorder="1" applyAlignment="1">
      <alignment horizontal="center" vertical="top"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22" fillId="2" borderId="2" xfId="3"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2" xfId="0" applyFont="1" applyFill="1" applyBorder="1" applyAlignment="1">
      <alignment horizontal="left" vertical="top" wrapText="1"/>
    </xf>
    <xf numFmtId="0" fontId="22" fillId="2" borderId="8" xfId="0" applyFont="1" applyFill="1" applyBorder="1" applyAlignment="1">
      <alignment horizontal="left" vertical="top" wrapText="1"/>
    </xf>
    <xf numFmtId="0" fontId="10" fillId="2" borderId="1" xfId="0" applyFont="1" applyFill="1" applyBorder="1" applyAlignment="1">
      <alignment horizontal="center" vertical="top" wrapText="1"/>
    </xf>
    <xf numFmtId="0" fontId="14" fillId="2" borderId="0" xfId="0" applyFont="1" applyFill="1" applyBorder="1" applyAlignment="1">
      <alignment horizontal="center"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166" fontId="42" fillId="2" borderId="0" xfId="0" applyNumberFormat="1" applyFont="1" applyFill="1"/>
    <xf numFmtId="166" fontId="22" fillId="2" borderId="0" xfId="0" applyNumberFormat="1" applyFont="1" applyFill="1"/>
    <xf numFmtId="0" fontId="28" fillId="2" borderId="0" xfId="0" applyFont="1" applyFill="1"/>
    <xf numFmtId="166" fontId="43" fillId="2" borderId="0" xfId="0" applyNumberFormat="1" applyFont="1" applyFill="1"/>
    <xf numFmtId="166" fontId="28" fillId="2" borderId="0" xfId="0" applyNumberFormat="1" applyFont="1" applyFill="1"/>
    <xf numFmtId="166" fontId="3" fillId="2" borderId="0" xfId="0" applyNumberFormat="1" applyFont="1" applyFill="1" applyAlignment="1">
      <alignment horizontal="center" vertical="center"/>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13" fillId="2" borderId="6" xfId="3" applyFont="1" applyFill="1" applyBorder="1" applyAlignment="1">
      <alignment horizontal="center" vertical="top" wrapText="1"/>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9" fillId="2" borderId="1" xfId="0" applyFont="1" applyFill="1" applyBorder="1" applyAlignment="1">
      <alignment horizontal="left" vertical="top" wrapText="1"/>
    </xf>
    <xf numFmtId="0" fontId="11" fillId="2" borderId="1" xfId="0" applyFont="1" applyFill="1" applyBorder="1" applyAlignment="1">
      <alignment horizontal="center"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22" fillId="2" borderId="1" xfId="0" applyFont="1" applyFill="1" applyBorder="1" applyAlignment="1">
      <alignment horizontal="left" vertical="top" wrapText="1"/>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1" xfId="0" applyFont="1" applyFill="1" applyBorder="1" applyAlignment="1">
      <alignment horizontal="center"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7" fillId="2" borderId="9" xfId="0" applyFont="1" applyFill="1" applyBorder="1" applyAlignment="1">
      <alignment horizontal="center" vertical="top" wrapText="1"/>
    </xf>
    <xf numFmtId="0" fontId="19" fillId="2" borderId="5"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0" fillId="2" borderId="1"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4" fillId="2" borderId="13" xfId="0" applyFont="1" applyFill="1" applyBorder="1" applyAlignment="1">
      <alignment horizontal="center" vertical="top"/>
    </xf>
    <xf numFmtId="0" fontId="14" fillId="2" borderId="11" xfId="0" applyFont="1" applyFill="1" applyBorder="1" applyAlignment="1">
      <alignment horizontal="center" vertical="top"/>
    </xf>
    <xf numFmtId="0" fontId="14" fillId="2" borderId="8" xfId="0" applyFont="1" applyFill="1" applyBorder="1" applyAlignment="1">
      <alignment horizontal="center" vertical="top"/>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9" xfId="0" applyFont="1" applyFill="1" applyBorder="1" applyAlignment="1">
      <alignment horizontal="center" vertical="center"/>
    </xf>
    <xf numFmtId="0" fontId="23" fillId="2" borderId="1" xfId="0" applyFont="1" applyFill="1" applyBorder="1"/>
    <xf numFmtId="0" fontId="22" fillId="2" borderId="1" xfId="3" applyFont="1" applyFill="1" applyBorder="1" applyAlignment="1">
      <alignment horizontal="left" vertical="top" wrapText="1"/>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3" applyFont="1" applyFill="1" applyBorder="1" applyAlignment="1">
      <alignment horizontal="center" vertical="top" wrapText="1"/>
    </xf>
    <xf numFmtId="0" fontId="0" fillId="2" borderId="1" xfId="0" applyFill="1" applyBorder="1"/>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1" fillId="2" borderId="1" xfId="0" applyFont="1" applyFill="1" applyBorder="1" applyAlignment="1">
      <alignment horizontal="center" vertical="top"/>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4" fillId="2" borderId="9" xfId="0" applyFont="1" applyFill="1" applyBorder="1" applyAlignment="1">
      <alignment horizontal="center" vertical="top"/>
    </xf>
    <xf numFmtId="0" fontId="13" fillId="2" borderId="1" xfId="0" applyFont="1" applyFill="1" applyBorder="1" applyAlignment="1">
      <alignment horizontal="center"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26" fillId="2" borderId="1" xfId="0" applyFont="1" applyFill="1" applyBorder="1"/>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9" fillId="2" borderId="1" xfId="0" applyFont="1" applyFill="1" applyBorder="1" applyAlignment="1">
      <alignment horizontal="center" vertical="top" wrapText="1"/>
    </xf>
    <xf numFmtId="0" fontId="22" fillId="2" borderId="1" xfId="0" applyFont="1" applyFill="1" applyBorder="1" applyAlignment="1">
      <alignment vertical="top" wrapText="1"/>
    </xf>
    <xf numFmtId="49" fontId="19" fillId="2" borderId="1" xfId="0" applyNumberFormat="1" applyFont="1" applyFill="1" applyBorder="1" applyAlignment="1">
      <alignment horizontal="left" vertical="center"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49" fontId="13" fillId="2" borderId="1" xfId="0" applyNumberFormat="1" applyFont="1" applyFill="1" applyBorder="1" applyAlignment="1">
      <alignment horizontal="left" vertical="top"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1" xfId="0" applyFont="1" applyFill="1" applyBorder="1" applyAlignment="1">
      <alignment horizontal="center" vertical="top"/>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3" fillId="2" borderId="1" xfId="0" applyFont="1" applyFill="1" applyBorder="1" applyAlignment="1">
      <alignment horizontal="center"/>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17" fillId="2" borderId="1" xfId="0"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4" fillId="2" borderId="1" xfId="0" applyFont="1" applyFill="1" applyBorder="1" applyAlignment="1">
      <alignment horizontal="center" vertical="top" wrapText="1"/>
    </xf>
    <xf numFmtId="0" fontId="11" fillId="2" borderId="1" xfId="0" applyFont="1" applyFill="1" applyBorder="1" applyAlignment="1">
      <alignment horizontal="left" vertical="top"/>
    </xf>
    <xf numFmtId="49" fontId="22" fillId="2" borderId="1" xfId="0" applyNumberFormat="1" applyFont="1" applyFill="1" applyBorder="1" applyAlignment="1">
      <alignment horizontal="left" vertical="top"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5" fillId="2" borderId="12" xfId="0" applyFont="1" applyFill="1" applyBorder="1"/>
    <xf numFmtId="0" fontId="5" fillId="2" borderId="9" xfId="0" applyFont="1" applyFill="1" applyBorder="1"/>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0" fontId="14" fillId="2" borderId="14"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11" xfId="0" applyFont="1" applyFill="1" applyBorder="1" applyAlignment="1">
      <alignment horizontal="center" vertical="top" wrapText="1"/>
    </xf>
    <xf numFmtId="0" fontId="14" fillId="2" borderId="15" xfId="0" applyFont="1" applyFill="1" applyBorder="1" applyAlignment="1">
      <alignment horizontal="center" vertical="top" wrapText="1"/>
    </xf>
    <xf numFmtId="0" fontId="14" fillId="2" borderId="8" xfId="0" applyFont="1" applyFill="1" applyBorder="1" applyAlignment="1">
      <alignment horizontal="center" vertical="top" wrapText="1"/>
    </xf>
    <xf numFmtId="0" fontId="22" fillId="2" borderId="6"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9" xfId="0" applyFont="1" applyFill="1" applyBorder="1" applyAlignment="1">
      <alignment horizontal="center" vertical="top" wrapText="1"/>
    </xf>
    <xf numFmtId="0" fontId="19" fillId="2" borderId="14" xfId="0" applyFont="1" applyFill="1" applyBorder="1" applyAlignment="1">
      <alignment horizontal="center" vertical="top"/>
    </xf>
    <xf numFmtId="0" fontId="19" fillId="2" borderId="13" xfId="0" applyFont="1" applyFill="1" applyBorder="1" applyAlignment="1">
      <alignment horizontal="center" vertical="top"/>
    </xf>
    <xf numFmtId="0" fontId="19" fillId="2" borderId="0" xfId="0" applyFont="1" applyFill="1" applyBorder="1" applyAlignment="1">
      <alignment horizontal="center" vertical="top"/>
    </xf>
    <xf numFmtId="0" fontId="19" fillId="2" borderId="11" xfId="0" applyFont="1" applyFill="1" applyBorder="1" applyAlignment="1">
      <alignment horizontal="center" vertical="top"/>
    </xf>
    <xf numFmtId="0" fontId="19" fillId="2" borderId="15" xfId="0" applyFont="1" applyFill="1" applyBorder="1" applyAlignment="1">
      <alignment horizontal="center" vertical="top"/>
    </xf>
    <xf numFmtId="0" fontId="19" fillId="2" borderId="8" xfId="0" applyFont="1" applyFill="1" applyBorder="1" applyAlignment="1">
      <alignment horizontal="center" vertical="top"/>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13" fillId="2" borderId="1" xfId="0" applyNumberFormat="1" applyFont="1" applyFill="1" applyBorder="1" applyAlignment="1">
      <alignment horizontal="center" vertical="top"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3" fontId="13" fillId="2" borderId="3" xfId="0" applyNumberFormat="1" applyFont="1" applyFill="1" applyBorder="1" applyAlignment="1">
      <alignment horizontal="left"/>
    </xf>
    <xf numFmtId="3" fontId="13" fillId="2" borderId="4" xfId="0" applyNumberFormat="1" applyFont="1" applyFill="1" applyBorder="1" applyAlignment="1">
      <alignment horizontal="left"/>
    </xf>
    <xf numFmtId="3" fontId="13" fillId="2" borderId="2" xfId="0" applyNumberFormat="1" applyFont="1" applyFill="1" applyBorder="1" applyAlignment="1">
      <alignment horizontal="left"/>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1" xfId="0" applyNumberFormat="1" applyFont="1" applyFill="1" applyBorder="1" applyAlignment="1">
      <alignment horizontal="left" vertical="top" wrapText="1"/>
    </xf>
    <xf numFmtId="3" fontId="13" fillId="2" borderId="1" xfId="0" applyNumberFormat="1" applyFont="1" applyFill="1" applyBorder="1" applyAlignment="1">
      <alignment horizontal="left" vertical="center"/>
    </xf>
    <xf numFmtId="3" fontId="22" fillId="2" borderId="0" xfId="0" applyNumberFormat="1" applyFont="1" applyFill="1" applyAlignment="1">
      <alignment horizontal="justify" wrapText="1"/>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cellXfs>
  <cellStyles count="11">
    <cellStyle name="Обычный" xfId="0" builtinId="0"/>
    <cellStyle name="Обычный 2" xfId="1" xr:uid="{00000000-0005-0000-0000-000001000000}"/>
    <cellStyle name="Обычный 2 3" xfId="10" xr:uid="{00000000-0005-0000-0000-000002000000}"/>
    <cellStyle name="Обычный 3" xfId="2" xr:uid="{00000000-0005-0000-0000-000003000000}"/>
    <cellStyle name="Обычный 4" xfId="8" xr:uid="{00000000-0005-0000-0000-000004000000}"/>
    <cellStyle name="Обычный_Dnepr" xfId="6" xr:uid="{00000000-0005-0000-0000-000005000000}"/>
    <cellStyle name="Обычный_запит 21 01 14 смкл 1" xfId="9" xr:uid="{00000000-0005-0000-0000-000006000000}"/>
    <cellStyle name="Обычный_Запит ПЦМ 2012 свод4 по уоз" xfId="7" xr:uid="{00000000-0005-0000-0000-000007000000}"/>
    <cellStyle name="Обычный_Лист1" xfId="3" xr:uid="{00000000-0005-0000-0000-000008000000}"/>
    <cellStyle name="Процентный 2" xfId="4" xr:uid="{00000000-0005-0000-0000-000009000000}"/>
    <cellStyle name="Стиль 1"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M28"/>
  <sheetViews>
    <sheetView view="pageBreakPreview" topLeftCell="A19" zoomScale="84" zoomScaleSheetLayoutView="84" workbookViewId="0">
      <selection activeCell="A29" sqref="A29:IV29"/>
    </sheetView>
  </sheetViews>
  <sheetFormatPr defaultColWidth="9.109375" defaultRowHeight="18" x14ac:dyDescent="0.35"/>
  <cols>
    <col min="1" max="1" width="40.88671875" style="1" customWidth="1"/>
    <col min="2" max="2" width="38.88671875" style="1" customWidth="1"/>
    <col min="3" max="3" width="52.109375" style="1" customWidth="1"/>
    <col min="4" max="4" width="9.109375" style="1"/>
    <col min="5" max="5" width="37.44140625" style="1" customWidth="1"/>
    <col min="6" max="16384" width="9.109375" style="1"/>
  </cols>
  <sheetData>
    <row r="1" spans="1:13" x14ac:dyDescent="0.35">
      <c r="C1" s="1" t="s">
        <v>0</v>
      </c>
    </row>
    <row r="2" spans="1:13" ht="114" customHeight="1" x14ac:dyDescent="0.35">
      <c r="C2" s="4" t="s">
        <v>39</v>
      </c>
      <c r="F2" s="289"/>
      <c r="G2" s="289"/>
      <c r="H2" s="289"/>
      <c r="I2" s="2"/>
      <c r="J2" s="2"/>
      <c r="K2" s="2"/>
      <c r="L2" s="15"/>
      <c r="M2" s="15"/>
    </row>
    <row r="3" spans="1:13" ht="24" customHeight="1" x14ac:dyDescent="0.35">
      <c r="C3" s="4" t="s">
        <v>42</v>
      </c>
      <c r="E3" s="17"/>
      <c r="F3" s="290"/>
      <c r="G3" s="290"/>
      <c r="H3" s="290"/>
      <c r="J3" s="15"/>
      <c r="K3" s="15"/>
      <c r="L3" s="15"/>
      <c r="M3" s="15"/>
    </row>
    <row r="4" spans="1:13" ht="30" customHeight="1" x14ac:dyDescent="0.35">
      <c r="C4" s="4"/>
      <c r="E4" s="17"/>
      <c r="F4" s="16"/>
      <c r="G4" s="16"/>
      <c r="H4" s="16"/>
      <c r="J4" s="15"/>
      <c r="K4" s="15"/>
      <c r="L4" s="15"/>
      <c r="M4" s="15"/>
    </row>
    <row r="5" spans="1:13" ht="17.25" customHeight="1" x14ac:dyDescent="0.35">
      <c r="A5" s="286" t="s">
        <v>7</v>
      </c>
      <c r="B5" s="286"/>
      <c r="C5" s="286"/>
      <c r="F5" s="291"/>
      <c r="G5" s="291"/>
      <c r="H5" s="291"/>
      <c r="I5" s="291"/>
      <c r="J5" s="291"/>
      <c r="K5" s="291"/>
      <c r="L5" s="291"/>
      <c r="M5" s="291"/>
    </row>
    <row r="6" spans="1:13" ht="17.25" customHeight="1" x14ac:dyDescent="0.35">
      <c r="A6" s="286" t="s">
        <v>18</v>
      </c>
      <c r="B6" s="286"/>
      <c r="C6" s="286"/>
    </row>
    <row r="7" spans="1:13" ht="17.25" customHeight="1" x14ac:dyDescent="0.35">
      <c r="A7" s="286" t="s">
        <v>14</v>
      </c>
      <c r="B7" s="286"/>
      <c r="C7" s="286"/>
    </row>
    <row r="8" spans="1:13" ht="22.5" customHeight="1" x14ac:dyDescent="0.35"/>
    <row r="9" spans="1:13" ht="37.5" customHeight="1" x14ac:dyDescent="0.35">
      <c r="A9" s="287" t="s">
        <v>6</v>
      </c>
      <c r="B9" s="294" t="s">
        <v>8</v>
      </c>
      <c r="C9" s="295"/>
    </row>
    <row r="10" spans="1:13" ht="37.5" customHeight="1" x14ac:dyDescent="0.35">
      <c r="A10" s="288"/>
      <c r="B10" s="283" t="s">
        <v>9</v>
      </c>
      <c r="C10" s="284"/>
    </row>
    <row r="11" spans="1:13" x14ac:dyDescent="0.35">
      <c r="A11" s="7">
        <v>1</v>
      </c>
      <c r="B11" s="292">
        <v>2</v>
      </c>
      <c r="C11" s="293"/>
    </row>
    <row r="12" spans="1:13" ht="49.5" customHeight="1" x14ac:dyDescent="0.35">
      <c r="A12" s="20" t="s">
        <v>28</v>
      </c>
      <c r="B12" s="285" t="s">
        <v>10</v>
      </c>
      <c r="C12" s="285"/>
    </row>
    <row r="13" spans="1:13" ht="49.5" customHeight="1" x14ac:dyDescent="0.35">
      <c r="A13" s="20" t="s">
        <v>29</v>
      </c>
      <c r="B13" s="285" t="s">
        <v>13</v>
      </c>
      <c r="C13" s="285"/>
    </row>
    <row r="14" spans="1:13" ht="49.5" customHeight="1" x14ac:dyDescent="0.35">
      <c r="A14" s="20" t="s">
        <v>30</v>
      </c>
      <c r="B14" s="285" t="s">
        <v>11</v>
      </c>
      <c r="C14" s="285"/>
    </row>
    <row r="15" spans="1:13" ht="49.5" customHeight="1" x14ac:dyDescent="0.35">
      <c r="A15" s="20" t="s">
        <v>31</v>
      </c>
      <c r="B15" s="285" t="s">
        <v>21</v>
      </c>
      <c r="C15" s="285"/>
    </row>
    <row r="16" spans="1:13" ht="49.5" customHeight="1" x14ac:dyDescent="0.35">
      <c r="A16" s="20" t="s">
        <v>32</v>
      </c>
      <c r="B16" s="285" t="s">
        <v>20</v>
      </c>
      <c r="C16" s="285"/>
    </row>
    <row r="17" spans="1:11" ht="49.5" customHeight="1" x14ac:dyDescent="0.35">
      <c r="A17" s="20" t="s">
        <v>33</v>
      </c>
      <c r="B17" s="282" t="s">
        <v>41</v>
      </c>
      <c r="C17" s="282"/>
    </row>
    <row r="18" spans="1:11" ht="55.5" customHeight="1" x14ac:dyDescent="0.35">
      <c r="A18" s="20" t="s">
        <v>34</v>
      </c>
      <c r="B18" s="282" t="s">
        <v>40</v>
      </c>
      <c r="C18" s="282"/>
    </row>
    <row r="19" spans="1:11" ht="57" customHeight="1" x14ac:dyDescent="0.35">
      <c r="A19" s="20" t="s">
        <v>35</v>
      </c>
      <c r="B19" s="285" t="s">
        <v>12</v>
      </c>
      <c r="C19" s="285"/>
    </row>
    <row r="20" spans="1:11" ht="41.25" customHeight="1" x14ac:dyDescent="0.35">
      <c r="A20" s="20" t="s">
        <v>36</v>
      </c>
      <c r="B20" s="282" t="s">
        <v>22</v>
      </c>
      <c r="C20" s="282"/>
    </row>
    <row r="21" spans="1:11" ht="41.25" customHeight="1" x14ac:dyDescent="0.35">
      <c r="A21" s="20" t="s">
        <v>37</v>
      </c>
      <c r="B21" s="282" t="s">
        <v>23</v>
      </c>
      <c r="C21" s="282"/>
    </row>
    <row r="22" spans="1:11" ht="41.25" customHeight="1" x14ac:dyDescent="0.35">
      <c r="A22" s="20" t="s">
        <v>38</v>
      </c>
      <c r="B22" s="282" t="s">
        <v>24</v>
      </c>
      <c r="C22" s="282"/>
    </row>
    <row r="23" spans="1:11" ht="14.25" customHeight="1" x14ac:dyDescent="0.35">
      <c r="A23" s="19"/>
      <c r="B23" s="11"/>
      <c r="C23" s="11"/>
    </row>
    <row r="24" spans="1:11" ht="14.25" customHeight="1" x14ac:dyDescent="0.35">
      <c r="A24" s="19"/>
      <c r="B24" s="11"/>
      <c r="C24" s="11"/>
    </row>
    <row r="25" spans="1:11" ht="14.25" customHeight="1" x14ac:dyDescent="0.35">
      <c r="A25" s="19"/>
      <c r="B25" s="11"/>
      <c r="C25" s="11"/>
    </row>
    <row r="26" spans="1:11" ht="14.25" customHeight="1" x14ac:dyDescent="0.35"/>
    <row r="27" spans="1:11" ht="22.5" customHeight="1" x14ac:dyDescent="0.4">
      <c r="A27" s="8" t="s">
        <v>25</v>
      </c>
      <c r="B27" s="10"/>
      <c r="C27" s="9" t="s">
        <v>26</v>
      </c>
      <c r="D27" s="10"/>
      <c r="E27" s="12"/>
      <c r="F27" s="10"/>
      <c r="G27" s="13"/>
      <c r="H27" s="13"/>
      <c r="I27" s="13"/>
      <c r="J27" s="14"/>
      <c r="K27" s="13"/>
    </row>
    <row r="28" spans="1:11" ht="20.25" customHeight="1" x14ac:dyDescent="0.35">
      <c r="A28" s="18" t="s">
        <v>27</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535"/>
  <sheetViews>
    <sheetView view="pageBreakPreview" zoomScale="30" zoomScaleSheetLayoutView="30" workbookViewId="0">
      <pane ySplit="8" topLeftCell="A526" activePane="bottomLeft" state="frozen"/>
      <selection pane="bottomLeft" activeCell="F528" sqref="F528"/>
    </sheetView>
  </sheetViews>
  <sheetFormatPr defaultColWidth="9.109375" defaultRowHeight="75" customHeight="1" x14ac:dyDescent="0.45"/>
  <cols>
    <col min="1" max="1" width="8.44140625" style="103" customWidth="1"/>
    <col min="2" max="2" width="38.88671875" style="8" customWidth="1"/>
    <col min="3" max="3" width="51.33203125" style="28" customWidth="1"/>
    <col min="4" max="4" width="18.33203125" style="104" customWidth="1"/>
    <col min="5" max="5" width="69.44140625" style="105" customWidth="1"/>
    <col min="6" max="6" width="22.6640625" style="106" customWidth="1"/>
    <col min="7" max="7" width="43" style="108" customWidth="1"/>
    <col min="8" max="8" width="32.33203125" style="90" customWidth="1"/>
    <col min="9" max="9" width="25.109375" style="90" customWidth="1"/>
    <col min="10" max="10" width="27.88671875" style="90" customWidth="1"/>
    <col min="11" max="11" width="22.109375" style="90" customWidth="1"/>
    <col min="12" max="12" width="75.88671875" style="110" customWidth="1"/>
    <col min="13" max="13" width="24" style="8" bestFit="1" customWidth="1"/>
    <col min="14" max="14" width="31.109375" style="8" customWidth="1"/>
    <col min="15" max="15" width="29" style="8" bestFit="1" customWidth="1"/>
    <col min="16" max="16" width="20.5546875" style="8" bestFit="1" customWidth="1"/>
    <col min="17" max="18" width="9.109375" style="8"/>
    <col min="19" max="19" width="23.5546875" style="8" bestFit="1" customWidth="1"/>
    <col min="20" max="16384" width="9.109375" style="8"/>
  </cols>
  <sheetData>
    <row r="1" spans="1:12" ht="77.25" customHeight="1" x14ac:dyDescent="0.45">
      <c r="G1" s="107"/>
      <c r="H1" s="89"/>
      <c r="I1" s="89"/>
      <c r="J1" s="89"/>
      <c r="K1" s="89"/>
      <c r="L1" s="26" t="s">
        <v>444</v>
      </c>
    </row>
    <row r="2" spans="1:12" ht="189.75" customHeight="1" x14ac:dyDescent="0.5">
      <c r="L2" s="208" t="s">
        <v>443</v>
      </c>
    </row>
    <row r="3" spans="1:12" s="177" customFormat="1" ht="77.25" customHeight="1" x14ac:dyDescent="0.5">
      <c r="A3" s="176"/>
      <c r="C3" s="178"/>
      <c r="D3" s="179"/>
      <c r="E3" s="180"/>
      <c r="F3" s="181"/>
      <c r="G3" s="182"/>
      <c r="H3" s="183"/>
      <c r="I3" s="183"/>
      <c r="J3" s="183"/>
      <c r="K3" s="183"/>
      <c r="L3" s="109" t="s">
        <v>485</v>
      </c>
    </row>
    <row r="4" spans="1:12" ht="90" customHeight="1" x14ac:dyDescent="0.35">
      <c r="A4" s="436" t="s">
        <v>389</v>
      </c>
      <c r="B4" s="436"/>
      <c r="C4" s="436"/>
      <c r="D4" s="436"/>
      <c r="E4" s="436"/>
      <c r="F4" s="436"/>
      <c r="G4" s="436"/>
      <c r="H4" s="436"/>
      <c r="I4" s="436"/>
      <c r="J4" s="436"/>
      <c r="K4" s="436"/>
      <c r="L4" s="436"/>
    </row>
    <row r="5" spans="1:12" ht="30" customHeight="1" x14ac:dyDescent="0.45">
      <c r="H5" s="111" t="s">
        <v>19</v>
      </c>
      <c r="I5" s="112" t="e">
        <f>#REF!+#REF!+#REF!+#REF!</f>
        <v>#REF!</v>
      </c>
    </row>
    <row r="6" spans="1:12" ht="75" customHeight="1" x14ac:dyDescent="0.5">
      <c r="A6" s="437" t="s">
        <v>1</v>
      </c>
      <c r="B6" s="438" t="s">
        <v>2</v>
      </c>
      <c r="C6" s="438" t="s">
        <v>3</v>
      </c>
      <c r="D6" s="437" t="s">
        <v>49</v>
      </c>
      <c r="E6" s="439" t="s">
        <v>47</v>
      </c>
      <c r="F6" s="442" t="s">
        <v>44</v>
      </c>
      <c r="G6" s="443" t="s">
        <v>4</v>
      </c>
      <c r="H6" s="444" t="s">
        <v>15</v>
      </c>
      <c r="I6" s="445"/>
      <c r="J6" s="445"/>
      <c r="K6" s="446"/>
      <c r="L6" s="438" t="s">
        <v>5</v>
      </c>
    </row>
    <row r="7" spans="1:12" ht="75" customHeight="1" x14ac:dyDescent="0.4">
      <c r="A7" s="437"/>
      <c r="B7" s="438"/>
      <c r="C7" s="438"/>
      <c r="D7" s="437"/>
      <c r="E7" s="440"/>
      <c r="F7" s="442"/>
      <c r="G7" s="443"/>
      <c r="H7" s="438" t="s">
        <v>83</v>
      </c>
      <c r="I7" s="447" t="s">
        <v>16</v>
      </c>
      <c r="J7" s="447"/>
      <c r="K7" s="447"/>
      <c r="L7" s="438"/>
    </row>
    <row r="8" spans="1:12" s="113" customFormat="1" ht="75" customHeight="1" x14ac:dyDescent="0.25">
      <c r="A8" s="437"/>
      <c r="B8" s="438"/>
      <c r="C8" s="438"/>
      <c r="D8" s="437"/>
      <c r="E8" s="441"/>
      <c r="F8" s="442"/>
      <c r="G8" s="443"/>
      <c r="H8" s="438"/>
      <c r="I8" s="265" t="s">
        <v>43</v>
      </c>
      <c r="J8" s="265" t="s">
        <v>420</v>
      </c>
      <c r="K8" s="265" t="s">
        <v>48</v>
      </c>
      <c r="L8" s="438"/>
    </row>
    <row r="9" spans="1:12" s="113" customFormat="1" ht="75" customHeight="1" x14ac:dyDescent="0.25">
      <c r="A9" s="196">
        <v>1</v>
      </c>
      <c r="B9" s="196">
        <v>2</v>
      </c>
      <c r="C9" s="264">
        <v>3</v>
      </c>
      <c r="D9" s="266">
        <v>4</v>
      </c>
      <c r="E9" s="264">
        <v>5</v>
      </c>
      <c r="F9" s="266">
        <v>6</v>
      </c>
      <c r="G9" s="269">
        <v>7</v>
      </c>
      <c r="H9" s="197">
        <v>8</v>
      </c>
      <c r="I9" s="197">
        <v>9</v>
      </c>
      <c r="J9" s="197">
        <v>10</v>
      </c>
      <c r="K9" s="197">
        <v>11</v>
      </c>
      <c r="L9" s="197">
        <v>12</v>
      </c>
    </row>
    <row r="10" spans="1:12" s="113" customFormat="1" ht="75" customHeight="1" x14ac:dyDescent="0.25">
      <c r="A10" s="417" t="s">
        <v>251</v>
      </c>
      <c r="B10" s="418"/>
      <c r="C10" s="418"/>
      <c r="D10" s="418"/>
      <c r="E10" s="418"/>
      <c r="F10" s="418"/>
      <c r="G10" s="418"/>
      <c r="H10" s="418"/>
      <c r="I10" s="418"/>
      <c r="J10" s="418"/>
      <c r="K10" s="418"/>
      <c r="L10" s="419"/>
    </row>
    <row r="11" spans="1:12" s="10" customFormat="1" ht="75" customHeight="1" x14ac:dyDescent="0.4">
      <c r="A11" s="408" t="s">
        <v>205</v>
      </c>
      <c r="B11" s="431" t="s">
        <v>199</v>
      </c>
      <c r="C11" s="432" t="s">
        <v>206</v>
      </c>
      <c r="D11" s="405" t="s">
        <v>312</v>
      </c>
      <c r="E11" s="406"/>
      <c r="F11" s="406"/>
      <c r="G11" s="407"/>
      <c r="H11" s="79">
        <f>H12+H13</f>
        <v>342</v>
      </c>
      <c r="I11" s="79">
        <f>I12+I13</f>
        <v>240</v>
      </c>
      <c r="J11" s="79">
        <f>J12+J13</f>
        <v>102</v>
      </c>
      <c r="K11" s="79">
        <f>K12+K13</f>
        <v>0</v>
      </c>
      <c r="L11" s="299" t="s">
        <v>245</v>
      </c>
    </row>
    <row r="12" spans="1:12" ht="75" customHeight="1" x14ac:dyDescent="0.35">
      <c r="A12" s="408"/>
      <c r="B12" s="431"/>
      <c r="C12" s="432"/>
      <c r="D12" s="21" t="s">
        <v>35</v>
      </c>
      <c r="E12" s="238" t="s">
        <v>78</v>
      </c>
      <c r="F12" s="412" t="s">
        <v>421</v>
      </c>
      <c r="G12" s="412" t="s">
        <v>398</v>
      </c>
      <c r="H12" s="79">
        <f>I12+J12+K12</f>
        <v>142</v>
      </c>
      <c r="I12" s="80">
        <f>60</f>
        <v>60</v>
      </c>
      <c r="J12" s="80">
        <f>22+12+48</f>
        <v>82</v>
      </c>
      <c r="K12" s="80">
        <v>0</v>
      </c>
      <c r="L12" s="300"/>
    </row>
    <row r="13" spans="1:12" ht="75" customHeight="1" x14ac:dyDescent="0.35">
      <c r="A13" s="408"/>
      <c r="B13" s="431"/>
      <c r="C13" s="432"/>
      <c r="D13" s="21" t="s">
        <v>35</v>
      </c>
      <c r="E13" s="238" t="s">
        <v>79</v>
      </c>
      <c r="F13" s="412"/>
      <c r="G13" s="412"/>
      <c r="H13" s="79">
        <f>I13+J13+K13</f>
        <v>200</v>
      </c>
      <c r="I13" s="80">
        <f>150+30</f>
        <v>180</v>
      </c>
      <c r="J13" s="80">
        <f>20</f>
        <v>20</v>
      </c>
      <c r="K13" s="80">
        <v>0</v>
      </c>
      <c r="L13" s="300"/>
    </row>
    <row r="14" spans="1:12" ht="75" customHeight="1" x14ac:dyDescent="0.35">
      <c r="A14" s="408"/>
      <c r="B14" s="431"/>
      <c r="C14" s="432" t="s">
        <v>463</v>
      </c>
      <c r="D14" s="405" t="s">
        <v>320</v>
      </c>
      <c r="E14" s="406"/>
      <c r="F14" s="406"/>
      <c r="G14" s="407"/>
      <c r="H14" s="79">
        <f>H15+H16</f>
        <v>7931.25</v>
      </c>
      <c r="I14" s="79">
        <f>I15+I16</f>
        <v>1577.81</v>
      </c>
      <c r="J14" s="79">
        <f>J15+J16</f>
        <v>3529.54</v>
      </c>
      <c r="K14" s="79">
        <f>K15+K16</f>
        <v>2823.8999999999996</v>
      </c>
      <c r="L14" s="300"/>
    </row>
    <row r="15" spans="1:12" ht="75" customHeight="1" x14ac:dyDescent="0.35">
      <c r="A15" s="408"/>
      <c r="B15" s="431"/>
      <c r="C15" s="432"/>
      <c r="D15" s="21" t="s">
        <v>35</v>
      </c>
      <c r="E15" s="238" t="s">
        <v>78</v>
      </c>
      <c r="F15" s="412" t="s">
        <v>421</v>
      </c>
      <c r="G15" s="412" t="s">
        <v>398</v>
      </c>
      <c r="H15" s="79">
        <f>I15+J15+K15</f>
        <v>4495.6400000000003</v>
      </c>
      <c r="I15" s="80">
        <v>919</v>
      </c>
      <c r="J15" s="80">
        <f>1425.3+138+200+300+24.04-50</f>
        <v>2037.3400000000001</v>
      </c>
      <c r="K15" s="80">
        <v>1539.3</v>
      </c>
      <c r="L15" s="300"/>
    </row>
    <row r="16" spans="1:12" ht="75" customHeight="1" x14ac:dyDescent="0.35">
      <c r="A16" s="408"/>
      <c r="B16" s="431"/>
      <c r="C16" s="432"/>
      <c r="D16" s="21" t="s">
        <v>35</v>
      </c>
      <c r="E16" s="238" t="s">
        <v>79</v>
      </c>
      <c r="F16" s="412"/>
      <c r="G16" s="412"/>
      <c r="H16" s="79">
        <f>I16+J16+K16</f>
        <v>3435.61</v>
      </c>
      <c r="I16" s="80">
        <f>753.5-43.38-51.31</f>
        <v>658.81</v>
      </c>
      <c r="J16" s="80">
        <f>1189.4+126.5+100+300-43.7-180</f>
        <v>1492.2</v>
      </c>
      <c r="K16" s="80">
        <v>1284.5999999999999</v>
      </c>
      <c r="L16" s="301"/>
    </row>
    <row r="17" spans="1:12" ht="75" customHeight="1" x14ac:dyDescent="0.35">
      <c r="A17" s="408"/>
      <c r="B17" s="431"/>
      <c r="C17" s="432" t="s">
        <v>207</v>
      </c>
      <c r="D17" s="405" t="s">
        <v>321</v>
      </c>
      <c r="E17" s="406"/>
      <c r="F17" s="406"/>
      <c r="G17" s="407"/>
      <c r="H17" s="84">
        <f>H18+H19</f>
        <v>3495.1</v>
      </c>
      <c r="I17" s="84">
        <f>I18+I19</f>
        <v>1081.8</v>
      </c>
      <c r="J17" s="84">
        <f>J18+J19</f>
        <v>1169.3</v>
      </c>
      <c r="K17" s="84">
        <f>K18+K19</f>
        <v>1244</v>
      </c>
      <c r="L17" s="323" t="s">
        <v>46</v>
      </c>
    </row>
    <row r="18" spans="1:12" ht="75" customHeight="1" x14ac:dyDescent="0.35">
      <c r="A18" s="408"/>
      <c r="B18" s="431"/>
      <c r="C18" s="432"/>
      <c r="D18" s="21" t="s">
        <v>35</v>
      </c>
      <c r="E18" s="238" t="s">
        <v>78</v>
      </c>
      <c r="F18" s="412" t="s">
        <v>421</v>
      </c>
      <c r="G18" s="412" t="s">
        <v>398</v>
      </c>
      <c r="H18" s="79">
        <f>I18+J18+K18</f>
        <v>1721.1</v>
      </c>
      <c r="I18" s="80">
        <v>532</v>
      </c>
      <c r="J18" s="80">
        <v>575.29999999999995</v>
      </c>
      <c r="K18" s="80">
        <v>613.79999999999995</v>
      </c>
      <c r="L18" s="323"/>
    </row>
    <row r="19" spans="1:12" ht="75" customHeight="1" x14ac:dyDescent="0.35">
      <c r="A19" s="408"/>
      <c r="B19" s="431"/>
      <c r="C19" s="432"/>
      <c r="D19" s="21" t="s">
        <v>35</v>
      </c>
      <c r="E19" s="185" t="s">
        <v>79</v>
      </c>
      <c r="F19" s="412"/>
      <c r="G19" s="412"/>
      <c r="H19" s="79">
        <f>I19+J19+K19</f>
        <v>1774</v>
      </c>
      <c r="I19" s="80">
        <v>549.79999999999995</v>
      </c>
      <c r="J19" s="80">
        <v>594</v>
      </c>
      <c r="K19" s="80">
        <v>630.20000000000005</v>
      </c>
      <c r="L19" s="323"/>
    </row>
    <row r="20" spans="1:12" ht="75" customHeight="1" x14ac:dyDescent="0.35">
      <c r="A20" s="408"/>
      <c r="B20" s="431"/>
      <c r="C20" s="299" t="s">
        <v>397</v>
      </c>
      <c r="D20" s="405" t="s">
        <v>396</v>
      </c>
      <c r="E20" s="406"/>
      <c r="F20" s="406"/>
      <c r="G20" s="407"/>
      <c r="H20" s="79">
        <f>H21+H22</f>
        <v>1522</v>
      </c>
      <c r="I20" s="79">
        <f>I21+I22</f>
        <v>0</v>
      </c>
      <c r="J20" s="79">
        <f>J21+J22</f>
        <v>813.80000000000007</v>
      </c>
      <c r="K20" s="79">
        <f>K21+K22</f>
        <v>708.2</v>
      </c>
      <c r="L20" s="239"/>
    </row>
    <row r="21" spans="1:12" ht="75" customHeight="1" x14ac:dyDescent="0.35">
      <c r="A21" s="408"/>
      <c r="B21" s="431"/>
      <c r="C21" s="300"/>
      <c r="D21" s="21" t="s">
        <v>35</v>
      </c>
      <c r="E21" s="238" t="s">
        <v>78</v>
      </c>
      <c r="F21" s="412" t="s">
        <v>421</v>
      </c>
      <c r="G21" s="412" t="s">
        <v>398</v>
      </c>
      <c r="H21" s="79">
        <f>I21+J21+K21</f>
        <v>251.29999999999998</v>
      </c>
      <c r="I21" s="80">
        <v>0</v>
      </c>
      <c r="J21" s="80">
        <v>121.6</v>
      </c>
      <c r="K21" s="80">
        <v>129.69999999999999</v>
      </c>
      <c r="L21" s="239"/>
    </row>
    <row r="22" spans="1:12" ht="112.5" customHeight="1" x14ac:dyDescent="0.35">
      <c r="A22" s="408"/>
      <c r="B22" s="431"/>
      <c r="C22" s="301"/>
      <c r="D22" s="21" t="s">
        <v>35</v>
      </c>
      <c r="E22" s="185" t="s">
        <v>79</v>
      </c>
      <c r="F22" s="412"/>
      <c r="G22" s="412"/>
      <c r="H22" s="79">
        <f>I22+J22+K22</f>
        <v>1270.7</v>
      </c>
      <c r="I22" s="80">
        <v>0</v>
      </c>
      <c r="J22" s="80">
        <v>692.2</v>
      </c>
      <c r="K22" s="80">
        <v>578.5</v>
      </c>
      <c r="L22" s="238"/>
    </row>
    <row r="23" spans="1:12" ht="112.5" customHeight="1" x14ac:dyDescent="0.35">
      <c r="A23" s="408"/>
      <c r="B23" s="431"/>
      <c r="C23" s="299" t="s">
        <v>419</v>
      </c>
      <c r="D23" s="401" t="s">
        <v>418</v>
      </c>
      <c r="E23" s="433"/>
      <c r="F23" s="433"/>
      <c r="G23" s="433"/>
      <c r="H23" s="79">
        <f>H24+H25</f>
        <v>101.3</v>
      </c>
      <c r="I23" s="80">
        <f>I24+I25</f>
        <v>0</v>
      </c>
      <c r="J23" s="79">
        <f>J24+J25</f>
        <v>101.3</v>
      </c>
      <c r="K23" s="80">
        <f t="shared" ref="K23" si="0">K24+K25</f>
        <v>0</v>
      </c>
      <c r="L23" s="239"/>
    </row>
    <row r="24" spans="1:12" ht="112.5" customHeight="1" x14ac:dyDescent="0.35">
      <c r="A24" s="408"/>
      <c r="B24" s="431"/>
      <c r="C24" s="300"/>
      <c r="D24" s="21" t="s">
        <v>35</v>
      </c>
      <c r="E24" s="238" t="s">
        <v>78</v>
      </c>
      <c r="F24" s="412" t="s">
        <v>421</v>
      </c>
      <c r="G24" s="412" t="s">
        <v>398</v>
      </c>
      <c r="H24" s="79">
        <f>I24+J24+K24</f>
        <v>48</v>
      </c>
      <c r="I24" s="86">
        <v>0</v>
      </c>
      <c r="J24" s="86">
        <v>48</v>
      </c>
      <c r="K24" s="86">
        <v>0</v>
      </c>
      <c r="L24" s="239"/>
    </row>
    <row r="25" spans="1:12" ht="112.5" customHeight="1" x14ac:dyDescent="0.35">
      <c r="A25" s="408"/>
      <c r="B25" s="431"/>
      <c r="C25" s="301"/>
      <c r="D25" s="21" t="s">
        <v>35</v>
      </c>
      <c r="E25" s="185" t="s">
        <v>79</v>
      </c>
      <c r="F25" s="412"/>
      <c r="G25" s="412"/>
      <c r="H25" s="79">
        <f>I25+J25+K25</f>
        <v>53.3</v>
      </c>
      <c r="I25" s="86">
        <v>0</v>
      </c>
      <c r="J25" s="86">
        <v>53.3</v>
      </c>
      <c r="K25" s="86">
        <v>0</v>
      </c>
      <c r="L25" s="239"/>
    </row>
    <row r="26" spans="1:12" s="113" customFormat="1" ht="75" customHeight="1" x14ac:dyDescent="0.25">
      <c r="A26" s="413"/>
      <c r="B26" s="414"/>
      <c r="C26" s="414"/>
      <c r="D26" s="414"/>
      <c r="E26" s="417" t="s">
        <v>252</v>
      </c>
      <c r="F26" s="418"/>
      <c r="G26" s="419"/>
      <c r="H26" s="84">
        <f>H27+H28</f>
        <v>13391.649999999998</v>
      </c>
      <c r="I26" s="84">
        <f>I11+I14+I17+I20+I23</f>
        <v>2899.6099999999997</v>
      </c>
      <c r="J26" s="84">
        <f>J11+J14+J17+J20+J23</f>
        <v>5715.9400000000005</v>
      </c>
      <c r="K26" s="84">
        <f t="shared" ref="I26:K28" si="1">K11+K14+K17+K20+K23</f>
        <v>4776.0999999999995</v>
      </c>
      <c r="L26" s="434"/>
    </row>
    <row r="27" spans="1:12" s="113" customFormat="1" ht="75" customHeight="1" x14ac:dyDescent="0.25">
      <c r="A27" s="415"/>
      <c r="B27" s="416"/>
      <c r="C27" s="416"/>
      <c r="D27" s="416"/>
      <c r="E27" s="238" t="s">
        <v>78</v>
      </c>
      <c r="F27" s="412" t="s">
        <v>421</v>
      </c>
      <c r="G27" s="335" t="s">
        <v>398</v>
      </c>
      <c r="H27" s="84">
        <f>I27+J27+K27</f>
        <v>6658.0399999999991</v>
      </c>
      <c r="I27" s="84">
        <f>I12+I15+I18+I21+I24</f>
        <v>1511</v>
      </c>
      <c r="J27" s="84">
        <f>J12+J15+J18+J21+J24</f>
        <v>2864.2400000000002</v>
      </c>
      <c r="K27" s="84">
        <f>K12+K15+K18+K21+K24</f>
        <v>2282.7999999999997</v>
      </c>
      <c r="L27" s="435"/>
    </row>
    <row r="28" spans="1:12" s="113" customFormat="1" ht="75" customHeight="1" x14ac:dyDescent="0.25">
      <c r="A28" s="415"/>
      <c r="B28" s="416"/>
      <c r="C28" s="416"/>
      <c r="D28" s="416"/>
      <c r="E28" s="186" t="s">
        <v>79</v>
      </c>
      <c r="F28" s="412"/>
      <c r="G28" s="336"/>
      <c r="H28" s="84">
        <f>I28+J28+K28</f>
        <v>6733.61</v>
      </c>
      <c r="I28" s="84">
        <f t="shared" si="1"/>
        <v>1388.61</v>
      </c>
      <c r="J28" s="84">
        <f>J13+J16+J19+J22+J25</f>
        <v>2851.7</v>
      </c>
      <c r="K28" s="84">
        <f>K13+K16+K19+K22+K25</f>
        <v>2493.3000000000002</v>
      </c>
      <c r="L28" s="435"/>
    </row>
    <row r="29" spans="1:12" s="113" customFormat="1" ht="75" customHeight="1" x14ac:dyDescent="0.25">
      <c r="A29" s="409" t="s">
        <v>210</v>
      </c>
      <c r="B29" s="302" t="s">
        <v>200</v>
      </c>
      <c r="C29" s="392" t="s">
        <v>208</v>
      </c>
      <c r="D29" s="405" t="s">
        <v>313</v>
      </c>
      <c r="E29" s="406"/>
      <c r="F29" s="406"/>
      <c r="G29" s="407"/>
      <c r="H29" s="84">
        <f>H30+H36+H38+H40+H37+H39</f>
        <v>79676.23</v>
      </c>
      <c r="I29" s="84">
        <f>I30+I36+I38+I40+I37+I39</f>
        <v>72386.53</v>
      </c>
      <c r="J29" s="84">
        <f>J30+J36+J38+J40+J37+J39</f>
        <v>7289.7</v>
      </c>
      <c r="K29" s="84">
        <f>K30+K36+K38+K40+K37+K39</f>
        <v>0</v>
      </c>
      <c r="L29" s="323" t="s">
        <v>314</v>
      </c>
    </row>
    <row r="30" spans="1:12" s="113" customFormat="1" ht="75" customHeight="1" x14ac:dyDescent="0.25">
      <c r="A30" s="410"/>
      <c r="B30" s="303"/>
      <c r="C30" s="393"/>
      <c r="D30" s="114" t="s">
        <v>96</v>
      </c>
      <c r="E30" s="115"/>
      <c r="F30" s="115"/>
      <c r="G30" s="205"/>
      <c r="H30" s="84">
        <f>SUM(H31:H35)</f>
        <v>33975.229999999996</v>
      </c>
      <c r="I30" s="84">
        <f>SUM(I31:I35)</f>
        <v>26822.03</v>
      </c>
      <c r="J30" s="84">
        <f>SUM(J31:J35)</f>
        <v>7153.2</v>
      </c>
      <c r="K30" s="84">
        <f>SUM(K31:K35)</f>
        <v>0</v>
      </c>
      <c r="L30" s="323"/>
    </row>
    <row r="31" spans="1:12" s="113" customFormat="1" ht="75" customHeight="1" x14ac:dyDescent="0.25">
      <c r="A31" s="410"/>
      <c r="B31" s="303"/>
      <c r="C31" s="393"/>
      <c r="D31" s="21" t="s">
        <v>28</v>
      </c>
      <c r="E31" s="238" t="s">
        <v>80</v>
      </c>
      <c r="F31" s="403" t="s">
        <v>421</v>
      </c>
      <c r="G31" s="335" t="s">
        <v>398</v>
      </c>
      <c r="H31" s="80">
        <f t="shared" ref="H31:H39" si="2">I31+J31+K31</f>
        <v>9343.23</v>
      </c>
      <c r="I31" s="80">
        <f>8727.9-76-1021.1-481.67</f>
        <v>7149.1299999999992</v>
      </c>
      <c r="J31" s="80">
        <f>497.1+1201+40+8+180+200+68</f>
        <v>2194.1</v>
      </c>
      <c r="K31" s="80">
        <v>0</v>
      </c>
      <c r="L31" s="323"/>
    </row>
    <row r="32" spans="1:12" s="113" customFormat="1" ht="75" customHeight="1" x14ac:dyDescent="0.25">
      <c r="A32" s="410"/>
      <c r="B32" s="303"/>
      <c r="C32" s="393"/>
      <c r="D32" s="21" t="s">
        <v>28</v>
      </c>
      <c r="E32" s="238" t="s">
        <v>74</v>
      </c>
      <c r="F32" s="404"/>
      <c r="G32" s="336"/>
      <c r="H32" s="80">
        <f>I32+J32+K32</f>
        <v>3098.9</v>
      </c>
      <c r="I32" s="80">
        <f>3419.9-800+45</f>
        <v>2664.9</v>
      </c>
      <c r="J32" s="80">
        <f>234+200</f>
        <v>434</v>
      </c>
      <c r="K32" s="80">
        <v>0</v>
      </c>
      <c r="L32" s="323"/>
    </row>
    <row r="33" spans="1:12" s="113" customFormat="1" ht="75" customHeight="1" x14ac:dyDescent="0.25">
      <c r="A33" s="410"/>
      <c r="B33" s="303"/>
      <c r="C33" s="393"/>
      <c r="D33" s="21" t="s">
        <v>28</v>
      </c>
      <c r="E33" s="238" t="s">
        <v>75</v>
      </c>
      <c r="F33" s="404"/>
      <c r="G33" s="336"/>
      <c r="H33" s="80">
        <f t="shared" si="2"/>
        <v>7561.2</v>
      </c>
      <c r="I33" s="80">
        <f>7232.7-41.5-500</f>
        <v>6691.2</v>
      </c>
      <c r="J33" s="80">
        <f>370+500</f>
        <v>870</v>
      </c>
      <c r="K33" s="80">
        <v>0</v>
      </c>
      <c r="L33" s="323"/>
    </row>
    <row r="34" spans="1:12" s="113" customFormat="1" ht="75" customHeight="1" x14ac:dyDescent="0.25">
      <c r="A34" s="410"/>
      <c r="B34" s="303"/>
      <c r="C34" s="393"/>
      <c r="D34" s="21" t="s">
        <v>28</v>
      </c>
      <c r="E34" s="238" t="s">
        <v>73</v>
      </c>
      <c r="F34" s="404"/>
      <c r="G34" s="336"/>
      <c r="H34" s="80">
        <f t="shared" si="2"/>
        <v>13771.9</v>
      </c>
      <c r="I34" s="80">
        <v>10316.799999999999</v>
      </c>
      <c r="J34" s="80">
        <f>1000+400+149.1+400+200+200+110+996</f>
        <v>3455.1</v>
      </c>
      <c r="K34" s="80">
        <v>0</v>
      </c>
      <c r="L34" s="323"/>
    </row>
    <row r="35" spans="1:12" s="113" customFormat="1" ht="80.25" customHeight="1" x14ac:dyDescent="0.25">
      <c r="A35" s="410"/>
      <c r="B35" s="303"/>
      <c r="C35" s="393"/>
      <c r="D35" s="21" t="s">
        <v>28</v>
      </c>
      <c r="E35" s="270" t="s">
        <v>440</v>
      </c>
      <c r="F35" s="404"/>
      <c r="G35" s="337"/>
      <c r="H35" s="80">
        <f>I35+J35+K35</f>
        <v>200</v>
      </c>
      <c r="I35" s="80">
        <v>0</v>
      </c>
      <c r="J35" s="80">
        <f>200</f>
        <v>200</v>
      </c>
      <c r="K35" s="80">
        <v>0</v>
      </c>
      <c r="L35" s="323"/>
    </row>
    <row r="36" spans="1:12" s="113" customFormat="1" ht="170.25" customHeight="1" x14ac:dyDescent="0.25">
      <c r="A36" s="410"/>
      <c r="B36" s="303"/>
      <c r="C36" s="393"/>
      <c r="D36" s="21" t="s">
        <v>28</v>
      </c>
      <c r="E36" s="238" t="s">
        <v>80</v>
      </c>
      <c r="F36" s="404"/>
      <c r="G36" s="335" t="s">
        <v>97</v>
      </c>
      <c r="H36" s="79">
        <f>I36+J36+K36</f>
        <v>144.6</v>
      </c>
      <c r="I36" s="79">
        <v>144.6</v>
      </c>
      <c r="J36" s="79">
        <v>0</v>
      </c>
      <c r="K36" s="79">
        <v>0</v>
      </c>
      <c r="L36" s="323"/>
    </row>
    <row r="37" spans="1:12" s="113" customFormat="1" ht="170.25" customHeight="1" x14ac:dyDescent="0.25">
      <c r="A37" s="410"/>
      <c r="B37" s="303"/>
      <c r="C37" s="393"/>
      <c r="D37" s="21" t="s">
        <v>28</v>
      </c>
      <c r="E37" s="238" t="s">
        <v>73</v>
      </c>
      <c r="F37" s="404"/>
      <c r="G37" s="337"/>
      <c r="H37" s="79">
        <f>I37+J37+K37</f>
        <v>150</v>
      </c>
      <c r="I37" s="79">
        <v>150</v>
      </c>
      <c r="J37" s="79">
        <v>0</v>
      </c>
      <c r="K37" s="79">
        <v>0</v>
      </c>
      <c r="L37" s="323"/>
    </row>
    <row r="38" spans="1:12" s="113" customFormat="1" ht="87.75" customHeight="1" x14ac:dyDescent="0.25">
      <c r="A38" s="410"/>
      <c r="B38" s="303"/>
      <c r="C38" s="393"/>
      <c r="D38" s="21" t="s">
        <v>28</v>
      </c>
      <c r="E38" s="238" t="s">
        <v>80</v>
      </c>
      <c r="F38" s="404"/>
      <c r="G38" s="402" t="s">
        <v>311</v>
      </c>
      <c r="H38" s="79">
        <f t="shared" si="2"/>
        <v>60</v>
      </c>
      <c r="I38" s="79">
        <v>60</v>
      </c>
      <c r="J38" s="79">
        <v>0</v>
      </c>
      <c r="K38" s="79">
        <v>0</v>
      </c>
      <c r="L38" s="323"/>
    </row>
    <row r="39" spans="1:12" s="113" customFormat="1" ht="87.75" customHeight="1" x14ac:dyDescent="0.25">
      <c r="A39" s="410"/>
      <c r="B39" s="303"/>
      <c r="C39" s="393"/>
      <c r="D39" s="21" t="s">
        <v>28</v>
      </c>
      <c r="E39" s="198" t="s">
        <v>440</v>
      </c>
      <c r="F39" s="404"/>
      <c r="G39" s="402"/>
      <c r="H39" s="79">
        <f t="shared" si="2"/>
        <v>136.5</v>
      </c>
      <c r="I39" s="79">
        <v>0</v>
      </c>
      <c r="J39" s="79">
        <f>15+35.8+26+6.3+7.5+11+6.4+17+11.5</f>
        <v>136.5</v>
      </c>
      <c r="K39" s="79">
        <v>0</v>
      </c>
      <c r="L39" s="323"/>
    </row>
    <row r="40" spans="1:12" s="113" customFormat="1" ht="75" customHeight="1" x14ac:dyDescent="0.25">
      <c r="A40" s="410"/>
      <c r="B40" s="303"/>
      <c r="C40" s="393"/>
      <c r="D40" s="400" t="s">
        <v>96</v>
      </c>
      <c r="E40" s="401"/>
      <c r="F40" s="404"/>
      <c r="G40" s="402" t="s">
        <v>94</v>
      </c>
      <c r="H40" s="79">
        <f>SUM(H41:H44)</f>
        <v>45209.9</v>
      </c>
      <c r="I40" s="79">
        <f>SUM(I41:I44)</f>
        <v>45209.9</v>
      </c>
      <c r="J40" s="79">
        <f>SUM(J41:J44)</f>
        <v>0</v>
      </c>
      <c r="K40" s="79">
        <f>SUM(K41:K44)</f>
        <v>0</v>
      </c>
      <c r="L40" s="323"/>
    </row>
    <row r="41" spans="1:12" s="113" customFormat="1" ht="75" customHeight="1" x14ac:dyDescent="0.25">
      <c r="A41" s="410"/>
      <c r="B41" s="303"/>
      <c r="C41" s="393"/>
      <c r="D41" s="21" t="s">
        <v>28</v>
      </c>
      <c r="E41" s="238" t="s">
        <v>80</v>
      </c>
      <c r="F41" s="404"/>
      <c r="G41" s="424"/>
      <c r="H41" s="80">
        <f>I41+J41+K41</f>
        <v>12485.6</v>
      </c>
      <c r="I41" s="80">
        <v>12485.6</v>
      </c>
      <c r="J41" s="80">
        <v>0</v>
      </c>
      <c r="K41" s="80">
        <v>0</v>
      </c>
      <c r="L41" s="323"/>
    </row>
    <row r="42" spans="1:12" s="113" customFormat="1" ht="75" customHeight="1" x14ac:dyDescent="0.25">
      <c r="A42" s="410"/>
      <c r="B42" s="303"/>
      <c r="C42" s="393"/>
      <c r="D42" s="21" t="s">
        <v>28</v>
      </c>
      <c r="E42" s="238" t="s">
        <v>74</v>
      </c>
      <c r="F42" s="404"/>
      <c r="G42" s="424"/>
      <c r="H42" s="80">
        <f>I42+J42+K42</f>
        <v>8160.1</v>
      </c>
      <c r="I42" s="80">
        <v>8160.1</v>
      </c>
      <c r="J42" s="80">
        <v>0</v>
      </c>
      <c r="K42" s="80">
        <v>0</v>
      </c>
      <c r="L42" s="323"/>
    </row>
    <row r="43" spans="1:12" s="113" customFormat="1" ht="75" customHeight="1" x14ac:dyDescent="0.25">
      <c r="A43" s="410"/>
      <c r="B43" s="303"/>
      <c r="C43" s="393"/>
      <c r="D43" s="21" t="s">
        <v>28</v>
      </c>
      <c r="E43" s="238" t="s">
        <v>75</v>
      </c>
      <c r="F43" s="404"/>
      <c r="G43" s="424"/>
      <c r="H43" s="80">
        <f>I43+J43+K43</f>
        <v>12866.2</v>
      </c>
      <c r="I43" s="80">
        <v>12866.2</v>
      </c>
      <c r="J43" s="80">
        <v>0</v>
      </c>
      <c r="K43" s="80">
        <v>0</v>
      </c>
      <c r="L43" s="323"/>
    </row>
    <row r="44" spans="1:12" s="113" customFormat="1" ht="75" customHeight="1" x14ac:dyDescent="0.25">
      <c r="A44" s="410"/>
      <c r="B44" s="303"/>
      <c r="C44" s="393"/>
      <c r="D44" s="21" t="s">
        <v>28</v>
      </c>
      <c r="E44" s="238" t="s">
        <v>73</v>
      </c>
      <c r="F44" s="404"/>
      <c r="G44" s="424"/>
      <c r="H44" s="80">
        <f>I44+J44+K44</f>
        <v>11698</v>
      </c>
      <c r="I44" s="80">
        <f>11848-150</f>
        <v>11698</v>
      </c>
      <c r="J44" s="80">
        <v>0</v>
      </c>
      <c r="K44" s="80">
        <v>0</v>
      </c>
      <c r="L44" s="323"/>
    </row>
    <row r="45" spans="1:12" s="116" customFormat="1" ht="75" customHeight="1" x14ac:dyDescent="0.25">
      <c r="A45" s="410"/>
      <c r="B45" s="303"/>
      <c r="C45" s="397" t="s">
        <v>211</v>
      </c>
      <c r="D45" s="405" t="s">
        <v>322</v>
      </c>
      <c r="E45" s="406"/>
      <c r="F45" s="406"/>
      <c r="G45" s="407"/>
      <c r="H45" s="79">
        <f>SUM(H46:H50)</f>
        <v>65576.702000000005</v>
      </c>
      <c r="I45" s="79">
        <f>SUM(I46:I50)</f>
        <v>18275.899999999998</v>
      </c>
      <c r="J45" s="79">
        <f>SUM(J46:J50)</f>
        <v>28310.67</v>
      </c>
      <c r="K45" s="79">
        <f t="shared" ref="K45" si="3">SUM(K46:K50)</f>
        <v>18990.131999999998</v>
      </c>
      <c r="L45" s="299" t="s">
        <v>245</v>
      </c>
    </row>
    <row r="46" spans="1:12" ht="75" customHeight="1" x14ac:dyDescent="0.35">
      <c r="A46" s="410"/>
      <c r="B46" s="303"/>
      <c r="C46" s="398"/>
      <c r="D46" s="21" t="s">
        <v>28</v>
      </c>
      <c r="E46" s="184" t="s">
        <v>80</v>
      </c>
      <c r="F46" s="412" t="s">
        <v>421</v>
      </c>
      <c r="G46" s="412" t="s">
        <v>398</v>
      </c>
      <c r="H46" s="80">
        <f>I46+J46+K46</f>
        <v>13062.04</v>
      </c>
      <c r="I46" s="80">
        <v>3629.9</v>
      </c>
      <c r="J46" s="80">
        <f>3526.9+900.74+200+423.2+128.8+443.5</f>
        <v>5623.14</v>
      </c>
      <c r="K46" s="80">
        <v>3809</v>
      </c>
      <c r="L46" s="300"/>
    </row>
    <row r="47" spans="1:12" ht="75" customHeight="1" x14ac:dyDescent="0.35">
      <c r="A47" s="410"/>
      <c r="B47" s="303"/>
      <c r="C47" s="398"/>
      <c r="D47" s="21" t="s">
        <v>28</v>
      </c>
      <c r="E47" s="184" t="s">
        <v>74</v>
      </c>
      <c r="F47" s="412"/>
      <c r="G47" s="412"/>
      <c r="H47" s="80">
        <f>I47+J47+K47</f>
        <v>14812.69</v>
      </c>
      <c r="I47" s="80">
        <v>4524.8999999999996</v>
      </c>
      <c r="J47" s="80">
        <f>4268.5+448.72+431.3+629.27-100</f>
        <v>5677.7900000000009</v>
      </c>
      <c r="K47" s="80">
        <v>4610</v>
      </c>
      <c r="L47" s="300"/>
    </row>
    <row r="48" spans="1:12" s="113" customFormat="1" ht="75" customHeight="1" x14ac:dyDescent="0.25">
      <c r="A48" s="410"/>
      <c r="B48" s="303"/>
      <c r="C48" s="398"/>
      <c r="D48" s="21" t="s">
        <v>28</v>
      </c>
      <c r="E48" s="184" t="s">
        <v>75</v>
      </c>
      <c r="F48" s="412"/>
      <c r="G48" s="412"/>
      <c r="H48" s="80">
        <f>I48+J48+K48</f>
        <v>20607.259999999998</v>
      </c>
      <c r="I48" s="80">
        <f>5671.7+326.2+422.4-412.1</f>
        <v>6008.1999999999989</v>
      </c>
      <c r="J48" s="80">
        <f>5448.05+1202.47+600+663+406+395.64</f>
        <v>8715.16</v>
      </c>
      <c r="K48" s="80">
        <v>5883.9</v>
      </c>
      <c r="L48" s="300"/>
    </row>
    <row r="49" spans="1:12" s="113" customFormat="1" ht="75" customHeight="1" x14ac:dyDescent="0.25">
      <c r="A49" s="410"/>
      <c r="B49" s="303"/>
      <c r="C49" s="398"/>
      <c r="D49" s="21" t="s">
        <v>28</v>
      </c>
      <c r="E49" s="184" t="s">
        <v>73</v>
      </c>
      <c r="F49" s="412"/>
      <c r="G49" s="412"/>
      <c r="H49" s="80">
        <f>I49+J49+K49</f>
        <v>15094.162</v>
      </c>
      <c r="I49" s="80">
        <v>4112.8999999999996</v>
      </c>
      <c r="J49" s="80">
        <f>4340.03+830+400+509.5+268.5-54</f>
        <v>6294.03</v>
      </c>
      <c r="K49" s="80">
        <v>4687.232</v>
      </c>
      <c r="L49" s="300"/>
    </row>
    <row r="50" spans="1:12" s="113" customFormat="1" ht="75" customHeight="1" x14ac:dyDescent="0.25">
      <c r="A50" s="410"/>
      <c r="B50" s="303"/>
      <c r="C50" s="399"/>
      <c r="D50" s="21" t="s">
        <v>28</v>
      </c>
      <c r="E50" s="198" t="s">
        <v>440</v>
      </c>
      <c r="F50" s="412"/>
      <c r="G50" s="412"/>
      <c r="H50" s="80">
        <f>I50+J50+K50</f>
        <v>2000.5499999999997</v>
      </c>
      <c r="I50" s="80">
        <v>0</v>
      </c>
      <c r="J50" s="80">
        <f>1517.85+1462.05+273-1252.35</f>
        <v>2000.5499999999997</v>
      </c>
      <c r="K50" s="80">
        <v>0</v>
      </c>
      <c r="L50" s="301"/>
    </row>
    <row r="51" spans="1:12" s="113" customFormat="1" ht="75" customHeight="1" x14ac:dyDescent="0.25">
      <c r="A51" s="410"/>
      <c r="B51" s="303"/>
      <c r="C51" s="394" t="s">
        <v>253</v>
      </c>
      <c r="D51" s="405" t="s">
        <v>323</v>
      </c>
      <c r="E51" s="406"/>
      <c r="F51" s="406"/>
      <c r="G51" s="407"/>
      <c r="H51" s="79">
        <f>SUM(H52:H57)</f>
        <v>9972.6550000000007</v>
      </c>
      <c r="I51" s="79">
        <f>SUM(I52:I57)</f>
        <v>4584.2129999999997</v>
      </c>
      <c r="J51" s="79">
        <f t="shared" ref="J51:K51" si="4">SUM(J52:J57)</f>
        <v>2606.9</v>
      </c>
      <c r="K51" s="79">
        <f t="shared" si="4"/>
        <v>2781.5419999999999</v>
      </c>
      <c r="L51" s="299" t="s">
        <v>246</v>
      </c>
    </row>
    <row r="52" spans="1:12" ht="75" customHeight="1" x14ac:dyDescent="0.35">
      <c r="A52" s="410"/>
      <c r="B52" s="303"/>
      <c r="C52" s="395"/>
      <c r="D52" s="454" t="s">
        <v>28</v>
      </c>
      <c r="E52" s="323" t="s">
        <v>80</v>
      </c>
      <c r="F52" s="296" t="s">
        <v>421</v>
      </c>
      <c r="G52" s="251" t="s">
        <v>398</v>
      </c>
      <c r="H52" s="79">
        <f t="shared" ref="H52:H60" si="5">I52+J52+K52</f>
        <v>2156</v>
      </c>
      <c r="I52" s="80">
        <f>1060.5</f>
        <v>1060.5</v>
      </c>
      <c r="J52" s="80">
        <v>530</v>
      </c>
      <c r="K52" s="80">
        <v>565.5</v>
      </c>
      <c r="L52" s="300"/>
    </row>
    <row r="53" spans="1:12" ht="172.5" customHeight="1" x14ac:dyDescent="0.35">
      <c r="A53" s="410"/>
      <c r="B53" s="303"/>
      <c r="C53" s="395"/>
      <c r="D53" s="454"/>
      <c r="E53" s="323"/>
      <c r="F53" s="297"/>
      <c r="G53" s="251" t="s">
        <v>97</v>
      </c>
      <c r="H53" s="79">
        <f t="shared" si="5"/>
        <v>2.6</v>
      </c>
      <c r="I53" s="80">
        <v>2.6</v>
      </c>
      <c r="J53" s="80">
        <v>0</v>
      </c>
      <c r="K53" s="80">
        <v>0</v>
      </c>
      <c r="L53" s="300"/>
    </row>
    <row r="54" spans="1:12" s="113" customFormat="1" ht="75" customHeight="1" x14ac:dyDescent="0.25">
      <c r="A54" s="410"/>
      <c r="B54" s="303"/>
      <c r="C54" s="395"/>
      <c r="D54" s="21" t="s">
        <v>28</v>
      </c>
      <c r="E54" s="238" t="s">
        <v>74</v>
      </c>
      <c r="F54" s="297"/>
      <c r="G54" s="335" t="s">
        <v>398</v>
      </c>
      <c r="H54" s="79">
        <f t="shared" si="5"/>
        <v>1349.4</v>
      </c>
      <c r="I54" s="80">
        <v>667.3</v>
      </c>
      <c r="J54" s="80">
        <v>330</v>
      </c>
      <c r="K54" s="80">
        <v>352.1</v>
      </c>
      <c r="L54" s="300"/>
    </row>
    <row r="55" spans="1:12" s="113" customFormat="1" ht="75" customHeight="1" x14ac:dyDescent="0.25">
      <c r="A55" s="410"/>
      <c r="B55" s="303"/>
      <c r="C55" s="395"/>
      <c r="D55" s="21" t="s">
        <v>28</v>
      </c>
      <c r="E55" s="238" t="s">
        <v>75</v>
      </c>
      <c r="F55" s="297"/>
      <c r="G55" s="336"/>
      <c r="H55" s="79">
        <f t="shared" si="5"/>
        <v>2322.19</v>
      </c>
      <c r="I55" s="80">
        <v>1144</v>
      </c>
      <c r="J55" s="80">
        <v>570</v>
      </c>
      <c r="K55" s="80">
        <v>608.19000000000005</v>
      </c>
      <c r="L55" s="300"/>
    </row>
    <row r="56" spans="1:12" s="113" customFormat="1" ht="75" customHeight="1" x14ac:dyDescent="0.25">
      <c r="A56" s="410"/>
      <c r="B56" s="303"/>
      <c r="C56" s="395"/>
      <c r="D56" s="21" t="s">
        <v>28</v>
      </c>
      <c r="E56" s="238" t="s">
        <v>73</v>
      </c>
      <c r="F56" s="297"/>
      <c r="G56" s="336"/>
      <c r="H56" s="79">
        <f t="shared" si="5"/>
        <v>4142.4650000000001</v>
      </c>
      <c r="I56" s="80">
        <f>2748.919-253.468-420-365.638</f>
        <v>1709.8130000000001</v>
      </c>
      <c r="J56" s="80">
        <v>1176.9000000000001</v>
      </c>
      <c r="K56" s="80">
        <v>1255.752</v>
      </c>
      <c r="L56" s="300"/>
    </row>
    <row r="57" spans="1:12" s="113" customFormat="1" ht="189.75" hidden="1" customHeight="1" x14ac:dyDescent="0.25">
      <c r="A57" s="410"/>
      <c r="B57" s="303"/>
      <c r="C57" s="396"/>
      <c r="D57" s="21" t="s">
        <v>28</v>
      </c>
      <c r="E57" s="198" t="s">
        <v>440</v>
      </c>
      <c r="F57" s="298"/>
      <c r="G57" s="337"/>
      <c r="H57" s="79">
        <f>I57+J57+K57</f>
        <v>0</v>
      </c>
      <c r="I57" s="80"/>
      <c r="J57" s="80"/>
      <c r="K57" s="80"/>
      <c r="L57" s="301"/>
    </row>
    <row r="58" spans="1:12" ht="108" customHeight="1" x14ac:dyDescent="0.35">
      <c r="A58" s="410"/>
      <c r="B58" s="303"/>
      <c r="C58" s="270" t="s">
        <v>247</v>
      </c>
      <c r="D58" s="260" t="s">
        <v>28</v>
      </c>
      <c r="E58" s="238" t="s">
        <v>80</v>
      </c>
      <c r="F58" s="251" t="s">
        <v>421</v>
      </c>
      <c r="G58" s="251" t="s">
        <v>398</v>
      </c>
      <c r="H58" s="79">
        <f t="shared" si="5"/>
        <v>1307.3</v>
      </c>
      <c r="I58" s="80">
        <v>690</v>
      </c>
      <c r="J58" s="80">
        <v>300</v>
      </c>
      <c r="K58" s="80">
        <v>317.3</v>
      </c>
      <c r="L58" s="267" t="s">
        <v>57</v>
      </c>
    </row>
    <row r="59" spans="1:12" ht="312.75" customHeight="1" x14ac:dyDescent="0.35">
      <c r="A59" s="410"/>
      <c r="B59" s="303"/>
      <c r="C59" s="270" t="s">
        <v>316</v>
      </c>
      <c r="D59" s="260" t="s">
        <v>28</v>
      </c>
      <c r="E59" s="238" t="s">
        <v>80</v>
      </c>
      <c r="F59" s="251" t="s">
        <v>421</v>
      </c>
      <c r="G59" s="251" t="s">
        <v>398</v>
      </c>
      <c r="H59" s="79">
        <f t="shared" si="5"/>
        <v>1200</v>
      </c>
      <c r="I59" s="80">
        <v>1200</v>
      </c>
      <c r="J59" s="80"/>
      <c r="K59" s="80">
        <f>J59*1.051</f>
        <v>0</v>
      </c>
      <c r="L59" s="267" t="s">
        <v>58</v>
      </c>
    </row>
    <row r="60" spans="1:12" ht="156.75" customHeight="1" x14ac:dyDescent="0.35">
      <c r="A60" s="410"/>
      <c r="B60" s="303"/>
      <c r="C60" s="270" t="s">
        <v>317</v>
      </c>
      <c r="D60" s="260" t="s">
        <v>28</v>
      </c>
      <c r="E60" s="238" t="s">
        <v>80</v>
      </c>
      <c r="F60" s="251" t="s">
        <v>421</v>
      </c>
      <c r="G60" s="251" t="s">
        <v>398</v>
      </c>
      <c r="H60" s="79">
        <f t="shared" si="5"/>
        <v>1300</v>
      </c>
      <c r="I60" s="80">
        <v>1000</v>
      </c>
      <c r="J60" s="80">
        <v>300</v>
      </c>
      <c r="K60" s="80"/>
      <c r="L60" s="267" t="s">
        <v>60</v>
      </c>
    </row>
    <row r="61" spans="1:12" ht="75" customHeight="1" x14ac:dyDescent="0.35">
      <c r="A61" s="410"/>
      <c r="B61" s="303"/>
      <c r="C61" s="420" t="s">
        <v>324</v>
      </c>
      <c r="D61" s="315" t="s">
        <v>325</v>
      </c>
      <c r="E61" s="315"/>
      <c r="F61" s="315"/>
      <c r="G61" s="315"/>
      <c r="H61" s="79">
        <f>H62+H63</f>
        <v>3883</v>
      </c>
      <c r="I61" s="79">
        <f>I62+I63</f>
        <v>3883</v>
      </c>
      <c r="J61" s="79">
        <f>J62+J63</f>
        <v>0</v>
      </c>
      <c r="K61" s="79">
        <f>K62+K63</f>
        <v>0</v>
      </c>
      <c r="L61" s="238"/>
    </row>
    <row r="62" spans="1:12" ht="178.5" customHeight="1" x14ac:dyDescent="0.35">
      <c r="A62" s="410"/>
      <c r="B62" s="303"/>
      <c r="C62" s="420"/>
      <c r="D62" s="422" t="s">
        <v>28</v>
      </c>
      <c r="E62" s="300" t="s">
        <v>75</v>
      </c>
      <c r="F62" s="297" t="s">
        <v>421</v>
      </c>
      <c r="G62" s="236" t="s">
        <v>97</v>
      </c>
      <c r="H62" s="79">
        <f>I62+J62+K62</f>
        <v>2680.3</v>
      </c>
      <c r="I62" s="80">
        <v>2680.3</v>
      </c>
      <c r="J62" s="80">
        <v>0</v>
      </c>
      <c r="K62" s="80">
        <v>0</v>
      </c>
      <c r="L62" s="391" t="s">
        <v>330</v>
      </c>
    </row>
    <row r="63" spans="1:12" ht="75" customHeight="1" x14ac:dyDescent="0.35">
      <c r="A63" s="410"/>
      <c r="B63" s="303"/>
      <c r="C63" s="420"/>
      <c r="D63" s="423"/>
      <c r="E63" s="301"/>
      <c r="F63" s="298"/>
      <c r="G63" s="251" t="s">
        <v>398</v>
      </c>
      <c r="H63" s="79">
        <f>I63+J63+K63</f>
        <v>1202.7</v>
      </c>
      <c r="I63" s="80">
        <v>1202.7</v>
      </c>
      <c r="J63" s="80">
        <v>0</v>
      </c>
      <c r="K63" s="80">
        <f>J63*1.051</f>
        <v>0</v>
      </c>
      <c r="L63" s="391"/>
    </row>
    <row r="64" spans="1:12" ht="75" customHeight="1" x14ac:dyDescent="0.35">
      <c r="A64" s="410"/>
      <c r="B64" s="303"/>
      <c r="C64" s="421" t="s">
        <v>326</v>
      </c>
      <c r="D64" s="315" t="s">
        <v>327</v>
      </c>
      <c r="E64" s="315"/>
      <c r="F64" s="315"/>
      <c r="G64" s="315"/>
      <c r="H64" s="79">
        <f>H65+H66+H67</f>
        <v>850</v>
      </c>
      <c r="I64" s="79">
        <f>I65+I66+I67</f>
        <v>850</v>
      </c>
      <c r="J64" s="79">
        <f>J65+J66+J67</f>
        <v>0</v>
      </c>
      <c r="K64" s="79">
        <f>K65+K66+K67</f>
        <v>0</v>
      </c>
      <c r="L64" s="323" t="s">
        <v>65</v>
      </c>
    </row>
    <row r="65" spans="1:12" ht="102" customHeight="1" x14ac:dyDescent="0.35">
      <c r="A65" s="410"/>
      <c r="B65" s="303"/>
      <c r="C65" s="421"/>
      <c r="D65" s="21" t="s">
        <v>28</v>
      </c>
      <c r="E65" s="238" t="s">
        <v>80</v>
      </c>
      <c r="F65" s="335" t="s">
        <v>421</v>
      </c>
      <c r="G65" s="412" t="s">
        <v>53</v>
      </c>
      <c r="H65" s="79">
        <f>I65+J65+K65</f>
        <v>400</v>
      </c>
      <c r="I65" s="80">
        <v>400</v>
      </c>
      <c r="J65" s="80">
        <v>0</v>
      </c>
      <c r="K65" s="80">
        <v>0</v>
      </c>
      <c r="L65" s="390"/>
    </row>
    <row r="66" spans="1:12" ht="93.75" customHeight="1" x14ac:dyDescent="0.35">
      <c r="A66" s="410"/>
      <c r="B66" s="303"/>
      <c r="C66" s="421"/>
      <c r="D66" s="21" t="s">
        <v>28</v>
      </c>
      <c r="E66" s="238" t="s">
        <v>74</v>
      </c>
      <c r="F66" s="336"/>
      <c r="G66" s="424"/>
      <c r="H66" s="79">
        <f>I66+J66+K66</f>
        <v>150</v>
      </c>
      <c r="I66" s="80">
        <v>150</v>
      </c>
      <c r="J66" s="80">
        <v>0</v>
      </c>
      <c r="K66" s="80">
        <v>0</v>
      </c>
      <c r="L66" s="390"/>
    </row>
    <row r="67" spans="1:12" ht="75" customHeight="1" x14ac:dyDescent="0.35">
      <c r="A67" s="410"/>
      <c r="B67" s="303"/>
      <c r="C67" s="421"/>
      <c r="D67" s="21" t="s">
        <v>28</v>
      </c>
      <c r="E67" s="238" t="s">
        <v>75</v>
      </c>
      <c r="F67" s="337"/>
      <c r="G67" s="424"/>
      <c r="H67" s="79">
        <f>I67+J67+K67</f>
        <v>300</v>
      </c>
      <c r="I67" s="80">
        <v>300</v>
      </c>
      <c r="J67" s="80">
        <v>0</v>
      </c>
      <c r="K67" s="80">
        <v>0</v>
      </c>
      <c r="L67" s="390"/>
    </row>
    <row r="68" spans="1:12" s="113" customFormat="1" ht="75" customHeight="1" x14ac:dyDescent="0.25">
      <c r="A68" s="410"/>
      <c r="B68" s="303"/>
      <c r="C68" s="428" t="s">
        <v>212</v>
      </c>
      <c r="D68" s="315" t="s">
        <v>328</v>
      </c>
      <c r="E68" s="315"/>
      <c r="F68" s="315"/>
      <c r="G68" s="315"/>
      <c r="H68" s="79">
        <f>SUM(H69:H73)</f>
        <v>5425.6880000000001</v>
      </c>
      <c r="I68" s="79">
        <f>SUM(I69:I73)</f>
        <v>2536.1000000000004</v>
      </c>
      <c r="J68" s="79">
        <f t="shared" ref="J68:K68" si="6">SUM(J69:J73)</f>
        <v>1402.1000000000001</v>
      </c>
      <c r="K68" s="79">
        <f t="shared" si="6"/>
        <v>1487.4879999999998</v>
      </c>
      <c r="L68" s="323" t="s">
        <v>61</v>
      </c>
    </row>
    <row r="69" spans="1:12" s="113" customFormat="1" ht="75" customHeight="1" x14ac:dyDescent="0.25">
      <c r="A69" s="410"/>
      <c r="B69" s="303"/>
      <c r="C69" s="429"/>
      <c r="D69" s="21" t="s">
        <v>28</v>
      </c>
      <c r="E69" s="238" t="s">
        <v>80</v>
      </c>
      <c r="F69" s="335" t="s">
        <v>421</v>
      </c>
      <c r="G69" s="335" t="s">
        <v>398</v>
      </c>
      <c r="H69" s="79">
        <f t="shared" ref="H69:H78" si="7">I69+J69+K69</f>
        <v>764.6</v>
      </c>
      <c r="I69" s="80">
        <v>324.10000000000002</v>
      </c>
      <c r="J69" s="80">
        <v>213.1</v>
      </c>
      <c r="K69" s="80">
        <v>227.4</v>
      </c>
      <c r="L69" s="390"/>
    </row>
    <row r="70" spans="1:12" s="113" customFormat="1" ht="75" customHeight="1" x14ac:dyDescent="0.25">
      <c r="A70" s="410"/>
      <c r="B70" s="303"/>
      <c r="C70" s="429"/>
      <c r="D70" s="21" t="s">
        <v>28</v>
      </c>
      <c r="E70" s="238" t="s">
        <v>74</v>
      </c>
      <c r="F70" s="336"/>
      <c r="G70" s="336"/>
      <c r="H70" s="79">
        <f t="shared" si="7"/>
        <v>302.98</v>
      </c>
      <c r="I70" s="80">
        <v>125.3</v>
      </c>
      <c r="J70" s="80">
        <v>85.78</v>
      </c>
      <c r="K70" s="80">
        <v>91.9</v>
      </c>
      <c r="L70" s="390"/>
    </row>
    <row r="71" spans="1:12" s="113" customFormat="1" ht="75" customHeight="1" x14ac:dyDescent="0.25">
      <c r="A71" s="410"/>
      <c r="B71" s="303"/>
      <c r="C71" s="429"/>
      <c r="D71" s="21" t="s">
        <v>28</v>
      </c>
      <c r="E71" s="238" t="s">
        <v>75</v>
      </c>
      <c r="F71" s="336"/>
      <c r="G71" s="336"/>
      <c r="H71" s="79">
        <f t="shared" si="7"/>
        <v>3348.27</v>
      </c>
      <c r="I71" s="80">
        <v>1528</v>
      </c>
      <c r="J71" s="80">
        <v>878.52</v>
      </c>
      <c r="K71" s="80">
        <v>941.75</v>
      </c>
      <c r="L71" s="390"/>
    </row>
    <row r="72" spans="1:12" s="113" customFormat="1" ht="75" customHeight="1" x14ac:dyDescent="0.25">
      <c r="A72" s="410"/>
      <c r="B72" s="303"/>
      <c r="C72" s="429"/>
      <c r="D72" s="21" t="s">
        <v>28</v>
      </c>
      <c r="E72" s="238" t="s">
        <v>73</v>
      </c>
      <c r="F72" s="336"/>
      <c r="G72" s="336"/>
      <c r="H72" s="79">
        <f t="shared" si="7"/>
        <v>1009.8380000000001</v>
      </c>
      <c r="I72" s="80">
        <v>558.70000000000005</v>
      </c>
      <c r="J72" s="80">
        <f>211.4+13.3</f>
        <v>224.70000000000002</v>
      </c>
      <c r="K72" s="80">
        <v>226.43799999999999</v>
      </c>
      <c r="L72" s="390"/>
    </row>
    <row r="73" spans="1:12" s="113" customFormat="1" ht="189.75" hidden="1" customHeight="1" x14ac:dyDescent="0.45">
      <c r="A73" s="410"/>
      <c r="B73" s="303"/>
      <c r="C73" s="430"/>
      <c r="D73" s="21" t="s">
        <v>28</v>
      </c>
      <c r="E73" s="198" t="s">
        <v>440</v>
      </c>
      <c r="F73" s="337"/>
      <c r="G73" s="337"/>
      <c r="H73" s="79"/>
      <c r="I73" s="80"/>
      <c r="J73" s="80"/>
      <c r="K73" s="80"/>
      <c r="L73" s="262"/>
    </row>
    <row r="74" spans="1:12" ht="306.75" customHeight="1" x14ac:dyDescent="0.35">
      <c r="A74" s="410"/>
      <c r="B74" s="303"/>
      <c r="C74" s="205" t="s">
        <v>213</v>
      </c>
      <c r="D74" s="260" t="s">
        <v>32</v>
      </c>
      <c r="E74" s="238" t="s">
        <v>74</v>
      </c>
      <c r="F74" s="251" t="s">
        <v>421</v>
      </c>
      <c r="G74" s="251" t="s">
        <v>399</v>
      </c>
      <c r="H74" s="79">
        <f t="shared" si="7"/>
        <v>5834</v>
      </c>
      <c r="I74" s="80">
        <f>2500-800</f>
        <v>1700</v>
      </c>
      <c r="J74" s="80">
        <v>2000</v>
      </c>
      <c r="K74" s="85">
        <v>2134</v>
      </c>
      <c r="L74" s="267" t="s">
        <v>329</v>
      </c>
    </row>
    <row r="75" spans="1:12" ht="158.25" customHeight="1" x14ac:dyDescent="0.35">
      <c r="A75" s="410"/>
      <c r="B75" s="303"/>
      <c r="C75" s="205" t="s">
        <v>384</v>
      </c>
      <c r="D75" s="260" t="s">
        <v>383</v>
      </c>
      <c r="E75" s="238" t="s">
        <v>385</v>
      </c>
      <c r="F75" s="251" t="s">
        <v>421</v>
      </c>
      <c r="G75" s="251" t="s">
        <v>399</v>
      </c>
      <c r="H75" s="79">
        <f t="shared" si="7"/>
        <v>3000</v>
      </c>
      <c r="I75" s="80">
        <v>3000</v>
      </c>
      <c r="J75" s="80">
        <v>0</v>
      </c>
      <c r="K75" s="85">
        <v>0</v>
      </c>
      <c r="L75" s="267" t="s">
        <v>386</v>
      </c>
    </row>
    <row r="76" spans="1:12" ht="203.25" customHeight="1" x14ac:dyDescent="0.35">
      <c r="A76" s="410"/>
      <c r="B76" s="303"/>
      <c r="C76" s="205" t="s">
        <v>447</v>
      </c>
      <c r="D76" s="260" t="s">
        <v>383</v>
      </c>
      <c r="E76" s="238" t="s">
        <v>446</v>
      </c>
      <c r="F76" s="251" t="s">
        <v>421</v>
      </c>
      <c r="G76" s="251" t="s">
        <v>399</v>
      </c>
      <c r="H76" s="79">
        <f>I76+J76+K76</f>
        <v>90</v>
      </c>
      <c r="I76" s="80">
        <v>0</v>
      </c>
      <c r="J76" s="80">
        <v>90</v>
      </c>
      <c r="K76" s="85">
        <v>0</v>
      </c>
      <c r="L76" s="267" t="s">
        <v>453</v>
      </c>
    </row>
    <row r="77" spans="1:12" ht="123" customHeight="1" x14ac:dyDescent="0.35">
      <c r="A77" s="410"/>
      <c r="B77" s="303"/>
      <c r="C77" s="268" t="s">
        <v>448</v>
      </c>
      <c r="D77" s="260" t="s">
        <v>28</v>
      </c>
      <c r="E77" s="238" t="s">
        <v>73</v>
      </c>
      <c r="F77" s="251" t="s">
        <v>421</v>
      </c>
      <c r="G77" s="251" t="s">
        <v>400</v>
      </c>
      <c r="H77" s="79">
        <f t="shared" si="7"/>
        <v>1978.1000000000001</v>
      </c>
      <c r="I77" s="80">
        <v>1867.7</v>
      </c>
      <c r="J77" s="80">
        <f>305.8-195.4</f>
        <v>110.4</v>
      </c>
      <c r="K77" s="80"/>
      <c r="L77" s="256" t="s">
        <v>254</v>
      </c>
    </row>
    <row r="78" spans="1:12" ht="231.75" customHeight="1" x14ac:dyDescent="0.35">
      <c r="A78" s="410"/>
      <c r="B78" s="303"/>
      <c r="C78" s="206" t="s">
        <v>449</v>
      </c>
      <c r="D78" s="260" t="s">
        <v>28</v>
      </c>
      <c r="E78" s="238" t="s">
        <v>73</v>
      </c>
      <c r="F78" s="251" t="s">
        <v>421</v>
      </c>
      <c r="G78" s="251" t="s">
        <v>400</v>
      </c>
      <c r="H78" s="79">
        <f t="shared" si="7"/>
        <v>3445.84</v>
      </c>
      <c r="I78" s="80">
        <v>946.27</v>
      </c>
      <c r="J78" s="80">
        <f>11.3+1326-270.7</f>
        <v>1066.5999999999999</v>
      </c>
      <c r="K78" s="80">
        <v>1432.97</v>
      </c>
      <c r="L78" s="117" t="s">
        <v>104</v>
      </c>
    </row>
    <row r="79" spans="1:12" ht="114.75" customHeight="1" x14ac:dyDescent="0.35">
      <c r="A79" s="410"/>
      <c r="B79" s="303"/>
      <c r="C79" s="425" t="s">
        <v>450</v>
      </c>
      <c r="D79" s="315" t="s">
        <v>460</v>
      </c>
      <c r="E79" s="315"/>
      <c r="F79" s="315"/>
      <c r="G79" s="315"/>
      <c r="H79" s="79">
        <f>H80+H81+H82+H83</f>
        <v>6073.8</v>
      </c>
      <c r="I79" s="79">
        <f>I80+I81+I82+I83</f>
        <v>1217.8</v>
      </c>
      <c r="J79" s="79">
        <f>J80+J81+J82+J83</f>
        <v>2344</v>
      </c>
      <c r="K79" s="79">
        <f t="shared" ref="K79" si="8">K80+K81+K82+K83</f>
        <v>2512</v>
      </c>
      <c r="L79" s="425" t="s">
        <v>72</v>
      </c>
    </row>
    <row r="80" spans="1:12" ht="75" customHeight="1" x14ac:dyDescent="0.35">
      <c r="A80" s="410"/>
      <c r="B80" s="303"/>
      <c r="C80" s="426"/>
      <c r="D80" s="21" t="s">
        <v>28</v>
      </c>
      <c r="E80" s="184" t="s">
        <v>80</v>
      </c>
      <c r="F80" s="335" t="s">
        <v>421</v>
      </c>
      <c r="G80" s="335" t="s">
        <v>400</v>
      </c>
      <c r="H80" s="79">
        <f>I80+J80+K80</f>
        <v>144</v>
      </c>
      <c r="I80" s="80">
        <v>144</v>
      </c>
      <c r="J80" s="80"/>
      <c r="K80" s="80"/>
      <c r="L80" s="426"/>
    </row>
    <row r="81" spans="1:12" ht="75" customHeight="1" x14ac:dyDescent="0.35">
      <c r="A81" s="410"/>
      <c r="B81" s="303"/>
      <c r="C81" s="426"/>
      <c r="D81" s="21" t="s">
        <v>28</v>
      </c>
      <c r="E81" s="184" t="s">
        <v>74</v>
      </c>
      <c r="F81" s="336"/>
      <c r="G81" s="336"/>
      <c r="H81" s="79">
        <f>I81+J81+K81</f>
        <v>5723.1</v>
      </c>
      <c r="I81" s="80">
        <v>1073.8</v>
      </c>
      <c r="J81" s="80">
        <f>2244</f>
        <v>2244</v>
      </c>
      <c r="K81" s="80">
        <v>2405.3000000000002</v>
      </c>
      <c r="L81" s="426"/>
    </row>
    <row r="82" spans="1:12" ht="75" customHeight="1" x14ac:dyDescent="0.35">
      <c r="A82" s="410"/>
      <c r="B82" s="303"/>
      <c r="C82" s="426"/>
      <c r="D82" s="21" t="s">
        <v>32</v>
      </c>
      <c r="E82" s="184" t="s">
        <v>80</v>
      </c>
      <c r="F82" s="336"/>
      <c r="G82" s="337"/>
      <c r="H82" s="79">
        <f>I82+J82+K82</f>
        <v>206.7</v>
      </c>
      <c r="I82" s="80"/>
      <c r="J82" s="80">
        <v>100</v>
      </c>
      <c r="K82" s="80">
        <v>106.7</v>
      </c>
      <c r="L82" s="426"/>
    </row>
    <row r="83" spans="1:12" ht="189.75" hidden="1" customHeight="1" x14ac:dyDescent="0.35">
      <c r="A83" s="410"/>
      <c r="B83" s="303"/>
      <c r="C83" s="427"/>
      <c r="D83" s="21" t="s">
        <v>28</v>
      </c>
      <c r="E83" s="198" t="s">
        <v>440</v>
      </c>
      <c r="F83" s="336"/>
      <c r="G83" s="209" t="s">
        <v>311</v>
      </c>
      <c r="H83" s="79">
        <f>I83+J83+K83</f>
        <v>0</v>
      </c>
      <c r="I83" s="80"/>
      <c r="J83" s="80"/>
      <c r="K83" s="80"/>
      <c r="L83" s="427"/>
    </row>
    <row r="84" spans="1:12" ht="133.5" customHeight="1" x14ac:dyDescent="0.35">
      <c r="A84" s="410"/>
      <c r="B84" s="303"/>
      <c r="C84" s="206" t="s">
        <v>451</v>
      </c>
      <c r="D84" s="260" t="s">
        <v>28</v>
      </c>
      <c r="E84" s="184" t="s">
        <v>80</v>
      </c>
      <c r="F84" s="336"/>
      <c r="G84" s="335" t="s">
        <v>400</v>
      </c>
      <c r="H84" s="79">
        <f>I84+J84+K84</f>
        <v>1000</v>
      </c>
      <c r="I84" s="80">
        <v>0</v>
      </c>
      <c r="J84" s="80">
        <v>1000</v>
      </c>
      <c r="K84" s="80">
        <v>0</v>
      </c>
      <c r="L84" s="256" t="s">
        <v>393</v>
      </c>
    </row>
    <row r="85" spans="1:12" ht="75" customHeight="1" x14ac:dyDescent="0.35">
      <c r="A85" s="410"/>
      <c r="B85" s="303"/>
      <c r="C85" s="394" t="s">
        <v>452</v>
      </c>
      <c r="D85" s="462" t="s">
        <v>395</v>
      </c>
      <c r="E85" s="463"/>
      <c r="F85" s="336"/>
      <c r="G85" s="336"/>
      <c r="H85" s="79">
        <f>H86+H87+H88+H89+H90</f>
        <v>339.2</v>
      </c>
      <c r="I85" s="79">
        <f>I86+I87+I88+I89+I90</f>
        <v>0</v>
      </c>
      <c r="J85" s="79">
        <f>J86+J87+J88+J89+J90</f>
        <v>339.2</v>
      </c>
      <c r="K85" s="79">
        <f>K86+K87+K88+K89+K90</f>
        <v>0</v>
      </c>
      <c r="L85" s="455" t="s">
        <v>394</v>
      </c>
    </row>
    <row r="86" spans="1:12" ht="75" customHeight="1" x14ac:dyDescent="0.35">
      <c r="A86" s="410"/>
      <c r="B86" s="303"/>
      <c r="C86" s="395"/>
      <c r="D86" s="260" t="s">
        <v>28</v>
      </c>
      <c r="E86" s="184" t="s">
        <v>80</v>
      </c>
      <c r="F86" s="336"/>
      <c r="G86" s="336"/>
      <c r="H86" s="79">
        <f>I86+J86+K86</f>
        <v>101.2</v>
      </c>
      <c r="I86" s="86">
        <v>0</v>
      </c>
      <c r="J86" s="86">
        <v>101.2</v>
      </c>
      <c r="K86" s="86">
        <v>0</v>
      </c>
      <c r="L86" s="456"/>
    </row>
    <row r="87" spans="1:12" ht="75" customHeight="1" x14ac:dyDescent="0.35">
      <c r="A87" s="410"/>
      <c r="B87" s="303"/>
      <c r="C87" s="395"/>
      <c r="D87" s="260" t="s">
        <v>28</v>
      </c>
      <c r="E87" s="184" t="s">
        <v>74</v>
      </c>
      <c r="F87" s="336"/>
      <c r="G87" s="336"/>
      <c r="H87" s="79">
        <f>I87+J87+K87</f>
        <v>40.700000000000003</v>
      </c>
      <c r="I87" s="86">
        <v>0</v>
      </c>
      <c r="J87" s="86">
        <v>40.700000000000003</v>
      </c>
      <c r="K87" s="86">
        <v>0</v>
      </c>
      <c r="L87" s="456"/>
    </row>
    <row r="88" spans="1:12" ht="75" customHeight="1" x14ac:dyDescent="0.35">
      <c r="A88" s="410"/>
      <c r="B88" s="303"/>
      <c r="C88" s="395"/>
      <c r="D88" s="260" t="s">
        <v>28</v>
      </c>
      <c r="E88" s="238" t="s">
        <v>75</v>
      </c>
      <c r="F88" s="336"/>
      <c r="G88" s="336"/>
      <c r="H88" s="79">
        <f t="shared" ref="H88:H92" si="9">I88+J88+K88</f>
        <v>99</v>
      </c>
      <c r="I88" s="86">
        <v>0</v>
      </c>
      <c r="J88" s="86">
        <v>99</v>
      </c>
      <c r="K88" s="86">
        <v>0</v>
      </c>
      <c r="L88" s="456"/>
    </row>
    <row r="89" spans="1:12" ht="75" customHeight="1" x14ac:dyDescent="0.35">
      <c r="A89" s="410"/>
      <c r="B89" s="303"/>
      <c r="C89" s="396"/>
      <c r="D89" s="260" t="s">
        <v>28</v>
      </c>
      <c r="E89" s="238" t="s">
        <v>73</v>
      </c>
      <c r="F89" s="336"/>
      <c r="G89" s="336"/>
      <c r="H89" s="79">
        <f t="shared" si="9"/>
        <v>98.3</v>
      </c>
      <c r="I89" s="86">
        <v>0</v>
      </c>
      <c r="J89" s="86">
        <f>99-0.7</f>
        <v>98.3</v>
      </c>
      <c r="K89" s="86">
        <v>0</v>
      </c>
      <c r="L89" s="456"/>
    </row>
    <row r="90" spans="1:12" ht="189.75" hidden="1" customHeight="1" x14ac:dyDescent="0.35">
      <c r="A90" s="410"/>
      <c r="B90" s="303"/>
      <c r="C90" s="207"/>
      <c r="D90" s="119"/>
      <c r="E90" s="36"/>
      <c r="F90" s="336"/>
      <c r="G90" s="336"/>
      <c r="H90" s="79"/>
      <c r="I90" s="86"/>
      <c r="J90" s="86"/>
      <c r="K90" s="86"/>
      <c r="L90" s="456"/>
    </row>
    <row r="91" spans="1:12" ht="189.75" hidden="1" customHeight="1" x14ac:dyDescent="0.35">
      <c r="A91" s="410"/>
      <c r="B91" s="303"/>
      <c r="C91" s="207"/>
      <c r="D91" s="21" t="s">
        <v>32</v>
      </c>
      <c r="E91" s="238" t="s">
        <v>78</v>
      </c>
      <c r="F91" s="336"/>
      <c r="G91" s="336"/>
      <c r="H91" s="79">
        <f t="shared" si="9"/>
        <v>0</v>
      </c>
      <c r="I91" s="86">
        <v>0</v>
      </c>
      <c r="J91" s="86"/>
      <c r="K91" s="86">
        <v>0</v>
      </c>
      <c r="L91" s="456"/>
    </row>
    <row r="92" spans="1:12" ht="189.75" hidden="1" customHeight="1" x14ac:dyDescent="0.35">
      <c r="A92" s="410"/>
      <c r="B92" s="303"/>
      <c r="C92" s="207"/>
      <c r="D92" s="21" t="s">
        <v>32</v>
      </c>
      <c r="E92" s="185" t="s">
        <v>79</v>
      </c>
      <c r="F92" s="337"/>
      <c r="G92" s="336"/>
      <c r="H92" s="79">
        <f t="shared" si="9"/>
        <v>0</v>
      </c>
      <c r="I92" s="86">
        <v>0</v>
      </c>
      <c r="J92" s="86"/>
      <c r="K92" s="86">
        <v>0</v>
      </c>
      <c r="L92" s="457"/>
    </row>
    <row r="93" spans="1:12" ht="126.75" customHeight="1" x14ac:dyDescent="0.35">
      <c r="A93" s="410"/>
      <c r="B93" s="303"/>
      <c r="C93" s="118" t="s">
        <v>454</v>
      </c>
      <c r="D93" s="260" t="s">
        <v>458</v>
      </c>
      <c r="E93" s="238" t="s">
        <v>73</v>
      </c>
      <c r="F93" s="263"/>
      <c r="G93" s="336"/>
      <c r="H93" s="100">
        <f>I93+J93+K93</f>
        <v>2200</v>
      </c>
      <c r="I93" s="86">
        <v>0</v>
      </c>
      <c r="J93" s="86">
        <v>2200</v>
      </c>
      <c r="K93" s="86">
        <v>0</v>
      </c>
      <c r="L93" s="256" t="s">
        <v>456</v>
      </c>
    </row>
    <row r="94" spans="1:12" ht="147" customHeight="1" x14ac:dyDescent="0.35">
      <c r="A94" s="411"/>
      <c r="B94" s="304"/>
      <c r="C94" s="118" t="s">
        <v>455</v>
      </c>
      <c r="D94" s="260" t="s">
        <v>459</v>
      </c>
      <c r="E94" s="238" t="s">
        <v>73</v>
      </c>
      <c r="F94" s="263"/>
      <c r="G94" s="337"/>
      <c r="H94" s="100">
        <f>I94+J94+K94</f>
        <v>-2200</v>
      </c>
      <c r="I94" s="86">
        <v>0</v>
      </c>
      <c r="J94" s="86">
        <v>-2200</v>
      </c>
      <c r="K94" s="86">
        <v>0</v>
      </c>
      <c r="L94" s="256" t="s">
        <v>457</v>
      </c>
    </row>
    <row r="95" spans="1:12" ht="75" customHeight="1" x14ac:dyDescent="0.35">
      <c r="A95" s="317"/>
      <c r="B95" s="318"/>
      <c r="C95" s="318"/>
      <c r="D95" s="318"/>
      <c r="E95" s="470" t="s">
        <v>258</v>
      </c>
      <c r="F95" s="471"/>
      <c r="G95" s="120"/>
      <c r="H95" s="100">
        <f>H29+H45+H51+H58+H59+H60+H61+H64+H68+H74+H77+H78+H79+H75+H84+H85+H76</f>
        <v>190952.51499999998</v>
      </c>
      <c r="I95" s="100">
        <f>I29+I45+I51+I58+I59+I60+I61+I64+I68+I74+I77+I78+I79+I75+I84+I85+I76</f>
        <v>114137.51300000001</v>
      </c>
      <c r="J95" s="100">
        <f>J29+J45+J51+J58+J59+J60+J61+J64+J68+J74+J77+J78+J79+J75+J84+J85+J76</f>
        <v>47159.569999999992</v>
      </c>
      <c r="K95" s="100">
        <f>K29+K45+K51+K58+K59+K60+K61+K64+K68+K74+K77+K78+K79+K75+K84+K85+K76</f>
        <v>29655.432000000001</v>
      </c>
      <c r="L95" s="455"/>
    </row>
    <row r="96" spans="1:12" ht="75" customHeight="1" x14ac:dyDescent="0.35">
      <c r="A96" s="319"/>
      <c r="B96" s="320"/>
      <c r="C96" s="320"/>
      <c r="D96" s="320"/>
      <c r="E96" s="472"/>
      <c r="F96" s="473"/>
      <c r="G96" s="251" t="s">
        <v>400</v>
      </c>
      <c r="H96" s="79">
        <f>H30+H45+H52+H54+H55+H56+H58+H59+H60+H63+H64+H68+H74+H77+H78+H80+H81+H82+H75+H85+H84+H57+H76</f>
        <v>142568.61500000002</v>
      </c>
      <c r="I96" s="79">
        <f>I30+I45+I52+I54+I55+I56+I58+I59+I60+I63+I64+I68+I74+I77+I78+I80+I81+I82+I75+I85+I84+I57+I76</f>
        <v>65890.112999999983</v>
      </c>
      <c r="J96" s="79">
        <f>J30+J45+J52+J54+J55+J56+J58+J59+J60+J63+J64+J68+J74+J77+J78+J80+J81+J82+J75+J85+J84+J57+J76</f>
        <v>47023.069999999992</v>
      </c>
      <c r="K96" s="79">
        <f>K30+K45+K52+K54+K55+K56+K58+K59+K60+K63+K64+K68+K74+K77+K78+K80+K81+K82+K75+K85+K84+K57+K76</f>
        <v>29655.431999999997</v>
      </c>
      <c r="L96" s="456"/>
    </row>
    <row r="97" spans="1:12" ht="72.75" customHeight="1" x14ac:dyDescent="0.4">
      <c r="A97" s="319"/>
      <c r="B97" s="320"/>
      <c r="C97" s="320"/>
      <c r="D97" s="320"/>
      <c r="E97" s="472"/>
      <c r="F97" s="473"/>
      <c r="G97" s="121" t="s">
        <v>94</v>
      </c>
      <c r="H97" s="79">
        <f>H40</f>
        <v>45209.9</v>
      </c>
      <c r="I97" s="79">
        <f>I40</f>
        <v>45209.9</v>
      </c>
      <c r="J97" s="79">
        <f>J40</f>
        <v>0</v>
      </c>
      <c r="K97" s="79">
        <f>K40</f>
        <v>0</v>
      </c>
      <c r="L97" s="456"/>
    </row>
    <row r="98" spans="1:12" ht="177.75" customHeight="1" x14ac:dyDescent="0.35">
      <c r="A98" s="319"/>
      <c r="B98" s="320"/>
      <c r="C98" s="320"/>
      <c r="D98" s="320"/>
      <c r="E98" s="472"/>
      <c r="F98" s="473"/>
      <c r="G98" s="251" t="s">
        <v>97</v>
      </c>
      <c r="H98" s="79">
        <f>H36+H53+H62+H37</f>
        <v>2977.5</v>
      </c>
      <c r="I98" s="79">
        <f>I36+I53+I62+I37</f>
        <v>2977.5</v>
      </c>
      <c r="J98" s="79">
        <f>J36+J53+J62</f>
        <v>0</v>
      </c>
      <c r="K98" s="79">
        <f>K36+K53+K62</f>
        <v>0</v>
      </c>
      <c r="L98" s="456"/>
    </row>
    <row r="99" spans="1:12" ht="93.75" customHeight="1" x14ac:dyDescent="0.35">
      <c r="A99" s="319"/>
      <c r="B99" s="320"/>
      <c r="C99" s="320"/>
      <c r="D99" s="320"/>
      <c r="E99" s="474"/>
      <c r="F99" s="475"/>
      <c r="G99" s="269" t="s">
        <v>311</v>
      </c>
      <c r="H99" s="79">
        <f>H38+H39</f>
        <v>196.5</v>
      </c>
      <c r="I99" s="79">
        <f>I38+I39</f>
        <v>60</v>
      </c>
      <c r="J99" s="79">
        <f t="shared" ref="J99:K99" si="10">J38+J39</f>
        <v>136.5</v>
      </c>
      <c r="K99" s="79">
        <f t="shared" si="10"/>
        <v>0</v>
      </c>
      <c r="L99" s="456"/>
    </row>
    <row r="100" spans="1:12" ht="75" customHeight="1" x14ac:dyDescent="0.35">
      <c r="A100" s="319"/>
      <c r="B100" s="320"/>
      <c r="C100" s="320"/>
      <c r="D100" s="320"/>
      <c r="E100" s="312" t="s">
        <v>259</v>
      </c>
      <c r="F100" s="314"/>
      <c r="G100" s="251"/>
      <c r="H100" s="79"/>
      <c r="I100" s="86"/>
      <c r="J100" s="80"/>
      <c r="K100" s="80"/>
      <c r="L100" s="456"/>
    </row>
    <row r="101" spans="1:12" ht="75" customHeight="1" x14ac:dyDescent="0.35">
      <c r="A101" s="319"/>
      <c r="B101" s="320"/>
      <c r="C101" s="320"/>
      <c r="D101" s="320"/>
      <c r="E101" s="448" t="s">
        <v>80</v>
      </c>
      <c r="F101" s="449"/>
      <c r="G101" s="251" t="s">
        <v>96</v>
      </c>
      <c r="H101" s="79">
        <f>SUM(H102:H105)</f>
        <v>43677.869999999995</v>
      </c>
      <c r="I101" s="79">
        <f>SUM(I102:I105)</f>
        <v>28290.43</v>
      </c>
      <c r="J101" s="79">
        <f>SUM(J102:J105)</f>
        <v>10361.540000000001</v>
      </c>
      <c r="K101" s="79">
        <f>SUM(K102:K105)</f>
        <v>5025.8999999999996</v>
      </c>
      <c r="L101" s="456"/>
    </row>
    <row r="102" spans="1:12" ht="75" customHeight="1" x14ac:dyDescent="0.35">
      <c r="A102" s="319"/>
      <c r="B102" s="320"/>
      <c r="C102" s="320"/>
      <c r="D102" s="320"/>
      <c r="E102" s="450"/>
      <c r="F102" s="451"/>
      <c r="G102" s="251" t="s">
        <v>400</v>
      </c>
      <c r="H102" s="79">
        <f>H31+H46+H52+H58+H59+H60+H65+H69+H80+H84+H86+H82</f>
        <v>30985.07</v>
      </c>
      <c r="I102" s="79">
        <f>I31+I46+I52+I58+I59+I60+I65+I69+I80+I84+I86+I82</f>
        <v>15597.63</v>
      </c>
      <c r="J102" s="79">
        <f>J31+J46+J52+J58+J59+J60+J65+J69+J80+J84+J86+J82</f>
        <v>10361.540000000001</v>
      </c>
      <c r="K102" s="79">
        <f>K31+K46+K52+K58+K59+K60+K65+K69+K80+K84+K86+K82</f>
        <v>5025.8999999999996</v>
      </c>
      <c r="L102" s="456"/>
    </row>
    <row r="103" spans="1:12" ht="91.5" customHeight="1" x14ac:dyDescent="0.4">
      <c r="A103" s="319"/>
      <c r="B103" s="320"/>
      <c r="C103" s="320"/>
      <c r="D103" s="320"/>
      <c r="E103" s="450"/>
      <c r="F103" s="451"/>
      <c r="G103" s="121" t="s">
        <v>94</v>
      </c>
      <c r="H103" s="79">
        <f>H41</f>
        <v>12485.6</v>
      </c>
      <c r="I103" s="79">
        <f>I41</f>
        <v>12485.6</v>
      </c>
      <c r="J103" s="79">
        <f>J41</f>
        <v>0</v>
      </c>
      <c r="K103" s="79">
        <f>K41</f>
        <v>0</v>
      </c>
      <c r="L103" s="456"/>
    </row>
    <row r="104" spans="1:12" ht="174.75" customHeight="1" x14ac:dyDescent="0.35">
      <c r="A104" s="319"/>
      <c r="B104" s="320"/>
      <c r="C104" s="320"/>
      <c r="D104" s="320"/>
      <c r="E104" s="450"/>
      <c r="F104" s="451"/>
      <c r="G104" s="251" t="s">
        <v>97</v>
      </c>
      <c r="H104" s="79">
        <f>H36+H53</f>
        <v>147.19999999999999</v>
      </c>
      <c r="I104" s="79">
        <f>I36+I53</f>
        <v>147.19999999999999</v>
      </c>
      <c r="J104" s="79">
        <f>J36+J53</f>
        <v>0</v>
      </c>
      <c r="K104" s="79">
        <f>K36+K53</f>
        <v>0</v>
      </c>
      <c r="L104" s="456"/>
    </row>
    <row r="105" spans="1:12" ht="75" customHeight="1" x14ac:dyDescent="0.35">
      <c r="A105" s="319"/>
      <c r="B105" s="320"/>
      <c r="C105" s="320"/>
      <c r="D105" s="320"/>
      <c r="E105" s="452"/>
      <c r="F105" s="453"/>
      <c r="G105" s="269" t="s">
        <v>311</v>
      </c>
      <c r="H105" s="79">
        <f>H38</f>
        <v>60</v>
      </c>
      <c r="I105" s="79">
        <f>I38</f>
        <v>60</v>
      </c>
      <c r="J105" s="79">
        <f>J38</f>
        <v>0</v>
      </c>
      <c r="K105" s="79">
        <f>K38</f>
        <v>0</v>
      </c>
      <c r="L105" s="456"/>
    </row>
    <row r="106" spans="1:12" ht="75" customHeight="1" x14ac:dyDescent="0.35">
      <c r="A106" s="319"/>
      <c r="B106" s="320"/>
      <c r="C106" s="320"/>
      <c r="D106" s="320"/>
      <c r="E106" s="448" t="s">
        <v>74</v>
      </c>
      <c r="F106" s="449"/>
      <c r="G106" s="251" t="s">
        <v>96</v>
      </c>
      <c r="H106" s="79">
        <f>SUM(H107:H108)</f>
        <v>39471.870000000003</v>
      </c>
      <c r="I106" s="79">
        <f>SUM(I107:I108)</f>
        <v>19066.3</v>
      </c>
      <c r="J106" s="79">
        <f>SUM(J107:J108)</f>
        <v>10812.27</v>
      </c>
      <c r="K106" s="79">
        <f>SUM(K107:K108)</f>
        <v>9593.2999999999993</v>
      </c>
      <c r="L106" s="456"/>
    </row>
    <row r="107" spans="1:12" ht="75" customHeight="1" x14ac:dyDescent="0.35">
      <c r="A107" s="319"/>
      <c r="B107" s="320"/>
      <c r="C107" s="320"/>
      <c r="D107" s="320"/>
      <c r="E107" s="450"/>
      <c r="F107" s="451"/>
      <c r="G107" s="251" t="s">
        <v>400</v>
      </c>
      <c r="H107" s="79">
        <f>H32+H47+H54+H66+H70+H74+H81+H87</f>
        <v>31311.77</v>
      </c>
      <c r="I107" s="79">
        <f>I32+I47+I54+I66+I70+I74+I81+I87</f>
        <v>10906.199999999999</v>
      </c>
      <c r="J107" s="79">
        <f>J32+J47+J54+J66+J70+J74+J81+J87</f>
        <v>10812.27</v>
      </c>
      <c r="K107" s="79">
        <f>K32+K47+K54+K66+K70+K74+K81+K87</f>
        <v>9593.2999999999993</v>
      </c>
      <c r="L107" s="456"/>
    </row>
    <row r="108" spans="1:12" ht="75" customHeight="1" x14ac:dyDescent="0.4">
      <c r="A108" s="319"/>
      <c r="B108" s="320"/>
      <c r="C108" s="320"/>
      <c r="D108" s="320"/>
      <c r="E108" s="452"/>
      <c r="F108" s="453"/>
      <c r="G108" s="121" t="s">
        <v>94</v>
      </c>
      <c r="H108" s="79">
        <f>H42</f>
        <v>8160.1</v>
      </c>
      <c r="I108" s="79">
        <f>I42</f>
        <v>8160.1</v>
      </c>
      <c r="J108" s="79">
        <f>J42</f>
        <v>0</v>
      </c>
      <c r="K108" s="79">
        <f>K42</f>
        <v>0</v>
      </c>
      <c r="L108" s="456"/>
    </row>
    <row r="109" spans="1:12" ht="50.25" customHeight="1" x14ac:dyDescent="0.35">
      <c r="A109" s="319"/>
      <c r="B109" s="320"/>
      <c r="C109" s="320"/>
      <c r="D109" s="320"/>
      <c r="E109" s="448" t="s">
        <v>75</v>
      </c>
      <c r="F109" s="449"/>
      <c r="G109" s="251" t="s">
        <v>96</v>
      </c>
      <c r="H109" s="79">
        <f>SUM(H110:H112)</f>
        <v>50987.119999999995</v>
      </c>
      <c r="I109" s="79">
        <f>SUM(I110:I112)</f>
        <v>32420.6</v>
      </c>
      <c r="J109" s="79">
        <f>SUM(J110:J112)</f>
        <v>11132.68</v>
      </c>
      <c r="K109" s="79">
        <f>SUM(K110:K112)</f>
        <v>7433.84</v>
      </c>
      <c r="L109" s="456"/>
    </row>
    <row r="110" spans="1:12" ht="75" customHeight="1" x14ac:dyDescent="0.35">
      <c r="A110" s="319"/>
      <c r="B110" s="320"/>
      <c r="C110" s="320"/>
      <c r="D110" s="320"/>
      <c r="E110" s="450"/>
      <c r="F110" s="451"/>
      <c r="G110" s="251" t="s">
        <v>400</v>
      </c>
      <c r="H110" s="79">
        <f>H33+H48+H55+H63+H67+H71+H88</f>
        <v>35440.619999999995</v>
      </c>
      <c r="I110" s="79">
        <f>I33+I48+I55+I63+I67+I71+I88</f>
        <v>16874.099999999999</v>
      </c>
      <c r="J110" s="79">
        <f>J33+J48+J55+J63+J67+J71+J88</f>
        <v>11132.68</v>
      </c>
      <c r="K110" s="79">
        <f>K33+K48+K55+K63+K67+K71+K88</f>
        <v>7433.84</v>
      </c>
      <c r="L110" s="456"/>
    </row>
    <row r="111" spans="1:12" ht="78.75" customHeight="1" x14ac:dyDescent="0.4">
      <c r="A111" s="319"/>
      <c r="B111" s="320"/>
      <c r="C111" s="320"/>
      <c r="D111" s="320"/>
      <c r="E111" s="450"/>
      <c r="F111" s="451"/>
      <c r="G111" s="121" t="s">
        <v>94</v>
      </c>
      <c r="H111" s="79">
        <f>H43</f>
        <v>12866.2</v>
      </c>
      <c r="I111" s="79">
        <f>I43</f>
        <v>12866.2</v>
      </c>
      <c r="J111" s="79">
        <f>J43</f>
        <v>0</v>
      </c>
      <c r="K111" s="79">
        <f>K43</f>
        <v>0</v>
      </c>
      <c r="L111" s="456"/>
    </row>
    <row r="112" spans="1:12" ht="173.25" customHeight="1" x14ac:dyDescent="0.35">
      <c r="A112" s="319"/>
      <c r="B112" s="320"/>
      <c r="C112" s="320"/>
      <c r="D112" s="320"/>
      <c r="E112" s="452"/>
      <c r="F112" s="453"/>
      <c r="G112" s="251" t="s">
        <v>97</v>
      </c>
      <c r="H112" s="79">
        <f>H62</f>
        <v>2680.3</v>
      </c>
      <c r="I112" s="79">
        <f>I62</f>
        <v>2680.3</v>
      </c>
      <c r="J112" s="79">
        <f>J62</f>
        <v>0</v>
      </c>
      <c r="K112" s="79">
        <f>K62</f>
        <v>0</v>
      </c>
      <c r="L112" s="456"/>
    </row>
    <row r="113" spans="1:12" ht="75" customHeight="1" x14ac:dyDescent="0.35">
      <c r="A113" s="319"/>
      <c r="B113" s="320"/>
      <c r="C113" s="320"/>
      <c r="D113" s="320"/>
      <c r="E113" s="464" t="s">
        <v>73</v>
      </c>
      <c r="F113" s="465"/>
      <c r="G113" s="251" t="s">
        <v>96</v>
      </c>
      <c r="H113" s="79">
        <f>SUM(H114:H116)</f>
        <v>51388.60500000001</v>
      </c>
      <c r="I113" s="79">
        <f>SUM(I114:I116)</f>
        <v>31360.183000000001</v>
      </c>
      <c r="J113" s="79">
        <f t="shared" ref="J113:K113" si="11">SUM(J114:J116)</f>
        <v>12426.029999999999</v>
      </c>
      <c r="K113" s="79">
        <f t="shared" si="11"/>
        <v>7602.3920000000007</v>
      </c>
      <c r="L113" s="456"/>
    </row>
    <row r="114" spans="1:12" ht="75" customHeight="1" x14ac:dyDescent="0.35">
      <c r="A114" s="319"/>
      <c r="B114" s="320"/>
      <c r="C114" s="320"/>
      <c r="D114" s="320"/>
      <c r="E114" s="466"/>
      <c r="F114" s="467"/>
      <c r="G114" s="251" t="s">
        <v>400</v>
      </c>
      <c r="H114" s="79">
        <f>H34+H49+H56+H72+H77+H78+H89</f>
        <v>39540.60500000001</v>
      </c>
      <c r="I114" s="79">
        <f>I34+I49+I56+I72+I77+I78+I89</f>
        <v>19512.183000000001</v>
      </c>
      <c r="J114" s="79">
        <f>J34+J49+J56+J72+J77+J78+J89</f>
        <v>12426.029999999999</v>
      </c>
      <c r="K114" s="79">
        <f>K34+K49+K56+K72+K77+K78+K89</f>
        <v>7602.3920000000007</v>
      </c>
      <c r="L114" s="456"/>
    </row>
    <row r="115" spans="1:12" ht="75" customHeight="1" x14ac:dyDescent="0.4">
      <c r="A115" s="319"/>
      <c r="B115" s="320"/>
      <c r="C115" s="320"/>
      <c r="D115" s="320"/>
      <c r="E115" s="466"/>
      <c r="F115" s="467"/>
      <c r="G115" s="121" t="s">
        <v>94</v>
      </c>
      <c r="H115" s="79">
        <f>H44</f>
        <v>11698</v>
      </c>
      <c r="I115" s="79">
        <f>I44</f>
        <v>11698</v>
      </c>
      <c r="J115" s="79">
        <f>J44</f>
        <v>0</v>
      </c>
      <c r="K115" s="79">
        <f>K44</f>
        <v>0</v>
      </c>
      <c r="L115" s="457"/>
    </row>
    <row r="116" spans="1:12" ht="180" customHeight="1" x14ac:dyDescent="0.4">
      <c r="A116" s="319"/>
      <c r="B116" s="320"/>
      <c r="C116" s="320"/>
      <c r="D116" s="320"/>
      <c r="E116" s="468"/>
      <c r="F116" s="469"/>
      <c r="G116" s="121" t="s">
        <v>97</v>
      </c>
      <c r="H116" s="79">
        <f>H37</f>
        <v>150</v>
      </c>
      <c r="I116" s="79">
        <f>I37</f>
        <v>150</v>
      </c>
      <c r="J116" s="79"/>
      <c r="K116" s="79"/>
      <c r="L116" s="261"/>
    </row>
    <row r="117" spans="1:12" ht="55.5" customHeight="1" x14ac:dyDescent="0.35">
      <c r="A117" s="319"/>
      <c r="B117" s="320"/>
      <c r="C117" s="320"/>
      <c r="D117" s="320"/>
      <c r="E117" s="448" t="s">
        <v>440</v>
      </c>
      <c r="F117" s="449"/>
      <c r="G117" s="251" t="s">
        <v>96</v>
      </c>
      <c r="H117" s="79">
        <f>SUM(H118:H119)</f>
        <v>2337.0499999999997</v>
      </c>
      <c r="I117" s="79">
        <f t="shared" ref="I117:K117" si="12">SUM(I118:I119)</f>
        <v>0</v>
      </c>
      <c r="J117" s="79">
        <f t="shared" si="12"/>
        <v>2337.0499999999997</v>
      </c>
      <c r="K117" s="79">
        <f t="shared" si="12"/>
        <v>0</v>
      </c>
      <c r="L117" s="261"/>
    </row>
    <row r="118" spans="1:12" ht="85.5" customHeight="1" x14ac:dyDescent="0.35">
      <c r="A118" s="319"/>
      <c r="B118" s="320"/>
      <c r="C118" s="320"/>
      <c r="D118" s="320"/>
      <c r="E118" s="450"/>
      <c r="F118" s="451"/>
      <c r="G118" s="251" t="s">
        <v>400</v>
      </c>
      <c r="H118" s="79">
        <f>H35+H50+H57+H73</f>
        <v>2200.5499999999997</v>
      </c>
      <c r="I118" s="79">
        <f>I35+I50+I57+I73</f>
        <v>0</v>
      </c>
      <c r="J118" s="79">
        <f>J35+J50+J57+J73</f>
        <v>2200.5499999999997</v>
      </c>
      <c r="K118" s="79">
        <f>K35+K50+K57+K73</f>
        <v>0</v>
      </c>
      <c r="L118" s="261"/>
    </row>
    <row r="119" spans="1:12" ht="85.5" customHeight="1" x14ac:dyDescent="0.35">
      <c r="A119" s="319"/>
      <c r="B119" s="320"/>
      <c r="C119" s="320"/>
      <c r="D119" s="320"/>
      <c r="E119" s="452"/>
      <c r="F119" s="453"/>
      <c r="G119" s="269" t="s">
        <v>311</v>
      </c>
      <c r="H119" s="79">
        <f>H39</f>
        <v>136.5</v>
      </c>
      <c r="I119" s="79">
        <f t="shared" ref="I119:K119" si="13">I39</f>
        <v>0</v>
      </c>
      <c r="J119" s="79">
        <f t="shared" si="13"/>
        <v>136.5</v>
      </c>
      <c r="K119" s="79">
        <f t="shared" si="13"/>
        <v>0</v>
      </c>
      <c r="L119" s="261"/>
    </row>
    <row r="120" spans="1:12" ht="96" customHeight="1" x14ac:dyDescent="0.35">
      <c r="A120" s="319"/>
      <c r="B120" s="320"/>
      <c r="C120" s="320"/>
      <c r="D120" s="320"/>
      <c r="E120" s="460" t="s">
        <v>385</v>
      </c>
      <c r="F120" s="461"/>
      <c r="G120" s="251" t="s">
        <v>400</v>
      </c>
      <c r="H120" s="79">
        <f>H75</f>
        <v>3000</v>
      </c>
      <c r="I120" s="79">
        <f>I75</f>
        <v>3000</v>
      </c>
      <c r="J120" s="79">
        <f>J75</f>
        <v>0</v>
      </c>
      <c r="K120" s="79">
        <f>K75</f>
        <v>0</v>
      </c>
      <c r="L120" s="261"/>
    </row>
    <row r="121" spans="1:12" ht="96" customHeight="1" x14ac:dyDescent="0.35">
      <c r="A121" s="321"/>
      <c r="B121" s="322"/>
      <c r="C121" s="322"/>
      <c r="D121" s="322"/>
      <c r="E121" s="460" t="s">
        <v>446</v>
      </c>
      <c r="F121" s="461"/>
      <c r="G121" s="251" t="s">
        <v>400</v>
      </c>
      <c r="H121" s="79">
        <f>H76</f>
        <v>90</v>
      </c>
      <c r="I121" s="79">
        <f>I76</f>
        <v>0</v>
      </c>
      <c r="J121" s="79">
        <f t="shared" ref="J121:K121" si="14">J76</f>
        <v>90</v>
      </c>
      <c r="K121" s="79">
        <f t="shared" si="14"/>
        <v>0</v>
      </c>
      <c r="L121" s="261"/>
    </row>
    <row r="122" spans="1:12" s="113" customFormat="1" ht="75" customHeight="1" x14ac:dyDescent="0.25">
      <c r="A122" s="409" t="s">
        <v>214</v>
      </c>
      <c r="B122" s="302" t="s">
        <v>382</v>
      </c>
      <c r="C122" s="323" t="s">
        <v>216</v>
      </c>
      <c r="D122" s="405" t="s">
        <v>331</v>
      </c>
      <c r="E122" s="406"/>
      <c r="F122" s="406"/>
      <c r="G122" s="407"/>
      <c r="H122" s="79">
        <f>H123+H124</f>
        <v>8977.9000000000015</v>
      </c>
      <c r="I122" s="79">
        <f>I123+I124</f>
        <v>8977.9000000000015</v>
      </c>
      <c r="J122" s="79">
        <f>J123+J124</f>
        <v>0</v>
      </c>
      <c r="K122" s="79">
        <f>K123+K124</f>
        <v>0</v>
      </c>
      <c r="L122" s="484" t="s">
        <v>146</v>
      </c>
    </row>
    <row r="123" spans="1:12" s="113" customFormat="1" ht="75" customHeight="1" x14ac:dyDescent="0.25">
      <c r="A123" s="410"/>
      <c r="B123" s="303"/>
      <c r="C123" s="323"/>
      <c r="D123" s="458" t="s">
        <v>29</v>
      </c>
      <c r="E123" s="299" t="s">
        <v>77</v>
      </c>
      <c r="F123" s="296" t="s">
        <v>421</v>
      </c>
      <c r="G123" s="251" t="s">
        <v>401</v>
      </c>
      <c r="H123" s="79">
        <f t="shared" ref="H123:H128" si="15">I123+J123+K123</f>
        <v>2630.3</v>
      </c>
      <c r="I123" s="80">
        <f>4309.8-9.5-1000-670</f>
        <v>2630.3</v>
      </c>
      <c r="J123" s="80">
        <v>0</v>
      </c>
      <c r="K123" s="80">
        <v>0</v>
      </c>
      <c r="L123" s="484"/>
    </row>
    <row r="124" spans="1:12" s="113" customFormat="1" ht="75" customHeight="1" x14ac:dyDescent="0.25">
      <c r="A124" s="410"/>
      <c r="B124" s="303"/>
      <c r="C124" s="323"/>
      <c r="D124" s="459"/>
      <c r="E124" s="301"/>
      <c r="F124" s="297"/>
      <c r="G124" s="251" t="s">
        <v>94</v>
      </c>
      <c r="H124" s="79">
        <f t="shared" si="15"/>
        <v>6347.6</v>
      </c>
      <c r="I124" s="80">
        <v>6347.6</v>
      </c>
      <c r="J124" s="80">
        <v>0</v>
      </c>
      <c r="K124" s="80">
        <v>0</v>
      </c>
      <c r="L124" s="484"/>
    </row>
    <row r="125" spans="1:12" s="113" customFormat="1" ht="93.75" customHeight="1" x14ac:dyDescent="0.25">
      <c r="A125" s="410"/>
      <c r="B125" s="303"/>
      <c r="C125" s="238" t="s">
        <v>248</v>
      </c>
      <c r="D125" s="119" t="s">
        <v>29</v>
      </c>
      <c r="E125" s="36" t="s">
        <v>77</v>
      </c>
      <c r="F125" s="297"/>
      <c r="G125" s="251" t="s">
        <v>398</v>
      </c>
      <c r="H125" s="79">
        <f t="shared" si="15"/>
        <v>9550.1500000000015</v>
      </c>
      <c r="I125" s="80">
        <f>3145.8-450</f>
        <v>2695.8</v>
      </c>
      <c r="J125" s="80">
        <f>2727.8+424.55+600+156</f>
        <v>3908.3500000000004</v>
      </c>
      <c r="K125" s="80">
        <v>2946</v>
      </c>
      <c r="L125" s="484"/>
    </row>
    <row r="126" spans="1:12" s="113" customFormat="1" ht="112.5" customHeight="1" x14ac:dyDescent="0.25">
      <c r="A126" s="410"/>
      <c r="B126" s="303"/>
      <c r="C126" s="238" t="s">
        <v>249</v>
      </c>
      <c r="D126" s="119" t="s">
        <v>29</v>
      </c>
      <c r="E126" s="36" t="s">
        <v>77</v>
      </c>
      <c r="F126" s="297"/>
      <c r="G126" s="251" t="s">
        <v>398</v>
      </c>
      <c r="H126" s="79">
        <f t="shared" si="15"/>
        <v>1062.92</v>
      </c>
      <c r="I126" s="85">
        <v>525.5</v>
      </c>
      <c r="J126" s="80">
        <v>260</v>
      </c>
      <c r="K126" s="101">
        <v>277.42</v>
      </c>
      <c r="L126" s="484"/>
    </row>
    <row r="127" spans="1:12" s="113" customFormat="1" ht="162.75" customHeight="1" x14ac:dyDescent="0.25">
      <c r="A127" s="410"/>
      <c r="B127" s="303"/>
      <c r="C127" s="238" t="s">
        <v>250</v>
      </c>
      <c r="D127" s="119" t="s">
        <v>29</v>
      </c>
      <c r="E127" s="36" t="s">
        <v>77</v>
      </c>
      <c r="F127" s="297"/>
      <c r="G127" s="251" t="s">
        <v>398</v>
      </c>
      <c r="H127" s="79">
        <f t="shared" si="15"/>
        <v>973.3</v>
      </c>
      <c r="I127" s="80">
        <v>411.8</v>
      </c>
      <c r="J127" s="80">
        <v>271</v>
      </c>
      <c r="K127" s="80">
        <v>290.5</v>
      </c>
      <c r="L127" s="484"/>
    </row>
    <row r="128" spans="1:12" s="113" customFormat="1" ht="87.75" customHeight="1" x14ac:dyDescent="0.25">
      <c r="A128" s="259"/>
      <c r="B128" s="304"/>
      <c r="C128" s="238" t="s">
        <v>424</v>
      </c>
      <c r="D128" s="119" t="s">
        <v>29</v>
      </c>
      <c r="E128" s="36" t="s">
        <v>77</v>
      </c>
      <c r="F128" s="298"/>
      <c r="G128" s="251"/>
      <c r="H128" s="79">
        <f t="shared" si="15"/>
        <v>58.8</v>
      </c>
      <c r="I128" s="80"/>
      <c r="J128" s="80">
        <v>58.8</v>
      </c>
      <c r="K128" s="80"/>
      <c r="L128" s="257"/>
    </row>
    <row r="129" spans="1:12" s="113" customFormat="1" ht="75" customHeight="1" x14ac:dyDescent="0.25">
      <c r="A129" s="476"/>
      <c r="B129" s="476"/>
      <c r="C129" s="476"/>
      <c r="D129" s="476"/>
      <c r="E129" s="350" t="s">
        <v>256</v>
      </c>
      <c r="F129" s="489"/>
      <c r="G129" s="251"/>
      <c r="H129" s="79">
        <f>H122+H125+H126+H127+H128</f>
        <v>20623.07</v>
      </c>
      <c r="I129" s="79">
        <f>I122+I125+I126+I127+I128</f>
        <v>12611</v>
      </c>
      <c r="J129" s="79">
        <f>J122+J125+J126+J127+J128</f>
        <v>4498.1500000000005</v>
      </c>
      <c r="K129" s="79">
        <f>K122+K125+K126+K127+K128</f>
        <v>3513.92</v>
      </c>
      <c r="L129" s="338"/>
    </row>
    <row r="130" spans="1:12" s="113" customFormat="1" ht="75" customHeight="1" x14ac:dyDescent="0.25">
      <c r="A130" s="476"/>
      <c r="B130" s="476"/>
      <c r="C130" s="476"/>
      <c r="D130" s="476"/>
      <c r="E130" s="351"/>
      <c r="F130" s="489"/>
      <c r="G130" s="251" t="s">
        <v>398</v>
      </c>
      <c r="H130" s="79">
        <f>H123+H125+H126+H127+H128</f>
        <v>14275.47</v>
      </c>
      <c r="I130" s="79">
        <f>I123+I125+I126+I127+I128</f>
        <v>6263.4000000000005</v>
      </c>
      <c r="J130" s="79">
        <f>J123+J125+J126+J127+J128</f>
        <v>4498.1500000000005</v>
      </c>
      <c r="K130" s="79">
        <f>K123+K125+K126+K127+K128</f>
        <v>3513.92</v>
      </c>
      <c r="L130" s="339"/>
    </row>
    <row r="131" spans="1:12" s="113" customFormat="1" ht="75" customHeight="1" x14ac:dyDescent="0.25">
      <c r="A131" s="476"/>
      <c r="B131" s="476"/>
      <c r="C131" s="476"/>
      <c r="D131" s="476"/>
      <c r="E131" s="352"/>
      <c r="F131" s="489"/>
      <c r="G131" s="251" t="s">
        <v>94</v>
      </c>
      <c r="H131" s="79">
        <f>H124</f>
        <v>6347.6</v>
      </c>
      <c r="I131" s="79">
        <f>I124</f>
        <v>6347.6</v>
      </c>
      <c r="J131" s="79">
        <f>J124</f>
        <v>0</v>
      </c>
      <c r="K131" s="79">
        <f>K124</f>
        <v>0</v>
      </c>
      <c r="L131" s="364"/>
    </row>
    <row r="132" spans="1:12" s="113" customFormat="1" ht="75" customHeight="1" x14ac:dyDescent="0.25">
      <c r="A132" s="476" t="s">
        <v>217</v>
      </c>
      <c r="B132" s="350" t="s">
        <v>255</v>
      </c>
      <c r="C132" s="299" t="s">
        <v>218</v>
      </c>
      <c r="D132" s="405" t="s">
        <v>332</v>
      </c>
      <c r="E132" s="406"/>
      <c r="F132" s="406"/>
      <c r="G132" s="407"/>
      <c r="H132" s="79">
        <f>H133+H134</f>
        <v>20940.075000000001</v>
      </c>
      <c r="I132" s="79">
        <f>I133+I134</f>
        <v>6210.2</v>
      </c>
      <c r="J132" s="79">
        <f>J133+J134</f>
        <v>7149.3</v>
      </c>
      <c r="K132" s="79">
        <f>K133+K134</f>
        <v>7580.5749999999998</v>
      </c>
      <c r="L132" s="486" t="s">
        <v>465</v>
      </c>
    </row>
    <row r="133" spans="1:12" s="113" customFormat="1" ht="75" customHeight="1" x14ac:dyDescent="0.25">
      <c r="A133" s="476"/>
      <c r="B133" s="351"/>
      <c r="C133" s="300"/>
      <c r="D133" s="458" t="s">
        <v>30</v>
      </c>
      <c r="E133" s="299" t="s">
        <v>76</v>
      </c>
      <c r="F133" s="403" t="s">
        <v>421</v>
      </c>
      <c r="G133" s="251" t="s">
        <v>398</v>
      </c>
      <c r="H133" s="79">
        <f>I133+J133+K133</f>
        <v>19807.875</v>
      </c>
      <c r="I133" s="80">
        <f>4969+109</f>
        <v>5078</v>
      </c>
      <c r="J133" s="80">
        <f>7149.3-37.5+37.5</f>
        <v>7149.3</v>
      </c>
      <c r="K133" s="80">
        <f>7621.2-40.625</f>
        <v>7580.5749999999998</v>
      </c>
      <c r="L133" s="487"/>
    </row>
    <row r="134" spans="1:12" s="113" customFormat="1" ht="75" customHeight="1" x14ac:dyDescent="0.25">
      <c r="A134" s="476"/>
      <c r="B134" s="351"/>
      <c r="C134" s="301"/>
      <c r="D134" s="459"/>
      <c r="E134" s="301"/>
      <c r="F134" s="403"/>
      <c r="G134" s="251" t="s">
        <v>94</v>
      </c>
      <c r="H134" s="79">
        <f>I134+J134+K134</f>
        <v>1132.2</v>
      </c>
      <c r="I134" s="80">
        <v>1132.2</v>
      </c>
      <c r="J134" s="80">
        <v>0</v>
      </c>
      <c r="K134" s="80">
        <v>0</v>
      </c>
      <c r="L134" s="487"/>
    </row>
    <row r="135" spans="1:12" s="113" customFormat="1" ht="102" customHeight="1" x14ac:dyDescent="0.25">
      <c r="A135" s="476"/>
      <c r="B135" s="352"/>
      <c r="C135" s="238" t="s">
        <v>219</v>
      </c>
      <c r="D135" s="119" t="s">
        <v>30</v>
      </c>
      <c r="E135" s="36" t="s">
        <v>76</v>
      </c>
      <c r="F135" s="403"/>
      <c r="G135" s="251" t="s">
        <v>398</v>
      </c>
      <c r="H135" s="79">
        <f>I135+J135+K135</f>
        <v>1612.6</v>
      </c>
      <c r="I135" s="80">
        <v>527.79999999999995</v>
      </c>
      <c r="J135" s="80">
        <f>452.8+81.7+62-0.7</f>
        <v>595.79999999999995</v>
      </c>
      <c r="K135" s="80">
        <v>489</v>
      </c>
      <c r="L135" s="488"/>
    </row>
    <row r="136" spans="1:12" s="113" customFormat="1" ht="75" customHeight="1" x14ac:dyDescent="0.25">
      <c r="A136" s="408"/>
      <c r="B136" s="408"/>
      <c r="C136" s="408"/>
      <c r="D136" s="408"/>
      <c r="E136" s="350" t="s">
        <v>257</v>
      </c>
      <c r="F136" s="403"/>
      <c r="G136" s="251"/>
      <c r="H136" s="79">
        <f>H132+H135</f>
        <v>22552.674999999999</v>
      </c>
      <c r="I136" s="79">
        <f>I132+I135</f>
        <v>6738</v>
      </c>
      <c r="J136" s="79">
        <f>J132+J135</f>
        <v>7745.1</v>
      </c>
      <c r="K136" s="79">
        <f>K132+K135</f>
        <v>8069.5749999999998</v>
      </c>
      <c r="L136" s="338"/>
    </row>
    <row r="137" spans="1:12" s="113" customFormat="1" ht="75" customHeight="1" x14ac:dyDescent="0.25">
      <c r="A137" s="408"/>
      <c r="B137" s="408"/>
      <c r="C137" s="408"/>
      <c r="D137" s="408"/>
      <c r="E137" s="351"/>
      <c r="F137" s="403"/>
      <c r="G137" s="251" t="s">
        <v>398</v>
      </c>
      <c r="H137" s="79">
        <f>H133+H135</f>
        <v>21420.474999999999</v>
      </c>
      <c r="I137" s="79">
        <f>I133+I135</f>
        <v>5605.8</v>
      </c>
      <c r="J137" s="79">
        <f>J133+J135</f>
        <v>7745.1</v>
      </c>
      <c r="K137" s="79">
        <f>K133+K135</f>
        <v>8069.5749999999998</v>
      </c>
      <c r="L137" s="339"/>
    </row>
    <row r="138" spans="1:12" s="113" customFormat="1" ht="75" customHeight="1" x14ac:dyDescent="0.25">
      <c r="A138" s="408"/>
      <c r="B138" s="408"/>
      <c r="C138" s="408"/>
      <c r="D138" s="408"/>
      <c r="E138" s="352"/>
      <c r="F138" s="403"/>
      <c r="G138" s="251" t="s">
        <v>94</v>
      </c>
      <c r="H138" s="79">
        <f>H134</f>
        <v>1132.2</v>
      </c>
      <c r="I138" s="79">
        <f>I134</f>
        <v>1132.2</v>
      </c>
      <c r="J138" s="79">
        <f>J134</f>
        <v>0</v>
      </c>
      <c r="K138" s="79">
        <f>K134</f>
        <v>0</v>
      </c>
      <c r="L138" s="364"/>
    </row>
    <row r="139" spans="1:12" ht="75" customHeight="1" x14ac:dyDescent="0.35">
      <c r="A139" s="417" t="s">
        <v>62</v>
      </c>
      <c r="B139" s="418"/>
      <c r="C139" s="418"/>
      <c r="D139" s="418"/>
      <c r="E139" s="418"/>
      <c r="F139" s="418"/>
      <c r="G139" s="419"/>
      <c r="H139" s="84">
        <f>H26+H95+H129+H136</f>
        <v>247519.90999999997</v>
      </c>
      <c r="I139" s="84">
        <f>I26+I95+I129+I136</f>
        <v>136386.12300000002</v>
      </c>
      <c r="J139" s="84">
        <f>J26+J95+J129+J136</f>
        <v>65118.759999999995</v>
      </c>
      <c r="K139" s="84">
        <f>K26+K95+K129+K136</f>
        <v>46015.026999999995</v>
      </c>
      <c r="L139" s="492"/>
    </row>
    <row r="140" spans="1:12" s="113" customFormat="1" ht="75" customHeight="1" x14ac:dyDescent="0.25">
      <c r="A140" s="366" t="s">
        <v>17</v>
      </c>
      <c r="B140" s="366"/>
      <c r="C140" s="366"/>
      <c r="D140" s="366"/>
      <c r="E140" s="366"/>
      <c r="F140" s="367"/>
      <c r="G140" s="227" t="s">
        <v>398</v>
      </c>
      <c r="H140" s="91">
        <f>H26+H96+H130+H137</f>
        <v>191656.21000000002</v>
      </c>
      <c r="I140" s="91">
        <f>I26+I96+I130+I137</f>
        <v>80658.922999999981</v>
      </c>
      <c r="J140" s="91">
        <f>J26+J96+J130+J137</f>
        <v>64982.259999999995</v>
      </c>
      <c r="K140" s="91">
        <f>K26+K96+K130+K137</f>
        <v>46015.026999999995</v>
      </c>
      <c r="L140" s="493"/>
    </row>
    <row r="141" spans="1:12" s="113" customFormat="1" ht="112.5" customHeight="1" x14ac:dyDescent="0.25">
      <c r="A141" s="369"/>
      <c r="B141" s="369"/>
      <c r="C141" s="369"/>
      <c r="D141" s="369"/>
      <c r="E141" s="369"/>
      <c r="F141" s="370"/>
      <c r="G141" s="227" t="s">
        <v>94</v>
      </c>
      <c r="H141" s="91">
        <f>H138+H131+H97</f>
        <v>52689.700000000004</v>
      </c>
      <c r="I141" s="91">
        <f>I138+I131+I97</f>
        <v>52689.700000000004</v>
      </c>
      <c r="J141" s="91">
        <f>J138+J131+J97</f>
        <v>0</v>
      </c>
      <c r="K141" s="91">
        <f>K138+K131+K97</f>
        <v>0</v>
      </c>
      <c r="L141" s="493"/>
    </row>
    <row r="142" spans="1:12" s="113" customFormat="1" ht="168.75" customHeight="1" x14ac:dyDescent="0.25">
      <c r="A142" s="369"/>
      <c r="B142" s="369"/>
      <c r="C142" s="369"/>
      <c r="D142" s="369"/>
      <c r="E142" s="369"/>
      <c r="F142" s="370"/>
      <c r="G142" s="228" t="s">
        <v>97</v>
      </c>
      <c r="H142" s="91">
        <f t="shared" ref="H142:K143" si="16">H98</f>
        <v>2977.5</v>
      </c>
      <c r="I142" s="91">
        <f>I98</f>
        <v>2977.5</v>
      </c>
      <c r="J142" s="91">
        <f t="shared" si="16"/>
        <v>0</v>
      </c>
      <c r="K142" s="91">
        <f t="shared" si="16"/>
        <v>0</v>
      </c>
      <c r="L142" s="493"/>
    </row>
    <row r="143" spans="1:12" s="113" customFormat="1" ht="75" customHeight="1" x14ac:dyDescent="0.25">
      <c r="A143" s="372"/>
      <c r="B143" s="372"/>
      <c r="C143" s="372"/>
      <c r="D143" s="372"/>
      <c r="E143" s="372"/>
      <c r="F143" s="373"/>
      <c r="G143" s="199" t="s">
        <v>311</v>
      </c>
      <c r="H143" s="91">
        <f>H99</f>
        <v>196.5</v>
      </c>
      <c r="I143" s="91">
        <f t="shared" si="16"/>
        <v>60</v>
      </c>
      <c r="J143" s="91">
        <f t="shared" si="16"/>
        <v>136.5</v>
      </c>
      <c r="K143" s="91">
        <f t="shared" si="16"/>
        <v>0</v>
      </c>
      <c r="L143" s="493"/>
    </row>
    <row r="144" spans="1:12" s="113" customFormat="1" ht="75" customHeight="1" x14ac:dyDescent="0.25">
      <c r="A144" s="375" t="s">
        <v>263</v>
      </c>
      <c r="B144" s="376"/>
      <c r="C144" s="376"/>
      <c r="D144" s="377"/>
      <c r="E144" s="323" t="s">
        <v>80</v>
      </c>
      <c r="F144" s="477"/>
      <c r="G144" s="251" t="s">
        <v>95</v>
      </c>
      <c r="H144" s="84">
        <f>SUM(H145:H148)</f>
        <v>43677.87</v>
      </c>
      <c r="I144" s="84">
        <f>SUM(I145:I148)</f>
        <v>28290.43</v>
      </c>
      <c r="J144" s="84">
        <f>SUM(J145:J148)</f>
        <v>10361.540000000001</v>
      </c>
      <c r="K144" s="84">
        <f>SUM(K145:K148)</f>
        <v>5025.8999999999996</v>
      </c>
      <c r="L144" s="493"/>
    </row>
    <row r="145" spans="1:12" ht="75" customHeight="1" x14ac:dyDescent="0.35">
      <c r="A145" s="378"/>
      <c r="B145" s="379"/>
      <c r="C145" s="379"/>
      <c r="D145" s="380"/>
      <c r="E145" s="323"/>
      <c r="F145" s="478"/>
      <c r="G145" s="251" t="s">
        <v>398</v>
      </c>
      <c r="H145" s="92">
        <f>H102</f>
        <v>30985.07</v>
      </c>
      <c r="I145" s="92">
        <f>I102</f>
        <v>15597.63</v>
      </c>
      <c r="J145" s="92">
        <f>J102</f>
        <v>10361.540000000001</v>
      </c>
      <c r="K145" s="92">
        <f>K102</f>
        <v>5025.8999999999996</v>
      </c>
      <c r="L145" s="493"/>
    </row>
    <row r="146" spans="1:12" ht="177.75" customHeight="1" x14ac:dyDescent="0.35">
      <c r="A146" s="378"/>
      <c r="B146" s="379"/>
      <c r="C146" s="379"/>
      <c r="D146" s="380"/>
      <c r="E146" s="323"/>
      <c r="F146" s="478"/>
      <c r="G146" s="251"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6" s="80">
        <f t="shared" ref="H146:K147" si="17">H104</f>
        <v>147.19999999999999</v>
      </c>
      <c r="I146" s="80">
        <f t="shared" si="17"/>
        <v>147.19999999999999</v>
      </c>
      <c r="J146" s="80">
        <f t="shared" si="17"/>
        <v>0</v>
      </c>
      <c r="K146" s="80">
        <f t="shared" si="17"/>
        <v>0</v>
      </c>
      <c r="L146" s="493"/>
    </row>
    <row r="147" spans="1:12" ht="81" customHeight="1" x14ac:dyDescent="0.35">
      <c r="A147" s="378"/>
      <c r="B147" s="379"/>
      <c r="C147" s="379"/>
      <c r="D147" s="380"/>
      <c r="E147" s="323"/>
      <c r="F147" s="478"/>
      <c r="G147" s="251" t="s">
        <v>311</v>
      </c>
      <c r="H147" s="92">
        <f t="shared" si="17"/>
        <v>60</v>
      </c>
      <c r="I147" s="92">
        <f t="shared" si="17"/>
        <v>60</v>
      </c>
      <c r="J147" s="92">
        <f t="shared" si="17"/>
        <v>0</v>
      </c>
      <c r="K147" s="92">
        <f t="shared" si="17"/>
        <v>0</v>
      </c>
      <c r="L147" s="493"/>
    </row>
    <row r="148" spans="1:12" ht="75" customHeight="1" x14ac:dyDescent="0.35">
      <c r="A148" s="378"/>
      <c r="B148" s="379"/>
      <c r="C148" s="379"/>
      <c r="D148" s="380"/>
      <c r="E148" s="323"/>
      <c r="F148" s="478"/>
      <c r="G148" s="251" t="s">
        <v>94</v>
      </c>
      <c r="H148" s="92">
        <f>H103</f>
        <v>12485.6</v>
      </c>
      <c r="I148" s="92">
        <f>I103</f>
        <v>12485.6</v>
      </c>
      <c r="J148" s="92">
        <f>J103</f>
        <v>0</v>
      </c>
      <c r="K148" s="92">
        <f>K103</f>
        <v>0</v>
      </c>
      <c r="L148" s="493"/>
    </row>
    <row r="149" spans="1:12" ht="75" customHeight="1" x14ac:dyDescent="0.35">
      <c r="A149" s="378"/>
      <c r="B149" s="379"/>
      <c r="C149" s="379"/>
      <c r="D149" s="380"/>
      <c r="E149" s="299" t="s">
        <v>74</v>
      </c>
      <c r="F149" s="478"/>
      <c r="G149" s="251" t="s">
        <v>95</v>
      </c>
      <c r="H149" s="84">
        <f>SUM(H150:H151)</f>
        <v>39471.870000000003</v>
      </c>
      <c r="I149" s="84">
        <f>SUM(I150:I151)</f>
        <v>19066.3</v>
      </c>
      <c r="J149" s="84">
        <f>SUM(J150:J151)</f>
        <v>10812.27</v>
      </c>
      <c r="K149" s="84">
        <f>SUM(K150:K151)</f>
        <v>9593.2999999999993</v>
      </c>
      <c r="L149" s="493"/>
    </row>
    <row r="150" spans="1:12" ht="75" customHeight="1" x14ac:dyDescent="0.35">
      <c r="A150" s="378"/>
      <c r="B150" s="379"/>
      <c r="C150" s="379"/>
      <c r="D150" s="380"/>
      <c r="E150" s="300"/>
      <c r="F150" s="478"/>
      <c r="G150" s="251" t="s">
        <v>398</v>
      </c>
      <c r="H150" s="92">
        <f t="shared" ref="H150:K151" si="18">H107</f>
        <v>31311.77</v>
      </c>
      <c r="I150" s="92">
        <f t="shared" si="18"/>
        <v>10906.199999999999</v>
      </c>
      <c r="J150" s="92">
        <f t="shared" si="18"/>
        <v>10812.27</v>
      </c>
      <c r="K150" s="92">
        <f t="shared" si="18"/>
        <v>9593.2999999999993</v>
      </c>
      <c r="L150" s="493"/>
    </row>
    <row r="151" spans="1:12" ht="75" customHeight="1" x14ac:dyDescent="0.35">
      <c r="A151" s="378"/>
      <c r="B151" s="379"/>
      <c r="C151" s="379"/>
      <c r="D151" s="380"/>
      <c r="E151" s="301"/>
      <c r="F151" s="478"/>
      <c r="G151" s="269" t="s">
        <v>94</v>
      </c>
      <c r="H151" s="92">
        <f t="shared" si="18"/>
        <v>8160.1</v>
      </c>
      <c r="I151" s="92">
        <f t="shared" si="18"/>
        <v>8160.1</v>
      </c>
      <c r="J151" s="92">
        <f t="shared" si="18"/>
        <v>0</v>
      </c>
      <c r="K151" s="92">
        <f t="shared" si="18"/>
        <v>0</v>
      </c>
      <c r="L151" s="493"/>
    </row>
    <row r="152" spans="1:12" ht="75" customHeight="1" x14ac:dyDescent="0.35">
      <c r="A152" s="378"/>
      <c r="B152" s="379"/>
      <c r="C152" s="379"/>
      <c r="D152" s="380"/>
      <c r="E152" s="299" t="s">
        <v>75</v>
      </c>
      <c r="F152" s="478"/>
      <c r="G152" s="251" t="s">
        <v>95</v>
      </c>
      <c r="H152" s="84">
        <f>SUM(H153:H155)</f>
        <v>50987.119999999995</v>
      </c>
      <c r="I152" s="84">
        <f>SUM(I153:I155)</f>
        <v>32420.6</v>
      </c>
      <c r="J152" s="84">
        <f>SUM(J153:J155)</f>
        <v>11132.68</v>
      </c>
      <c r="K152" s="84">
        <f>SUM(K153:K155)</f>
        <v>7433.84</v>
      </c>
      <c r="L152" s="493"/>
    </row>
    <row r="153" spans="1:12" ht="75" customHeight="1" x14ac:dyDescent="0.35">
      <c r="A153" s="378"/>
      <c r="B153" s="379"/>
      <c r="C153" s="379"/>
      <c r="D153" s="380"/>
      <c r="E153" s="300"/>
      <c r="F153" s="478"/>
      <c r="G153" s="251" t="s">
        <v>398</v>
      </c>
      <c r="H153" s="92">
        <f t="shared" ref="H153:K155" si="19">H110</f>
        <v>35440.619999999995</v>
      </c>
      <c r="I153" s="92">
        <f t="shared" si="19"/>
        <v>16874.099999999999</v>
      </c>
      <c r="J153" s="92">
        <f t="shared" si="19"/>
        <v>11132.68</v>
      </c>
      <c r="K153" s="92">
        <f t="shared" si="19"/>
        <v>7433.84</v>
      </c>
      <c r="L153" s="493"/>
    </row>
    <row r="154" spans="1:12" ht="75" customHeight="1" x14ac:dyDescent="0.35">
      <c r="A154" s="378"/>
      <c r="B154" s="379"/>
      <c r="C154" s="379"/>
      <c r="D154" s="380"/>
      <c r="E154" s="300"/>
      <c r="F154" s="478"/>
      <c r="G154" s="269" t="s">
        <v>94</v>
      </c>
      <c r="H154" s="92">
        <f t="shared" si="19"/>
        <v>12866.2</v>
      </c>
      <c r="I154" s="92">
        <f t="shared" si="19"/>
        <v>12866.2</v>
      </c>
      <c r="J154" s="92">
        <f t="shared" si="19"/>
        <v>0</v>
      </c>
      <c r="K154" s="92">
        <f t="shared" si="19"/>
        <v>0</v>
      </c>
      <c r="L154" s="493"/>
    </row>
    <row r="155" spans="1:12" ht="168.75" customHeight="1" x14ac:dyDescent="0.35">
      <c r="A155" s="378"/>
      <c r="B155" s="379"/>
      <c r="C155" s="379"/>
      <c r="D155" s="380"/>
      <c r="E155" s="301"/>
      <c r="F155" s="478"/>
      <c r="G155" s="235" t="s">
        <v>97</v>
      </c>
      <c r="H155" s="92">
        <f t="shared" si="19"/>
        <v>2680.3</v>
      </c>
      <c r="I155" s="92">
        <f t="shared" si="19"/>
        <v>2680.3</v>
      </c>
      <c r="J155" s="92">
        <f t="shared" si="19"/>
        <v>0</v>
      </c>
      <c r="K155" s="92">
        <f t="shared" si="19"/>
        <v>0</v>
      </c>
      <c r="L155" s="493"/>
    </row>
    <row r="156" spans="1:12" ht="75" customHeight="1" x14ac:dyDescent="0.35">
      <c r="A156" s="378"/>
      <c r="B156" s="379"/>
      <c r="C156" s="379"/>
      <c r="D156" s="380"/>
      <c r="E156" s="299" t="s">
        <v>73</v>
      </c>
      <c r="F156" s="478"/>
      <c r="G156" s="251" t="s">
        <v>95</v>
      </c>
      <c r="H156" s="84">
        <f>SUM(H157:H159)</f>
        <v>51388.60500000001</v>
      </c>
      <c r="I156" s="84">
        <f t="shared" ref="I156:K156" si="20">SUM(I157:I159)</f>
        <v>31360.183000000001</v>
      </c>
      <c r="J156" s="84">
        <f t="shared" si="20"/>
        <v>12426.029999999999</v>
      </c>
      <c r="K156" s="84">
        <f t="shared" si="20"/>
        <v>7602.3920000000007</v>
      </c>
      <c r="L156" s="493"/>
    </row>
    <row r="157" spans="1:12" ht="75" customHeight="1" x14ac:dyDescent="0.35">
      <c r="A157" s="378"/>
      <c r="B157" s="379"/>
      <c r="C157" s="379"/>
      <c r="D157" s="380"/>
      <c r="E157" s="300"/>
      <c r="F157" s="478"/>
      <c r="G157" s="269" t="s">
        <v>398</v>
      </c>
      <c r="H157" s="92">
        <f t="shared" ref="H157:K158" si="21">H114</f>
        <v>39540.60500000001</v>
      </c>
      <c r="I157" s="92">
        <f t="shared" si="21"/>
        <v>19512.183000000001</v>
      </c>
      <c r="J157" s="92">
        <f t="shared" si="21"/>
        <v>12426.029999999999</v>
      </c>
      <c r="K157" s="92">
        <f t="shared" si="21"/>
        <v>7602.3920000000007</v>
      </c>
      <c r="L157" s="493"/>
    </row>
    <row r="158" spans="1:12" ht="75" customHeight="1" x14ac:dyDescent="0.35">
      <c r="A158" s="378"/>
      <c r="B158" s="379"/>
      <c r="C158" s="379"/>
      <c r="D158" s="380"/>
      <c r="E158" s="300"/>
      <c r="F158" s="478"/>
      <c r="G158" s="269" t="s">
        <v>94</v>
      </c>
      <c r="H158" s="92">
        <f t="shared" si="21"/>
        <v>11698</v>
      </c>
      <c r="I158" s="92">
        <f>I115</f>
        <v>11698</v>
      </c>
      <c r="J158" s="92">
        <f t="shared" si="21"/>
        <v>0</v>
      </c>
      <c r="K158" s="92">
        <f t="shared" si="21"/>
        <v>0</v>
      </c>
      <c r="L158" s="493"/>
    </row>
    <row r="159" spans="1:12" ht="157.5" customHeight="1" x14ac:dyDescent="0.35">
      <c r="A159" s="378"/>
      <c r="B159" s="379"/>
      <c r="C159" s="379"/>
      <c r="D159" s="380"/>
      <c r="E159" s="301"/>
      <c r="F159" s="478"/>
      <c r="G159" s="269" t="s">
        <v>97</v>
      </c>
      <c r="H159" s="92">
        <f>H116</f>
        <v>150</v>
      </c>
      <c r="I159" s="92">
        <f>I116</f>
        <v>150</v>
      </c>
      <c r="J159" s="92">
        <v>0</v>
      </c>
      <c r="K159" s="92">
        <v>0</v>
      </c>
      <c r="L159" s="493"/>
    </row>
    <row r="160" spans="1:12" ht="57.75" customHeight="1" x14ac:dyDescent="0.35">
      <c r="A160" s="378"/>
      <c r="B160" s="379"/>
      <c r="C160" s="379"/>
      <c r="D160" s="380"/>
      <c r="E160" s="299" t="s">
        <v>440</v>
      </c>
      <c r="F160" s="478"/>
      <c r="G160" s="251" t="s">
        <v>95</v>
      </c>
      <c r="H160" s="92">
        <f>H161+H162</f>
        <v>2337.0499999999997</v>
      </c>
      <c r="I160" s="92">
        <f t="shared" ref="I160:K160" si="22">I161+I162</f>
        <v>0</v>
      </c>
      <c r="J160" s="92">
        <f t="shared" si="22"/>
        <v>2337.0499999999997</v>
      </c>
      <c r="K160" s="92">
        <f t="shared" si="22"/>
        <v>0</v>
      </c>
      <c r="L160" s="493"/>
    </row>
    <row r="161" spans="1:12" ht="82.5" customHeight="1" x14ac:dyDescent="0.35">
      <c r="A161" s="378"/>
      <c r="B161" s="379"/>
      <c r="C161" s="379"/>
      <c r="D161" s="380"/>
      <c r="E161" s="300"/>
      <c r="F161" s="478"/>
      <c r="G161" s="269" t="s">
        <v>398</v>
      </c>
      <c r="H161" s="92">
        <f>H35+H50+H57+H73</f>
        <v>2200.5499999999997</v>
      </c>
      <c r="I161" s="92">
        <f>I35+I50+I57+I73</f>
        <v>0</v>
      </c>
      <c r="J161" s="92">
        <f>J35+J50+J57+J73</f>
        <v>2200.5499999999997</v>
      </c>
      <c r="K161" s="92">
        <f>K35+K50+K57+K73</f>
        <v>0</v>
      </c>
      <c r="L161" s="493"/>
    </row>
    <row r="162" spans="1:12" ht="75" customHeight="1" x14ac:dyDescent="0.35">
      <c r="A162" s="378"/>
      <c r="B162" s="379"/>
      <c r="C162" s="379"/>
      <c r="D162" s="380"/>
      <c r="E162" s="301"/>
      <c r="F162" s="478"/>
      <c r="G162" s="269" t="s">
        <v>311</v>
      </c>
      <c r="H162" s="92">
        <f t="shared" ref="H162:I162" si="23">H119</f>
        <v>136.5</v>
      </c>
      <c r="I162" s="92">
        <f t="shared" si="23"/>
        <v>0</v>
      </c>
      <c r="J162" s="92">
        <f>J119</f>
        <v>136.5</v>
      </c>
      <c r="K162" s="92">
        <f>K119</f>
        <v>0</v>
      </c>
      <c r="L162" s="493"/>
    </row>
    <row r="163" spans="1:12" ht="75" customHeight="1" x14ac:dyDescent="0.35">
      <c r="A163" s="378"/>
      <c r="B163" s="379"/>
      <c r="C163" s="379"/>
      <c r="D163" s="380"/>
      <c r="E163" s="299" t="s">
        <v>77</v>
      </c>
      <c r="F163" s="478"/>
      <c r="G163" s="251" t="s">
        <v>95</v>
      </c>
      <c r="H163" s="84">
        <f>SUM(H164:H165)</f>
        <v>20623.07</v>
      </c>
      <c r="I163" s="84">
        <f>SUM(I164:I165)</f>
        <v>12611</v>
      </c>
      <c r="J163" s="84">
        <f>SUM(J164:J165)</f>
        <v>4498.1500000000005</v>
      </c>
      <c r="K163" s="84">
        <f>SUM(K164:K165)</f>
        <v>3513.92</v>
      </c>
      <c r="L163" s="493"/>
    </row>
    <row r="164" spans="1:12" ht="75" customHeight="1" x14ac:dyDescent="0.35">
      <c r="A164" s="378"/>
      <c r="B164" s="379"/>
      <c r="C164" s="379"/>
      <c r="D164" s="380"/>
      <c r="E164" s="300"/>
      <c r="F164" s="478"/>
      <c r="G164" s="269" t="s">
        <v>398</v>
      </c>
      <c r="H164" s="92">
        <f t="shared" ref="H164:K165" si="24">H130</f>
        <v>14275.47</v>
      </c>
      <c r="I164" s="92">
        <f t="shared" si="24"/>
        <v>6263.4000000000005</v>
      </c>
      <c r="J164" s="92">
        <f>J130</f>
        <v>4498.1500000000005</v>
      </c>
      <c r="K164" s="92">
        <f t="shared" si="24"/>
        <v>3513.92</v>
      </c>
      <c r="L164" s="493"/>
    </row>
    <row r="165" spans="1:12" ht="75" customHeight="1" x14ac:dyDescent="0.35">
      <c r="A165" s="378"/>
      <c r="B165" s="379"/>
      <c r="C165" s="379"/>
      <c r="D165" s="380"/>
      <c r="E165" s="301"/>
      <c r="F165" s="478"/>
      <c r="G165" s="269" t="s">
        <v>94</v>
      </c>
      <c r="H165" s="92">
        <f t="shared" si="24"/>
        <v>6347.6</v>
      </c>
      <c r="I165" s="92">
        <f t="shared" si="24"/>
        <v>6347.6</v>
      </c>
      <c r="J165" s="92">
        <f t="shared" si="24"/>
        <v>0</v>
      </c>
      <c r="K165" s="92">
        <f t="shared" si="24"/>
        <v>0</v>
      </c>
      <c r="L165" s="493"/>
    </row>
    <row r="166" spans="1:12" ht="75" customHeight="1" x14ac:dyDescent="0.35">
      <c r="A166" s="378"/>
      <c r="B166" s="379"/>
      <c r="C166" s="379"/>
      <c r="D166" s="380"/>
      <c r="E166" s="299" t="s">
        <v>76</v>
      </c>
      <c r="F166" s="478"/>
      <c r="G166" s="251" t="s">
        <v>95</v>
      </c>
      <c r="H166" s="84">
        <f>SUM(H167:H168)</f>
        <v>22552.674999999999</v>
      </c>
      <c r="I166" s="84">
        <f>SUM(I167:I168)</f>
        <v>6738</v>
      </c>
      <c r="J166" s="84">
        <f>SUM(J167:J168)</f>
        <v>7745.1</v>
      </c>
      <c r="K166" s="84">
        <f>SUM(K167:K168)</f>
        <v>8069.5749999999998</v>
      </c>
      <c r="L166" s="493"/>
    </row>
    <row r="167" spans="1:12" ht="75" customHeight="1" x14ac:dyDescent="0.35">
      <c r="A167" s="378"/>
      <c r="B167" s="379"/>
      <c r="C167" s="379"/>
      <c r="D167" s="380"/>
      <c r="E167" s="300"/>
      <c r="F167" s="478"/>
      <c r="G167" s="269" t="s">
        <v>398</v>
      </c>
      <c r="H167" s="92">
        <f t="shared" ref="H167:K168" si="25">H137</f>
        <v>21420.474999999999</v>
      </c>
      <c r="I167" s="92">
        <f t="shared" si="25"/>
        <v>5605.8</v>
      </c>
      <c r="J167" s="92">
        <f t="shared" si="25"/>
        <v>7745.1</v>
      </c>
      <c r="K167" s="92">
        <f t="shared" si="25"/>
        <v>8069.5749999999998</v>
      </c>
      <c r="L167" s="493"/>
    </row>
    <row r="168" spans="1:12" ht="75" customHeight="1" x14ac:dyDescent="0.35">
      <c r="A168" s="378"/>
      <c r="B168" s="379"/>
      <c r="C168" s="379"/>
      <c r="D168" s="380"/>
      <c r="E168" s="301"/>
      <c r="F168" s="478"/>
      <c r="G168" s="269" t="s">
        <v>94</v>
      </c>
      <c r="H168" s="92">
        <f t="shared" si="25"/>
        <v>1132.2</v>
      </c>
      <c r="I168" s="92">
        <f t="shared" si="25"/>
        <v>1132.2</v>
      </c>
      <c r="J168" s="92">
        <f t="shared" si="25"/>
        <v>0</v>
      </c>
      <c r="K168" s="92">
        <f t="shared" si="25"/>
        <v>0</v>
      </c>
      <c r="L168" s="493"/>
    </row>
    <row r="169" spans="1:12" ht="75" customHeight="1" x14ac:dyDescent="0.35">
      <c r="A169" s="378"/>
      <c r="B169" s="379"/>
      <c r="C169" s="379"/>
      <c r="D169" s="380"/>
      <c r="E169" s="36" t="s">
        <v>78</v>
      </c>
      <c r="F169" s="478"/>
      <c r="G169" s="269" t="s">
        <v>398</v>
      </c>
      <c r="H169" s="84">
        <f t="shared" ref="H169:K170" si="26">H27</f>
        <v>6658.0399999999991</v>
      </c>
      <c r="I169" s="84">
        <f t="shared" si="26"/>
        <v>1511</v>
      </c>
      <c r="J169" s="84">
        <f t="shared" si="26"/>
        <v>2864.2400000000002</v>
      </c>
      <c r="K169" s="84">
        <f t="shared" si="26"/>
        <v>2282.7999999999997</v>
      </c>
      <c r="L169" s="493"/>
    </row>
    <row r="170" spans="1:12" ht="75" customHeight="1" x14ac:dyDescent="0.35">
      <c r="A170" s="378"/>
      <c r="B170" s="379"/>
      <c r="C170" s="379"/>
      <c r="D170" s="380"/>
      <c r="E170" s="238" t="s">
        <v>79</v>
      </c>
      <c r="F170" s="478"/>
      <c r="G170" s="269" t="s">
        <v>398</v>
      </c>
      <c r="H170" s="84">
        <f t="shared" si="26"/>
        <v>6733.61</v>
      </c>
      <c r="I170" s="84">
        <f t="shared" si="26"/>
        <v>1388.61</v>
      </c>
      <c r="J170" s="84">
        <f t="shared" si="26"/>
        <v>2851.7</v>
      </c>
      <c r="K170" s="84">
        <f t="shared" si="26"/>
        <v>2493.3000000000002</v>
      </c>
      <c r="L170" s="493"/>
    </row>
    <row r="171" spans="1:12" ht="75" customHeight="1" x14ac:dyDescent="0.35">
      <c r="A171" s="378"/>
      <c r="B171" s="379"/>
      <c r="C171" s="379"/>
      <c r="D171" s="380"/>
      <c r="E171" s="238" t="s">
        <v>385</v>
      </c>
      <c r="F171" s="478"/>
      <c r="G171" s="269" t="s">
        <v>398</v>
      </c>
      <c r="H171" s="84">
        <f t="shared" ref="H171:K172" si="27">H120</f>
        <v>3000</v>
      </c>
      <c r="I171" s="84">
        <f t="shared" si="27"/>
        <v>3000</v>
      </c>
      <c r="J171" s="84">
        <f t="shared" si="27"/>
        <v>0</v>
      </c>
      <c r="K171" s="84">
        <f t="shared" si="27"/>
        <v>0</v>
      </c>
      <c r="L171" s="494"/>
    </row>
    <row r="172" spans="1:12" ht="107.25" customHeight="1" x14ac:dyDescent="0.35">
      <c r="A172" s="381"/>
      <c r="B172" s="382"/>
      <c r="C172" s="382"/>
      <c r="D172" s="383"/>
      <c r="E172" s="238" t="s">
        <v>446</v>
      </c>
      <c r="F172" s="479"/>
      <c r="G172" s="269" t="s">
        <v>398</v>
      </c>
      <c r="H172" s="84">
        <f t="shared" si="27"/>
        <v>90</v>
      </c>
      <c r="I172" s="84">
        <f t="shared" si="27"/>
        <v>0</v>
      </c>
      <c r="J172" s="84">
        <f t="shared" si="27"/>
        <v>90</v>
      </c>
      <c r="K172" s="84">
        <f t="shared" si="27"/>
        <v>0</v>
      </c>
      <c r="L172" s="250"/>
    </row>
    <row r="173" spans="1:12" ht="48" customHeight="1" x14ac:dyDescent="0.35">
      <c r="A173" s="417" t="s">
        <v>201</v>
      </c>
      <c r="B173" s="418"/>
      <c r="C173" s="418"/>
      <c r="D173" s="418"/>
      <c r="E173" s="418"/>
      <c r="F173" s="418"/>
      <c r="G173" s="418"/>
      <c r="H173" s="418"/>
      <c r="I173" s="418"/>
      <c r="J173" s="418"/>
      <c r="K173" s="418"/>
      <c r="L173" s="419"/>
    </row>
    <row r="174" spans="1:12" ht="310.5" customHeight="1" x14ac:dyDescent="0.35">
      <c r="A174" s="408" t="s">
        <v>209</v>
      </c>
      <c r="B174" s="315" t="s">
        <v>202</v>
      </c>
      <c r="C174" s="299" t="s">
        <v>220</v>
      </c>
      <c r="D174" s="417" t="s">
        <v>333</v>
      </c>
      <c r="E174" s="418"/>
      <c r="F174" s="418"/>
      <c r="G174" s="419"/>
      <c r="H174" s="84">
        <f>SUM(H175:H177)</f>
        <v>16196.574089599999</v>
      </c>
      <c r="I174" s="84">
        <f>SUM(I175:I177)</f>
        <v>5194</v>
      </c>
      <c r="J174" s="84">
        <f>SUM(J175:J177)</f>
        <v>5304.409599999999</v>
      </c>
      <c r="K174" s="84">
        <f>SUM(K175:K177)</f>
        <v>5698.1644895999998</v>
      </c>
      <c r="L174" s="117" t="s">
        <v>260</v>
      </c>
    </row>
    <row r="175" spans="1:12" ht="206.25" customHeight="1" x14ac:dyDescent="0.35">
      <c r="A175" s="408"/>
      <c r="B175" s="315"/>
      <c r="C175" s="300"/>
      <c r="D175" s="21" t="s">
        <v>32</v>
      </c>
      <c r="E175" s="122" t="s">
        <v>78</v>
      </c>
      <c r="F175" s="335" t="s">
        <v>421</v>
      </c>
      <c r="G175" s="335" t="s">
        <v>398</v>
      </c>
      <c r="H175" s="79">
        <f>I175+J175+K175</f>
        <v>7318.1826335999995</v>
      </c>
      <c r="I175" s="80">
        <v>2331.3000000000002</v>
      </c>
      <c r="J175" s="80">
        <v>2387.7535999999996</v>
      </c>
      <c r="K175" s="80">
        <v>2599.1290335999997</v>
      </c>
      <c r="L175" s="203"/>
    </row>
    <row r="176" spans="1:12" ht="109.5" customHeight="1" x14ac:dyDescent="0.35">
      <c r="A176" s="408"/>
      <c r="B176" s="315"/>
      <c r="C176" s="300"/>
      <c r="D176" s="21" t="s">
        <v>32</v>
      </c>
      <c r="E176" s="122" t="s">
        <v>79</v>
      </c>
      <c r="F176" s="336"/>
      <c r="G176" s="336"/>
      <c r="H176" s="79">
        <f>I176+J176+K176</f>
        <v>8808.3914559999994</v>
      </c>
      <c r="I176" s="80">
        <v>2862.7</v>
      </c>
      <c r="J176" s="80">
        <v>2846.6559999999999</v>
      </c>
      <c r="K176" s="80">
        <v>3099.0354559999996</v>
      </c>
      <c r="L176" s="204"/>
    </row>
    <row r="177" spans="1:12" ht="109.5" customHeight="1" x14ac:dyDescent="0.35">
      <c r="A177" s="408"/>
      <c r="B177" s="315"/>
      <c r="C177" s="301"/>
      <c r="D177" s="21" t="s">
        <v>32</v>
      </c>
      <c r="E177" s="122" t="s">
        <v>440</v>
      </c>
      <c r="F177" s="337"/>
      <c r="G177" s="337"/>
      <c r="H177" s="79">
        <f>I177+J177+K177</f>
        <v>70</v>
      </c>
      <c r="I177" s="80">
        <v>0</v>
      </c>
      <c r="J177" s="80">
        <v>70</v>
      </c>
      <c r="K177" s="80">
        <v>0</v>
      </c>
      <c r="L177" s="256"/>
    </row>
    <row r="178" spans="1:12" s="113" customFormat="1" ht="75" customHeight="1" x14ac:dyDescent="0.25">
      <c r="A178" s="408"/>
      <c r="B178" s="315"/>
      <c r="C178" s="540" t="s">
        <v>221</v>
      </c>
      <c r="D178" s="480" t="s">
        <v>334</v>
      </c>
      <c r="E178" s="480"/>
      <c r="F178" s="480"/>
      <c r="G178" s="480"/>
      <c r="H178" s="79">
        <f>H179+H180</f>
        <v>2688.9522999999999</v>
      </c>
      <c r="I178" s="79">
        <f>I179+I180</f>
        <v>833.40000000000009</v>
      </c>
      <c r="J178" s="79">
        <f>J179+J180</f>
        <v>900.7</v>
      </c>
      <c r="K178" s="79">
        <f>K179+K180</f>
        <v>954.85230000000001</v>
      </c>
      <c r="L178" s="323" t="s">
        <v>45</v>
      </c>
    </row>
    <row r="179" spans="1:12" ht="75" customHeight="1" x14ac:dyDescent="0.35">
      <c r="A179" s="408"/>
      <c r="B179" s="315"/>
      <c r="C179" s="541"/>
      <c r="D179" s="21" t="s">
        <v>32</v>
      </c>
      <c r="E179" s="238" t="s">
        <v>78</v>
      </c>
      <c r="F179" s="412" t="s">
        <v>421</v>
      </c>
      <c r="G179" s="412" t="s">
        <v>398</v>
      </c>
      <c r="H179" s="79">
        <f>I179+J179+K179</f>
        <v>1540</v>
      </c>
      <c r="I179" s="80">
        <v>478.8</v>
      </c>
      <c r="J179" s="80">
        <v>513.4</v>
      </c>
      <c r="K179" s="80">
        <v>547.79999999999995</v>
      </c>
      <c r="L179" s="323"/>
    </row>
    <row r="180" spans="1:12" ht="87.75" customHeight="1" x14ac:dyDescent="0.35">
      <c r="A180" s="408"/>
      <c r="B180" s="315"/>
      <c r="C180" s="542"/>
      <c r="D180" s="21" t="s">
        <v>32</v>
      </c>
      <c r="E180" s="185" t="s">
        <v>79</v>
      </c>
      <c r="F180" s="412"/>
      <c r="G180" s="412"/>
      <c r="H180" s="79">
        <f>I180+J180+K180</f>
        <v>1148.9523000000002</v>
      </c>
      <c r="I180" s="80">
        <v>354.6</v>
      </c>
      <c r="J180" s="80">
        <v>387.3</v>
      </c>
      <c r="K180" s="80">
        <f>J180*1.051</f>
        <v>407.0523</v>
      </c>
      <c r="L180" s="323"/>
    </row>
    <row r="181" spans="1:12" ht="158.25" customHeight="1" x14ac:dyDescent="0.35">
      <c r="A181" s="408"/>
      <c r="B181" s="315"/>
      <c r="C181" s="117" t="s">
        <v>222</v>
      </c>
      <c r="D181" s="255" t="s">
        <v>28</v>
      </c>
      <c r="E181" s="238" t="s">
        <v>73</v>
      </c>
      <c r="F181" s="249" t="s">
        <v>421</v>
      </c>
      <c r="G181" s="251" t="s">
        <v>398</v>
      </c>
      <c r="H181" s="79">
        <f>I181+J181+K181</f>
        <v>900</v>
      </c>
      <c r="I181" s="80">
        <v>900</v>
      </c>
      <c r="J181" s="80"/>
      <c r="K181" s="80"/>
      <c r="L181" s="425" t="s">
        <v>70</v>
      </c>
    </row>
    <row r="182" spans="1:12" ht="75" customHeight="1" x14ac:dyDescent="0.35">
      <c r="A182" s="408"/>
      <c r="B182" s="315"/>
      <c r="C182" s="502" t="s">
        <v>223</v>
      </c>
      <c r="D182" s="480" t="s">
        <v>335</v>
      </c>
      <c r="E182" s="480"/>
      <c r="F182" s="480"/>
      <c r="G182" s="480"/>
      <c r="H182" s="79">
        <f>SUM(H183:H185)</f>
        <v>25470.279510400003</v>
      </c>
      <c r="I182" s="79">
        <f>SUM(I183:I185)</f>
        <v>7490.9</v>
      </c>
      <c r="J182" s="79">
        <f>SUM(J183:J185)</f>
        <v>8952.9439999999995</v>
      </c>
      <c r="K182" s="79">
        <f>SUM(K183:K185)</f>
        <v>9026.4355104000006</v>
      </c>
      <c r="L182" s="426"/>
    </row>
    <row r="183" spans="1:12" ht="75" customHeight="1" x14ac:dyDescent="0.35">
      <c r="A183" s="408"/>
      <c r="B183" s="315"/>
      <c r="C183" s="503"/>
      <c r="D183" s="260" t="s">
        <v>28</v>
      </c>
      <c r="E183" s="238" t="s">
        <v>73</v>
      </c>
      <c r="F183" s="403" t="s">
        <v>422</v>
      </c>
      <c r="G183" s="412" t="s">
        <v>398</v>
      </c>
      <c r="H183" s="79">
        <f>I183+J183+K183</f>
        <v>3900.5</v>
      </c>
      <c r="I183" s="80">
        <f>600+200</f>
        <v>800</v>
      </c>
      <c r="J183" s="80">
        <v>1500</v>
      </c>
      <c r="K183" s="80">
        <v>1600.5</v>
      </c>
      <c r="L183" s="426"/>
    </row>
    <row r="184" spans="1:12" ht="75" customHeight="1" x14ac:dyDescent="0.35">
      <c r="A184" s="408"/>
      <c r="B184" s="315"/>
      <c r="C184" s="503"/>
      <c r="D184" s="21" t="s">
        <v>35</v>
      </c>
      <c r="E184" s="238" t="s">
        <v>78</v>
      </c>
      <c r="F184" s="403"/>
      <c r="G184" s="412"/>
      <c r="H184" s="79">
        <f>I184+J184+K184</f>
        <v>10017.570966400001</v>
      </c>
      <c r="I184" s="80">
        <v>3041.9</v>
      </c>
      <c r="J184" s="80">
        <f>3212.2+387.4</f>
        <v>3599.6</v>
      </c>
      <c r="K184" s="80">
        <v>3376.0709664000001</v>
      </c>
      <c r="L184" s="426"/>
    </row>
    <row r="185" spans="1:12" ht="75" customHeight="1" x14ac:dyDescent="0.35">
      <c r="A185" s="408"/>
      <c r="B185" s="315"/>
      <c r="C185" s="504"/>
      <c r="D185" s="21" t="s">
        <v>35</v>
      </c>
      <c r="E185" s="185" t="s">
        <v>79</v>
      </c>
      <c r="F185" s="403"/>
      <c r="G185" s="412"/>
      <c r="H185" s="79">
        <f>I185+J185+K185</f>
        <v>11552.208544000001</v>
      </c>
      <c r="I185" s="80">
        <v>3649</v>
      </c>
      <c r="J185" s="80">
        <v>3853.3440000000001</v>
      </c>
      <c r="K185" s="80">
        <v>4049.864544</v>
      </c>
      <c r="L185" s="426"/>
    </row>
    <row r="186" spans="1:12" ht="179.25" customHeight="1" x14ac:dyDescent="0.35">
      <c r="A186" s="408"/>
      <c r="B186" s="315"/>
      <c r="C186" s="256" t="s">
        <v>224</v>
      </c>
      <c r="D186" s="260" t="s">
        <v>28</v>
      </c>
      <c r="E186" s="238" t="s">
        <v>73</v>
      </c>
      <c r="F186" s="403"/>
      <c r="G186" s="412"/>
      <c r="H186" s="79">
        <f>I186+J186+K186</f>
        <v>420</v>
      </c>
      <c r="I186" s="80">
        <v>420</v>
      </c>
      <c r="J186" s="80"/>
      <c r="K186" s="80"/>
      <c r="L186" s="427"/>
    </row>
    <row r="187" spans="1:12" ht="75" customHeight="1" x14ac:dyDescent="0.35">
      <c r="A187" s="408"/>
      <c r="B187" s="315"/>
      <c r="C187" s="391" t="s">
        <v>225</v>
      </c>
      <c r="D187" s="480" t="s">
        <v>336</v>
      </c>
      <c r="E187" s="480"/>
      <c r="F187" s="480"/>
      <c r="G187" s="480"/>
      <c r="H187" s="79">
        <f>H188+H189</f>
        <v>5857.9</v>
      </c>
      <c r="I187" s="79">
        <f>I188+I189</f>
        <v>1921.3</v>
      </c>
      <c r="J187" s="79">
        <f>J188+J189</f>
        <v>1906.6</v>
      </c>
      <c r="K187" s="79">
        <f>K188+K189</f>
        <v>2030</v>
      </c>
      <c r="L187" s="391" t="s">
        <v>105</v>
      </c>
    </row>
    <row r="188" spans="1:12" ht="102" customHeight="1" x14ac:dyDescent="0.35">
      <c r="A188" s="408"/>
      <c r="B188" s="315"/>
      <c r="C188" s="391"/>
      <c r="D188" s="485" t="s">
        <v>32</v>
      </c>
      <c r="E188" s="238" t="s">
        <v>74</v>
      </c>
      <c r="F188" s="403" t="s">
        <v>421</v>
      </c>
      <c r="G188" s="412" t="s">
        <v>398</v>
      </c>
      <c r="H188" s="79">
        <f>I188+J188+K188</f>
        <v>1745.5</v>
      </c>
      <c r="I188" s="80">
        <f>573.9+0.4</f>
        <v>574.29999999999995</v>
      </c>
      <c r="J188" s="80">
        <v>566.6</v>
      </c>
      <c r="K188" s="80">
        <v>604.6</v>
      </c>
      <c r="L188" s="391"/>
    </row>
    <row r="189" spans="1:12" ht="75" customHeight="1" x14ac:dyDescent="0.35">
      <c r="A189" s="408"/>
      <c r="B189" s="315"/>
      <c r="C189" s="391"/>
      <c r="D189" s="485"/>
      <c r="E189" s="238" t="s">
        <v>76</v>
      </c>
      <c r="F189" s="403"/>
      <c r="G189" s="412"/>
      <c r="H189" s="79">
        <f>I189+J189+K189</f>
        <v>4112.3999999999996</v>
      </c>
      <c r="I189" s="80">
        <v>1347</v>
      </c>
      <c r="J189" s="80">
        <v>1340</v>
      </c>
      <c r="K189" s="80">
        <v>1425.4</v>
      </c>
      <c r="L189" s="391"/>
    </row>
    <row r="190" spans="1:12" ht="135" customHeight="1" x14ac:dyDescent="0.35">
      <c r="A190" s="408"/>
      <c r="B190" s="315"/>
      <c r="C190" s="238" t="s">
        <v>226</v>
      </c>
      <c r="D190" s="123" t="s">
        <v>28</v>
      </c>
      <c r="E190" s="238" t="s">
        <v>75</v>
      </c>
      <c r="F190" s="241" t="s">
        <v>421</v>
      </c>
      <c r="G190" s="235" t="s">
        <v>398</v>
      </c>
      <c r="H190" s="79">
        <f>I190+J190+K190</f>
        <v>533.4</v>
      </c>
      <c r="I190" s="80">
        <v>120</v>
      </c>
      <c r="J190" s="80">
        <v>200</v>
      </c>
      <c r="K190" s="80">
        <v>213.4</v>
      </c>
      <c r="L190" s="117" t="s">
        <v>106</v>
      </c>
    </row>
    <row r="191" spans="1:12" ht="75" customHeight="1" x14ac:dyDescent="0.35">
      <c r="A191" s="408"/>
      <c r="B191" s="315"/>
      <c r="C191" s="491" t="s">
        <v>261</v>
      </c>
      <c r="D191" s="480" t="s">
        <v>337</v>
      </c>
      <c r="E191" s="480"/>
      <c r="F191" s="480"/>
      <c r="G191" s="480"/>
      <c r="H191" s="79">
        <f>H192+H193+H194</f>
        <v>22903.419000000002</v>
      </c>
      <c r="I191" s="79">
        <f>I192+I193+I194</f>
        <v>11499.719000000001</v>
      </c>
      <c r="J191" s="79">
        <f>J192+J193+J194</f>
        <v>11403.7</v>
      </c>
      <c r="K191" s="79">
        <f>K192+K193+K194</f>
        <v>0</v>
      </c>
      <c r="L191" s="323" t="s">
        <v>67</v>
      </c>
    </row>
    <row r="192" spans="1:12" ht="189.75" customHeight="1" x14ac:dyDescent="0.35">
      <c r="A192" s="408"/>
      <c r="B192" s="315"/>
      <c r="C192" s="491"/>
      <c r="D192" s="485" t="s">
        <v>33</v>
      </c>
      <c r="E192" s="391" t="s">
        <v>421</v>
      </c>
      <c r="F192" s="481"/>
      <c r="G192" s="251" t="s">
        <v>97</v>
      </c>
      <c r="H192" s="79">
        <f>I192+J192+K192</f>
        <v>1490.1</v>
      </c>
      <c r="I192" s="80">
        <v>1490.1</v>
      </c>
      <c r="J192" s="85">
        <v>0</v>
      </c>
      <c r="K192" s="80">
        <v>0</v>
      </c>
      <c r="L192" s="323"/>
    </row>
    <row r="193" spans="1:12" ht="204" customHeight="1" x14ac:dyDescent="0.35">
      <c r="A193" s="408"/>
      <c r="B193" s="315"/>
      <c r="C193" s="491"/>
      <c r="D193" s="485"/>
      <c r="E193" s="391"/>
      <c r="F193" s="481"/>
      <c r="G193" s="251" t="s">
        <v>98</v>
      </c>
      <c r="H193" s="79">
        <f>I193+J193+K193</f>
        <v>18013.319000000003</v>
      </c>
      <c r="I193" s="80">
        <f>4342.569+2267.05</f>
        <v>6609.6190000000006</v>
      </c>
      <c r="J193" s="85">
        <f>7670.8+3732.9</f>
        <v>11403.7</v>
      </c>
      <c r="K193" s="80">
        <v>0</v>
      </c>
      <c r="L193" s="323"/>
    </row>
    <row r="194" spans="1:12" ht="85.5" customHeight="1" x14ac:dyDescent="0.35">
      <c r="A194" s="408"/>
      <c r="B194" s="315"/>
      <c r="C194" s="491"/>
      <c r="D194" s="485"/>
      <c r="E194" s="391"/>
      <c r="F194" s="481"/>
      <c r="G194" s="251" t="s">
        <v>400</v>
      </c>
      <c r="H194" s="79">
        <f>I194+J194+K194</f>
        <v>3400</v>
      </c>
      <c r="I194" s="80">
        <f>1600+800+1000</f>
        <v>3400</v>
      </c>
      <c r="J194" s="80">
        <v>0</v>
      </c>
      <c r="K194" s="80">
        <v>0</v>
      </c>
      <c r="L194" s="323"/>
    </row>
    <row r="195" spans="1:12" ht="75" customHeight="1" x14ac:dyDescent="0.35">
      <c r="A195" s="408"/>
      <c r="B195" s="315"/>
      <c r="C195" s="391" t="s">
        <v>262</v>
      </c>
      <c r="D195" s="417" t="s">
        <v>338</v>
      </c>
      <c r="E195" s="418"/>
      <c r="F195" s="418"/>
      <c r="G195" s="419"/>
      <c r="H195" s="79">
        <f>SUM(H196:H200)</f>
        <v>2779.7604499999998</v>
      </c>
      <c r="I195" s="79">
        <f>SUM(I196:I200)</f>
        <v>789.51</v>
      </c>
      <c r="J195" s="79">
        <f>SUM(J196:J200)</f>
        <v>944.35</v>
      </c>
      <c r="K195" s="79">
        <f>SUM(K196:K200)</f>
        <v>1045.9004499999999</v>
      </c>
      <c r="L195" s="391" t="s">
        <v>50</v>
      </c>
    </row>
    <row r="196" spans="1:12" s="113" customFormat="1" ht="75" customHeight="1" x14ac:dyDescent="0.25">
      <c r="A196" s="408"/>
      <c r="B196" s="315"/>
      <c r="C196" s="391"/>
      <c r="D196" s="482" t="s">
        <v>28</v>
      </c>
      <c r="E196" s="323" t="s">
        <v>80</v>
      </c>
      <c r="F196" s="403" t="s">
        <v>422</v>
      </c>
      <c r="G196" s="251" t="s">
        <v>398</v>
      </c>
      <c r="H196" s="79">
        <f>I196+J196+K196</f>
        <v>1090.9099999999999</v>
      </c>
      <c r="I196" s="80">
        <f>307.81</f>
        <v>307.81</v>
      </c>
      <c r="J196" s="80">
        <f>356.7+45.8</f>
        <v>402.5</v>
      </c>
      <c r="K196" s="80">
        <v>380.6</v>
      </c>
      <c r="L196" s="391"/>
    </row>
    <row r="197" spans="1:12" s="113" customFormat="1" ht="170.25" customHeight="1" x14ac:dyDescent="0.25">
      <c r="A197" s="408"/>
      <c r="B197" s="315"/>
      <c r="C197" s="391"/>
      <c r="D197" s="483"/>
      <c r="E197" s="323"/>
      <c r="F197" s="403"/>
      <c r="G197" s="251" t="s">
        <v>97</v>
      </c>
      <c r="H197" s="79">
        <f>I197+J197+K197</f>
        <v>0.6</v>
      </c>
      <c r="I197" s="80">
        <v>0.6</v>
      </c>
      <c r="J197" s="80"/>
      <c r="K197" s="80"/>
      <c r="L197" s="391"/>
    </row>
    <row r="198" spans="1:12" s="113" customFormat="1" ht="75" customHeight="1" x14ac:dyDescent="0.25">
      <c r="A198" s="408"/>
      <c r="B198" s="315"/>
      <c r="C198" s="391"/>
      <c r="D198" s="124" t="s">
        <v>28</v>
      </c>
      <c r="E198" s="238" t="s">
        <v>74</v>
      </c>
      <c r="F198" s="403"/>
      <c r="G198" s="412" t="s">
        <v>398</v>
      </c>
      <c r="H198" s="79">
        <f>I198+J198+K198</f>
        <v>1012.5</v>
      </c>
      <c r="I198" s="80">
        <f>384-96</f>
        <v>288</v>
      </c>
      <c r="J198" s="80">
        <f>405.5-113.7</f>
        <v>291.8</v>
      </c>
      <c r="K198" s="80">
        <v>432.7</v>
      </c>
      <c r="L198" s="391"/>
    </row>
    <row r="199" spans="1:12" s="113" customFormat="1" ht="75" customHeight="1" x14ac:dyDescent="0.25">
      <c r="A199" s="408"/>
      <c r="B199" s="315"/>
      <c r="C199" s="391"/>
      <c r="D199" s="124" t="s">
        <v>28</v>
      </c>
      <c r="E199" s="238" t="s">
        <v>75</v>
      </c>
      <c r="F199" s="403"/>
      <c r="G199" s="412"/>
      <c r="H199" s="79">
        <f>I199+J199+K199</f>
        <v>592.55044999999996</v>
      </c>
      <c r="I199" s="80">
        <f>193.3-17</f>
        <v>176.3</v>
      </c>
      <c r="J199" s="80">
        <f>250-47.05</f>
        <v>202.95</v>
      </c>
      <c r="K199" s="80">
        <f>J199*1.051</f>
        <v>213.30044999999998</v>
      </c>
      <c r="L199" s="391"/>
    </row>
    <row r="200" spans="1:12" s="113" customFormat="1" ht="75" customHeight="1" x14ac:dyDescent="0.25">
      <c r="A200" s="408"/>
      <c r="B200" s="315"/>
      <c r="C200" s="391"/>
      <c r="D200" s="124" t="s">
        <v>28</v>
      </c>
      <c r="E200" s="238" t="s">
        <v>73</v>
      </c>
      <c r="F200" s="403"/>
      <c r="G200" s="412"/>
      <c r="H200" s="79">
        <f>I200+J200+K200</f>
        <v>83.2</v>
      </c>
      <c r="I200" s="80">
        <v>16.8</v>
      </c>
      <c r="J200" s="80">
        <f>18.1+29</f>
        <v>47.1</v>
      </c>
      <c r="K200" s="80">
        <v>19.3</v>
      </c>
      <c r="L200" s="391"/>
    </row>
    <row r="201" spans="1:12" ht="75" customHeight="1" x14ac:dyDescent="0.35">
      <c r="A201" s="513" t="s">
        <v>64</v>
      </c>
      <c r="B201" s="514"/>
      <c r="C201" s="514"/>
      <c r="D201" s="514"/>
      <c r="E201" s="514"/>
      <c r="F201" s="515"/>
      <c r="G201" s="251"/>
      <c r="H201" s="79">
        <f>H174+H178+H181+H182+H186+H187+H190+H191+H195</f>
        <v>77750.28535000002</v>
      </c>
      <c r="I201" s="79">
        <f>I174+I178+I181+I182+I186+I187+I190+I191+I195</f>
        <v>29168.828999999998</v>
      </c>
      <c r="J201" s="79">
        <f>J174+J178+J181+J182+J186+J187+J190+J191+J195</f>
        <v>29612.703599999997</v>
      </c>
      <c r="K201" s="79">
        <f>K174+K178+K181+K182+K186+K187+K190+K191+K195</f>
        <v>18968.752750000003</v>
      </c>
      <c r="L201" s="338"/>
    </row>
    <row r="202" spans="1:12" s="113" customFormat="1" ht="75" customHeight="1" x14ac:dyDescent="0.25">
      <c r="A202" s="366" t="s">
        <v>17</v>
      </c>
      <c r="B202" s="366"/>
      <c r="C202" s="105"/>
      <c r="D202" s="125"/>
      <c r="E202" s="126"/>
      <c r="F202" s="127"/>
      <c r="G202" s="227" t="s">
        <v>398</v>
      </c>
      <c r="H202" s="91">
        <f>H175+H176+H179+H180+H181+H183+H184+H185+H186+H188+H189+H190+H194+H196+H198+H199+H200+H177</f>
        <v>58246.266349999998</v>
      </c>
      <c r="I202" s="91">
        <f>I175+I176+I179+I180+I181+I183+I184+I185+I186+I188+I189+I190+I194+I196+I198+I199+I200+I177</f>
        <v>21068.51</v>
      </c>
      <c r="J202" s="91">
        <f>J175+J176+J179+J180+J181+J183+J184+J185+J186+J188+J189+J190+J194+J196+J198+J199+J200+J177</f>
        <v>18209.003599999996</v>
      </c>
      <c r="K202" s="91">
        <f>K175+K176+K179+K180+K181+K183+K184+K185+K186+K188+K189+K190+K194+K196+K198+K199+K200+K177</f>
        <v>18968.75275</v>
      </c>
      <c r="L202" s="339"/>
    </row>
    <row r="203" spans="1:12" s="113" customFormat="1" ht="181.5" customHeight="1" x14ac:dyDescent="0.25">
      <c r="A203" s="128"/>
      <c r="B203" s="22"/>
      <c r="C203" s="126"/>
      <c r="D203" s="125"/>
      <c r="E203" s="126"/>
      <c r="F203" s="129"/>
      <c r="G203" s="228" t="s">
        <v>97</v>
      </c>
      <c r="H203" s="93">
        <f>H197+H192</f>
        <v>1490.6999999999998</v>
      </c>
      <c r="I203" s="93">
        <f>I197+I192</f>
        <v>1490.6999999999998</v>
      </c>
      <c r="J203" s="93">
        <f>J197+J192</f>
        <v>0</v>
      </c>
      <c r="K203" s="93">
        <f>K197+K192</f>
        <v>0</v>
      </c>
      <c r="L203" s="339"/>
    </row>
    <row r="204" spans="1:12" s="113" customFormat="1" ht="225" customHeight="1" x14ac:dyDescent="0.25">
      <c r="A204" s="128"/>
      <c r="B204" s="22"/>
      <c r="C204" s="126"/>
      <c r="D204" s="125"/>
      <c r="E204" s="126"/>
      <c r="F204" s="129"/>
      <c r="G204" s="199" t="s">
        <v>98</v>
      </c>
      <c r="H204" s="93">
        <f>H193</f>
        <v>18013.319000000003</v>
      </c>
      <c r="I204" s="93">
        <f>I193</f>
        <v>6609.6190000000006</v>
      </c>
      <c r="J204" s="93">
        <f>J193</f>
        <v>11403.7</v>
      </c>
      <c r="K204" s="93">
        <f>K193</f>
        <v>0</v>
      </c>
      <c r="L204" s="339"/>
    </row>
    <row r="205" spans="1:12" s="113" customFormat="1" ht="75" customHeight="1" x14ac:dyDescent="0.25">
      <c r="A205" s="315" t="s">
        <v>263</v>
      </c>
      <c r="B205" s="315"/>
      <c r="C205" s="315"/>
      <c r="D205" s="315"/>
      <c r="E205" s="484" t="s">
        <v>80</v>
      </c>
      <c r="F205" s="484"/>
      <c r="G205" s="229" t="s">
        <v>96</v>
      </c>
      <c r="H205" s="84">
        <f>SUM(H206:H207)</f>
        <v>1091.5099999999998</v>
      </c>
      <c r="I205" s="84">
        <f>SUM(I206:I207)</f>
        <v>308.41000000000003</v>
      </c>
      <c r="J205" s="84">
        <f>SUM(J206:J207)</f>
        <v>402.5</v>
      </c>
      <c r="K205" s="84">
        <f>SUM(K206:K207)</f>
        <v>380.6</v>
      </c>
      <c r="L205" s="339"/>
    </row>
    <row r="206" spans="1:12" s="113" customFormat="1" ht="75" customHeight="1" x14ac:dyDescent="0.25">
      <c r="A206" s="315"/>
      <c r="B206" s="315"/>
      <c r="C206" s="315"/>
      <c r="D206" s="315"/>
      <c r="E206" s="484"/>
      <c r="F206" s="484"/>
      <c r="G206" s="251" t="s">
        <v>97</v>
      </c>
      <c r="H206" s="84">
        <f>H197</f>
        <v>0.6</v>
      </c>
      <c r="I206" s="84">
        <f>I197</f>
        <v>0.6</v>
      </c>
      <c r="J206" s="84">
        <f>J197</f>
        <v>0</v>
      </c>
      <c r="K206" s="84">
        <f>K197</f>
        <v>0</v>
      </c>
      <c r="L206" s="339"/>
    </row>
    <row r="207" spans="1:12" s="113" customFormat="1" ht="75" customHeight="1" x14ac:dyDescent="0.25">
      <c r="A207" s="315"/>
      <c r="B207" s="315"/>
      <c r="C207" s="315"/>
      <c r="D207" s="315"/>
      <c r="E207" s="484"/>
      <c r="F207" s="484"/>
      <c r="G207" s="251" t="s">
        <v>398</v>
      </c>
      <c r="H207" s="84">
        <f>H196</f>
        <v>1090.9099999999999</v>
      </c>
      <c r="I207" s="84">
        <f>I196</f>
        <v>307.81</v>
      </c>
      <c r="J207" s="84">
        <f>J196</f>
        <v>402.5</v>
      </c>
      <c r="K207" s="84">
        <f>K196</f>
        <v>380.6</v>
      </c>
      <c r="L207" s="339"/>
    </row>
    <row r="208" spans="1:12" ht="75" customHeight="1" x14ac:dyDescent="0.35">
      <c r="A208" s="315"/>
      <c r="B208" s="315"/>
      <c r="C208" s="315"/>
      <c r="D208" s="315"/>
      <c r="E208" s="484" t="s">
        <v>74</v>
      </c>
      <c r="F208" s="484"/>
      <c r="G208" s="335" t="s">
        <v>398</v>
      </c>
      <c r="H208" s="84">
        <f>H198+H188</f>
        <v>2758</v>
      </c>
      <c r="I208" s="84">
        <f>I198+I188</f>
        <v>862.3</v>
      </c>
      <c r="J208" s="84">
        <f>J198+J188</f>
        <v>858.40000000000009</v>
      </c>
      <c r="K208" s="84">
        <f>K198+K188</f>
        <v>1037.3</v>
      </c>
      <c r="L208" s="339"/>
    </row>
    <row r="209" spans="1:12" ht="75" customHeight="1" x14ac:dyDescent="0.35">
      <c r="A209" s="315"/>
      <c r="B209" s="315"/>
      <c r="C209" s="315"/>
      <c r="D209" s="315"/>
      <c r="E209" s="484" t="s">
        <v>75</v>
      </c>
      <c r="F209" s="484"/>
      <c r="G209" s="336"/>
      <c r="H209" s="84">
        <f>H199+H190</f>
        <v>1125.9504499999998</v>
      </c>
      <c r="I209" s="84">
        <f>I199+I190</f>
        <v>296.3</v>
      </c>
      <c r="J209" s="84">
        <f>J199+J190</f>
        <v>402.95</v>
      </c>
      <c r="K209" s="84">
        <f>K199+K190</f>
        <v>426.70044999999999</v>
      </c>
      <c r="L209" s="339"/>
    </row>
    <row r="210" spans="1:12" ht="75" customHeight="1" x14ac:dyDescent="0.35">
      <c r="A210" s="315"/>
      <c r="B210" s="315"/>
      <c r="C210" s="315"/>
      <c r="D210" s="315"/>
      <c r="E210" s="484" t="s">
        <v>73</v>
      </c>
      <c r="F210" s="484"/>
      <c r="G210" s="336"/>
      <c r="H210" s="84">
        <f>H200+H186+H183+H181</f>
        <v>5303.7</v>
      </c>
      <c r="I210" s="84">
        <f>I200+I186+I183+I181</f>
        <v>2136.8000000000002</v>
      </c>
      <c r="J210" s="84">
        <f>J200+J186+J183+J181</f>
        <v>1547.1</v>
      </c>
      <c r="K210" s="84">
        <f>K200+K186+K183+K181</f>
        <v>1619.8</v>
      </c>
      <c r="L210" s="339"/>
    </row>
    <row r="211" spans="1:12" ht="75" customHeight="1" x14ac:dyDescent="0.35">
      <c r="A211" s="315"/>
      <c r="B211" s="315"/>
      <c r="C211" s="315"/>
      <c r="D211" s="315"/>
      <c r="E211" s="498" t="s">
        <v>440</v>
      </c>
      <c r="F211" s="499"/>
      <c r="G211" s="336"/>
      <c r="H211" s="84">
        <f>H177</f>
        <v>70</v>
      </c>
      <c r="I211" s="84">
        <f>I177</f>
        <v>0</v>
      </c>
      <c r="J211" s="84">
        <f t="shared" ref="J211:K211" si="28">J177</f>
        <v>70</v>
      </c>
      <c r="K211" s="84">
        <f t="shared" si="28"/>
        <v>0</v>
      </c>
      <c r="L211" s="339"/>
    </row>
    <row r="212" spans="1:12" ht="75" customHeight="1" x14ac:dyDescent="0.35">
      <c r="A212" s="315"/>
      <c r="B212" s="315"/>
      <c r="C212" s="315"/>
      <c r="D212" s="315"/>
      <c r="E212" s="498" t="s">
        <v>76</v>
      </c>
      <c r="F212" s="499"/>
      <c r="G212" s="336"/>
      <c r="H212" s="84">
        <f>H189</f>
        <v>4112.3999999999996</v>
      </c>
      <c r="I212" s="84">
        <f>I189</f>
        <v>1347</v>
      </c>
      <c r="J212" s="84">
        <f>J189</f>
        <v>1340</v>
      </c>
      <c r="K212" s="84">
        <f>K189</f>
        <v>1425.4</v>
      </c>
      <c r="L212" s="339"/>
    </row>
    <row r="213" spans="1:12" ht="75" customHeight="1" x14ac:dyDescent="0.35">
      <c r="A213" s="315"/>
      <c r="B213" s="315"/>
      <c r="C213" s="315"/>
      <c r="D213" s="315"/>
      <c r="E213" s="484" t="s">
        <v>78</v>
      </c>
      <c r="F213" s="484"/>
      <c r="G213" s="336"/>
      <c r="H213" s="84">
        <f t="shared" ref="H213:K214" si="29">H175+H179+H184</f>
        <v>18875.7536</v>
      </c>
      <c r="I213" s="84">
        <f t="shared" si="29"/>
        <v>5852</v>
      </c>
      <c r="J213" s="84">
        <f t="shared" si="29"/>
        <v>6500.7536</v>
      </c>
      <c r="K213" s="84">
        <f t="shared" si="29"/>
        <v>6523</v>
      </c>
      <c r="L213" s="339"/>
    </row>
    <row r="214" spans="1:12" ht="75" customHeight="1" x14ac:dyDescent="0.35">
      <c r="A214" s="315"/>
      <c r="B214" s="315"/>
      <c r="C214" s="315"/>
      <c r="D214" s="315"/>
      <c r="E214" s="484" t="s">
        <v>79</v>
      </c>
      <c r="F214" s="484"/>
      <c r="G214" s="337"/>
      <c r="H214" s="84">
        <f t="shared" si="29"/>
        <v>21509.552300000003</v>
      </c>
      <c r="I214" s="84">
        <f t="shared" si="29"/>
        <v>6866.2999999999993</v>
      </c>
      <c r="J214" s="84">
        <f t="shared" si="29"/>
        <v>7087.3</v>
      </c>
      <c r="K214" s="84">
        <f t="shared" si="29"/>
        <v>7555.952299999999</v>
      </c>
      <c r="L214" s="339"/>
    </row>
    <row r="215" spans="1:12" ht="75" customHeight="1" x14ac:dyDescent="0.35">
      <c r="A215" s="315"/>
      <c r="B215" s="315"/>
      <c r="C215" s="315"/>
      <c r="D215" s="315"/>
      <c r="E215" s="484" t="s">
        <v>423</v>
      </c>
      <c r="F215" s="484"/>
      <c r="G215" s="229" t="s">
        <v>96</v>
      </c>
      <c r="H215" s="79">
        <f>SUM(H216:H218)</f>
        <v>22903.419000000002</v>
      </c>
      <c r="I215" s="79">
        <f>SUM(I216:I218)</f>
        <v>11499.719000000001</v>
      </c>
      <c r="J215" s="79">
        <f>SUM(J216:J218)</f>
        <v>11403.7</v>
      </c>
      <c r="K215" s="79">
        <f>SUM(K216:K218)</f>
        <v>0</v>
      </c>
      <c r="L215" s="339"/>
    </row>
    <row r="216" spans="1:12" ht="168.75" customHeight="1" x14ac:dyDescent="0.35">
      <c r="A216" s="315"/>
      <c r="B216" s="315"/>
      <c r="C216" s="315"/>
      <c r="D216" s="315"/>
      <c r="E216" s="484"/>
      <c r="F216" s="484"/>
      <c r="G216" s="251" t="s">
        <v>97</v>
      </c>
      <c r="H216" s="79">
        <f t="shared" ref="H216:K218" si="30">H192</f>
        <v>1490.1</v>
      </c>
      <c r="I216" s="79">
        <f t="shared" si="30"/>
        <v>1490.1</v>
      </c>
      <c r="J216" s="79">
        <f t="shared" si="30"/>
        <v>0</v>
      </c>
      <c r="K216" s="79">
        <f t="shared" si="30"/>
        <v>0</v>
      </c>
      <c r="L216" s="339"/>
    </row>
    <row r="217" spans="1:12" ht="227.25" customHeight="1" x14ac:dyDescent="0.35">
      <c r="A217" s="315"/>
      <c r="B217" s="315"/>
      <c r="C217" s="315"/>
      <c r="D217" s="315"/>
      <c r="E217" s="484"/>
      <c r="F217" s="484"/>
      <c r="G217" s="251" t="s">
        <v>98</v>
      </c>
      <c r="H217" s="79">
        <f t="shared" si="30"/>
        <v>18013.319000000003</v>
      </c>
      <c r="I217" s="79">
        <f t="shared" si="30"/>
        <v>6609.6190000000006</v>
      </c>
      <c r="J217" s="79">
        <f t="shared" si="30"/>
        <v>11403.7</v>
      </c>
      <c r="K217" s="79">
        <f t="shared" si="30"/>
        <v>0</v>
      </c>
      <c r="L217" s="339"/>
    </row>
    <row r="218" spans="1:12" ht="75" customHeight="1" x14ac:dyDescent="0.35">
      <c r="A218" s="315"/>
      <c r="B218" s="315"/>
      <c r="C218" s="315"/>
      <c r="D218" s="315"/>
      <c r="E218" s="484"/>
      <c r="F218" s="484"/>
      <c r="G218" s="251" t="s">
        <v>400</v>
      </c>
      <c r="H218" s="79">
        <f t="shared" si="30"/>
        <v>3400</v>
      </c>
      <c r="I218" s="79">
        <f t="shared" si="30"/>
        <v>3400</v>
      </c>
      <c r="J218" s="79">
        <f t="shared" si="30"/>
        <v>0</v>
      </c>
      <c r="K218" s="79">
        <f t="shared" si="30"/>
        <v>0</v>
      </c>
      <c r="L218" s="364"/>
    </row>
    <row r="219" spans="1:12" ht="75" customHeight="1" x14ac:dyDescent="0.35">
      <c r="A219" s="547" t="s">
        <v>375</v>
      </c>
      <c r="B219" s="548"/>
      <c r="C219" s="548"/>
      <c r="D219" s="548"/>
      <c r="E219" s="548"/>
      <c r="F219" s="548"/>
      <c r="G219" s="548"/>
      <c r="H219" s="548"/>
      <c r="I219" s="548"/>
      <c r="J219" s="548"/>
      <c r="K219" s="548"/>
      <c r="L219" s="549"/>
    </row>
    <row r="220" spans="1:12" ht="189.75" hidden="1" customHeight="1" x14ac:dyDescent="0.35">
      <c r="A220" s="500" t="s">
        <v>227</v>
      </c>
      <c r="B220" s="350" t="s">
        <v>203</v>
      </c>
      <c r="C220" s="267" t="s">
        <v>228</v>
      </c>
      <c r="D220" s="119" t="s">
        <v>32</v>
      </c>
      <c r="E220" s="271" t="s">
        <v>423</v>
      </c>
      <c r="F220" s="242"/>
      <c r="G220" s="236" t="s">
        <v>399</v>
      </c>
      <c r="H220" s="32">
        <f>I220+J220+K220</f>
        <v>0</v>
      </c>
      <c r="I220" s="210">
        <v>0</v>
      </c>
      <c r="J220" s="210">
        <v>0</v>
      </c>
      <c r="K220" s="210">
        <v>0</v>
      </c>
      <c r="L220" s="36" t="s">
        <v>310</v>
      </c>
    </row>
    <row r="221" spans="1:12" ht="189.75" hidden="1" customHeight="1" x14ac:dyDescent="0.35">
      <c r="A221" s="501"/>
      <c r="B221" s="352"/>
      <c r="C221" s="267" t="s">
        <v>306</v>
      </c>
      <c r="D221" s="119" t="s">
        <v>32</v>
      </c>
      <c r="E221" s="271" t="s">
        <v>423</v>
      </c>
      <c r="F221" s="249"/>
      <c r="G221" s="236" t="s">
        <v>399</v>
      </c>
      <c r="H221" s="32">
        <f>I221+J221+K221</f>
        <v>0</v>
      </c>
      <c r="I221" s="210">
        <v>0</v>
      </c>
      <c r="J221" s="33">
        <v>0</v>
      </c>
      <c r="K221" s="33">
        <v>0</v>
      </c>
      <c r="L221" s="36" t="s">
        <v>307</v>
      </c>
    </row>
    <row r="222" spans="1:12" ht="189.75" hidden="1" customHeight="1" x14ac:dyDescent="0.35">
      <c r="A222" s="130"/>
      <c r="B222" s="495"/>
      <c r="C222" s="496"/>
      <c r="D222" s="497"/>
      <c r="E222" s="254" t="s">
        <v>340</v>
      </c>
      <c r="F222" s="131"/>
      <c r="G222" s="236" t="s">
        <v>399</v>
      </c>
      <c r="H222" s="32">
        <f>H220+H221</f>
        <v>0</v>
      </c>
      <c r="I222" s="32">
        <f>I220+I221</f>
        <v>0</v>
      </c>
      <c r="J222" s="32">
        <f>J220+J221</f>
        <v>0</v>
      </c>
      <c r="K222" s="32">
        <f>K220+K221</f>
        <v>0</v>
      </c>
      <c r="L222" s="36"/>
    </row>
    <row r="223" spans="1:12" ht="256.5" customHeight="1" x14ac:dyDescent="0.4">
      <c r="A223" s="253" t="s">
        <v>227</v>
      </c>
      <c r="B223" s="35" t="s">
        <v>204</v>
      </c>
      <c r="C223" s="29" t="s">
        <v>461</v>
      </c>
      <c r="D223" s="260" t="s">
        <v>31</v>
      </c>
      <c r="E223" s="271" t="s">
        <v>423</v>
      </c>
      <c r="F223" s="258"/>
      <c r="G223" s="251" t="s">
        <v>398</v>
      </c>
      <c r="H223" s="32">
        <f>I223+J223+K223</f>
        <v>8957.68</v>
      </c>
      <c r="I223" s="33">
        <v>2894.2</v>
      </c>
      <c r="J223" s="33">
        <f>3069.48+6.3</f>
        <v>3075.78</v>
      </c>
      <c r="K223" s="33">
        <f>2931+56.7</f>
        <v>2987.7</v>
      </c>
      <c r="L223" s="36" t="s">
        <v>68</v>
      </c>
    </row>
    <row r="224" spans="1:12" ht="190.5" customHeight="1" x14ac:dyDescent="0.35">
      <c r="A224" s="490" t="s">
        <v>229</v>
      </c>
      <c r="B224" s="315" t="s">
        <v>92</v>
      </c>
      <c r="C224" s="267" t="s">
        <v>481</v>
      </c>
      <c r="D224" s="260" t="s">
        <v>32</v>
      </c>
      <c r="E224" s="271" t="s">
        <v>423</v>
      </c>
      <c r="F224" s="249"/>
      <c r="G224" s="251" t="s">
        <v>398</v>
      </c>
      <c r="H224" s="132">
        <f>I224+J224+K224</f>
        <v>11889</v>
      </c>
      <c r="I224" s="33">
        <f>15739-1800-2951</f>
        <v>10988</v>
      </c>
      <c r="J224" s="33">
        <f>2500-2000-500+585+316</f>
        <v>901</v>
      </c>
      <c r="K224" s="33">
        <v>0</v>
      </c>
      <c r="L224" s="36" t="s">
        <v>339</v>
      </c>
    </row>
    <row r="225" spans="1:14" ht="75" customHeight="1" x14ac:dyDescent="0.35">
      <c r="A225" s="490"/>
      <c r="B225" s="315"/>
      <c r="C225" s="323" t="s">
        <v>462</v>
      </c>
      <c r="D225" s="480" t="s">
        <v>468</v>
      </c>
      <c r="E225" s="480"/>
      <c r="F225" s="480"/>
      <c r="G225" s="480"/>
      <c r="H225" s="37">
        <f>H226+H227</f>
        <v>9258.99</v>
      </c>
      <c r="I225" s="34">
        <f>I226+I227</f>
        <v>9258.99</v>
      </c>
      <c r="J225" s="34">
        <f>J226+J227</f>
        <v>0</v>
      </c>
      <c r="K225" s="34">
        <f>K226+K227</f>
        <v>0</v>
      </c>
      <c r="L225" s="299" t="s">
        <v>63</v>
      </c>
    </row>
    <row r="226" spans="1:14" s="10" customFormat="1" ht="231.75" customHeight="1" x14ac:dyDescent="0.4">
      <c r="A226" s="490"/>
      <c r="B226" s="315"/>
      <c r="C226" s="323"/>
      <c r="D226" s="21" t="s">
        <v>35</v>
      </c>
      <c r="E226" s="238" t="s">
        <v>78</v>
      </c>
      <c r="F226" s="251" t="s">
        <v>422</v>
      </c>
      <c r="G226" s="251" t="s">
        <v>98</v>
      </c>
      <c r="H226" s="37">
        <f t="shared" ref="H226:H233" si="31">I226+J226+K226</f>
        <v>2.5</v>
      </c>
      <c r="I226" s="33">
        <v>2.5</v>
      </c>
      <c r="J226" s="33">
        <v>0</v>
      </c>
      <c r="K226" s="33">
        <v>0</v>
      </c>
      <c r="L226" s="300"/>
    </row>
    <row r="227" spans="1:14" s="10" customFormat="1" ht="75" customHeight="1" x14ac:dyDescent="0.4">
      <c r="A227" s="490"/>
      <c r="B227" s="315"/>
      <c r="C227" s="323"/>
      <c r="D227" s="433" t="s">
        <v>96</v>
      </c>
      <c r="E227" s="433"/>
      <c r="F227" s="433"/>
      <c r="G227" s="433"/>
      <c r="H227" s="37">
        <f>H228+H229+H231+H232+H233+H230</f>
        <v>9256.49</v>
      </c>
      <c r="I227" s="34">
        <f>I228+I229+I231+I232+I233+I230</f>
        <v>9256.49</v>
      </c>
      <c r="J227" s="34">
        <f>J228+J229+J231+J232+J233</f>
        <v>0</v>
      </c>
      <c r="K227" s="34">
        <f>K228+K229+K231+K232+K233</f>
        <v>0</v>
      </c>
      <c r="L227" s="300"/>
    </row>
    <row r="228" spans="1:14" s="10" customFormat="1" ht="75" customHeight="1" x14ac:dyDescent="0.4">
      <c r="A228" s="490"/>
      <c r="B228" s="315"/>
      <c r="C228" s="323"/>
      <c r="D228" s="21" t="s">
        <v>35</v>
      </c>
      <c r="E228" s="238" t="s">
        <v>78</v>
      </c>
      <c r="F228" s="412" t="s">
        <v>422</v>
      </c>
      <c r="G228" s="412" t="s">
        <v>398</v>
      </c>
      <c r="H228" s="37">
        <f t="shared" si="31"/>
        <v>241.91</v>
      </c>
      <c r="I228" s="33">
        <f>50+51.31+140.6</f>
        <v>241.91</v>
      </c>
      <c r="J228" s="33">
        <v>0</v>
      </c>
      <c r="K228" s="33">
        <v>0</v>
      </c>
      <c r="L228" s="300"/>
    </row>
    <row r="229" spans="1:14" s="10" customFormat="1" ht="75" customHeight="1" x14ac:dyDescent="0.4">
      <c r="A229" s="490"/>
      <c r="B229" s="315"/>
      <c r="C229" s="323"/>
      <c r="D229" s="21" t="s">
        <v>35</v>
      </c>
      <c r="E229" s="238" t="s">
        <v>79</v>
      </c>
      <c r="F229" s="412"/>
      <c r="G229" s="412"/>
      <c r="H229" s="37">
        <f t="shared" si="31"/>
        <v>187.78</v>
      </c>
      <c r="I229" s="33">
        <f>50+43.38+94.4</f>
        <v>187.78</v>
      </c>
      <c r="J229" s="33">
        <v>0</v>
      </c>
      <c r="K229" s="33">
        <v>0</v>
      </c>
      <c r="L229" s="300"/>
    </row>
    <row r="230" spans="1:14" s="10" customFormat="1" ht="75" customHeight="1" x14ac:dyDescent="0.4">
      <c r="A230" s="490"/>
      <c r="B230" s="315"/>
      <c r="C230" s="323"/>
      <c r="D230" s="21" t="s">
        <v>35</v>
      </c>
      <c r="E230" s="238" t="s">
        <v>80</v>
      </c>
      <c r="F230" s="412"/>
      <c r="G230" s="412"/>
      <c r="H230" s="37">
        <f t="shared" si="31"/>
        <v>206.8</v>
      </c>
      <c r="I230" s="33">
        <v>206.8</v>
      </c>
      <c r="J230" s="33">
        <v>0</v>
      </c>
      <c r="K230" s="33">
        <v>0</v>
      </c>
      <c r="L230" s="300"/>
    </row>
    <row r="231" spans="1:14" s="10" customFormat="1" ht="75" customHeight="1" x14ac:dyDescent="0.4">
      <c r="A231" s="490"/>
      <c r="B231" s="315"/>
      <c r="C231" s="323"/>
      <c r="D231" s="21" t="s">
        <v>28</v>
      </c>
      <c r="E231" s="238" t="s">
        <v>74</v>
      </c>
      <c r="F231" s="412"/>
      <c r="G231" s="412"/>
      <c r="H231" s="37">
        <f t="shared" si="31"/>
        <v>1422.3</v>
      </c>
      <c r="I231" s="33">
        <f>50+571.7+307.8+492.8</f>
        <v>1422.3</v>
      </c>
      <c r="J231" s="33">
        <v>0</v>
      </c>
      <c r="K231" s="33">
        <v>0</v>
      </c>
      <c r="L231" s="300"/>
    </row>
    <row r="232" spans="1:14" s="10" customFormat="1" ht="75" customHeight="1" x14ac:dyDescent="0.4">
      <c r="A232" s="490"/>
      <c r="B232" s="315"/>
      <c r="C232" s="323"/>
      <c r="D232" s="21" t="s">
        <v>28</v>
      </c>
      <c r="E232" s="238" t="s">
        <v>75</v>
      </c>
      <c r="F232" s="412"/>
      <c r="G232" s="412"/>
      <c r="H232" s="37">
        <f t="shared" si="31"/>
        <v>5874.3</v>
      </c>
      <c r="I232" s="33">
        <f>150+1176.7+3635.5+912.1</f>
        <v>5874.3</v>
      </c>
      <c r="J232" s="33">
        <v>0</v>
      </c>
      <c r="K232" s="33">
        <v>0</v>
      </c>
      <c r="L232" s="300"/>
    </row>
    <row r="233" spans="1:14" s="10" customFormat="1" ht="75" customHeight="1" x14ac:dyDescent="0.4">
      <c r="A233" s="490"/>
      <c r="B233" s="315"/>
      <c r="C233" s="323"/>
      <c r="D233" s="21" t="s">
        <v>28</v>
      </c>
      <c r="E233" s="238" t="s">
        <v>73</v>
      </c>
      <c r="F233" s="412"/>
      <c r="G233" s="412"/>
      <c r="H233" s="37">
        <f t="shared" si="31"/>
        <v>1323.4</v>
      </c>
      <c r="I233" s="33">
        <v>1323.4</v>
      </c>
      <c r="J233" s="33">
        <v>0</v>
      </c>
      <c r="K233" s="33">
        <v>0</v>
      </c>
      <c r="L233" s="301"/>
    </row>
    <row r="234" spans="1:14" ht="75" customHeight="1" x14ac:dyDescent="0.35">
      <c r="A234" s="490"/>
      <c r="B234" s="431"/>
      <c r="C234" s="431"/>
      <c r="D234" s="431"/>
      <c r="E234" s="133" t="s">
        <v>341</v>
      </c>
      <c r="F234" s="123"/>
      <c r="G234" s="123"/>
      <c r="H234" s="87">
        <f>H224+H225</f>
        <v>21147.989999999998</v>
      </c>
      <c r="I234" s="87">
        <f>I224+I225</f>
        <v>20246.989999999998</v>
      </c>
      <c r="J234" s="87">
        <f>J224+J225</f>
        <v>901</v>
      </c>
      <c r="K234" s="87">
        <f>K224+K225</f>
        <v>0</v>
      </c>
      <c r="L234" s="338"/>
    </row>
    <row r="235" spans="1:14" ht="139.5" customHeight="1" x14ac:dyDescent="0.35">
      <c r="A235" s="519"/>
      <c r="B235" s="520"/>
      <c r="C235" s="520"/>
      <c r="D235" s="520"/>
      <c r="E235" s="520"/>
      <c r="F235" s="521"/>
      <c r="G235" s="123" t="s">
        <v>398</v>
      </c>
      <c r="H235" s="87">
        <f>H224+H227</f>
        <v>21145.489999999998</v>
      </c>
      <c r="I235" s="94">
        <f>I224+I227</f>
        <v>20244.489999999998</v>
      </c>
      <c r="J235" s="94">
        <f>J224+J227</f>
        <v>901</v>
      </c>
      <c r="K235" s="94">
        <f>K224+K227</f>
        <v>0</v>
      </c>
      <c r="L235" s="339"/>
    </row>
    <row r="236" spans="1:14" ht="210.75" customHeight="1" x14ac:dyDescent="0.35">
      <c r="A236" s="522"/>
      <c r="B236" s="523"/>
      <c r="C236" s="523"/>
      <c r="D236" s="523"/>
      <c r="E236" s="523"/>
      <c r="F236" s="524"/>
      <c r="G236" s="123" t="s">
        <v>98</v>
      </c>
      <c r="H236" s="134">
        <f>H226</f>
        <v>2.5</v>
      </c>
      <c r="I236" s="95">
        <f>I226</f>
        <v>2.5</v>
      </c>
      <c r="J236" s="95">
        <f>J226</f>
        <v>0</v>
      </c>
      <c r="K236" s="95">
        <f>K226</f>
        <v>0</v>
      </c>
      <c r="L236" s="364"/>
    </row>
    <row r="237" spans="1:14" ht="60" customHeight="1" x14ac:dyDescent="0.35">
      <c r="A237" s="513" t="s">
        <v>69</v>
      </c>
      <c r="B237" s="514"/>
      <c r="C237" s="514"/>
      <c r="D237" s="514"/>
      <c r="E237" s="514"/>
      <c r="F237" s="515"/>
      <c r="G237" s="135"/>
      <c r="H237" s="79">
        <f>H222+H223+H234</f>
        <v>30105.67</v>
      </c>
      <c r="I237" s="79">
        <f>I222+I223+I234</f>
        <v>23141.19</v>
      </c>
      <c r="J237" s="79">
        <f>J222+J223+J234</f>
        <v>3976.78</v>
      </c>
      <c r="K237" s="79">
        <f>K222+K223+K234</f>
        <v>2987.7</v>
      </c>
      <c r="L237" s="340"/>
    </row>
    <row r="238" spans="1:14" s="113" customFormat="1" ht="99.75" customHeight="1" x14ac:dyDescent="0.25">
      <c r="A238" s="366" t="s">
        <v>17</v>
      </c>
      <c r="B238" s="366"/>
      <c r="C238" s="105"/>
      <c r="D238" s="125"/>
      <c r="E238" s="126"/>
      <c r="F238" s="127"/>
      <c r="G238" s="227" t="s">
        <v>398</v>
      </c>
      <c r="H238" s="91">
        <f>H235+H223+H222</f>
        <v>30103.17</v>
      </c>
      <c r="I238" s="91">
        <f>I235+I223+I222</f>
        <v>23138.69</v>
      </c>
      <c r="J238" s="91">
        <f>J235+J223+J222</f>
        <v>3976.78</v>
      </c>
      <c r="K238" s="91">
        <f>K235+K223+K222</f>
        <v>2987.7</v>
      </c>
      <c r="L238" s="340"/>
    </row>
    <row r="239" spans="1:14" s="113" customFormat="1" ht="267" customHeight="1" x14ac:dyDescent="0.25">
      <c r="A239" s="273"/>
      <c r="B239" s="226"/>
      <c r="C239" s="105"/>
      <c r="D239" s="125"/>
      <c r="E239" s="126"/>
      <c r="F239" s="127"/>
      <c r="G239" s="199" t="s">
        <v>98</v>
      </c>
      <c r="H239" s="93">
        <f>H226</f>
        <v>2.5</v>
      </c>
      <c r="I239" s="93">
        <f>I226</f>
        <v>2.5</v>
      </c>
      <c r="J239" s="93">
        <f>J226</f>
        <v>0</v>
      </c>
      <c r="K239" s="93">
        <f>K226</f>
        <v>0</v>
      </c>
      <c r="L239" s="340"/>
      <c r="N239" s="281">
        <f>J238+J202+J140</f>
        <v>87168.04359999999</v>
      </c>
    </row>
    <row r="240" spans="1:14" s="113" customFormat="1" ht="75" customHeight="1" x14ac:dyDescent="0.25">
      <c r="A240" s="366" t="s">
        <v>93</v>
      </c>
      <c r="B240" s="366"/>
      <c r="C240" s="366"/>
      <c r="D240" s="367"/>
      <c r="E240" s="299" t="s">
        <v>78</v>
      </c>
      <c r="F240" s="305"/>
      <c r="G240" s="229" t="s">
        <v>96</v>
      </c>
      <c r="H240" s="84">
        <f>H241+H242</f>
        <v>244.41</v>
      </c>
      <c r="I240" s="84">
        <f>I241+I242</f>
        <v>244.41</v>
      </c>
      <c r="J240" s="84">
        <f>J241+J242</f>
        <v>0</v>
      </c>
      <c r="K240" s="84">
        <f>K241+K242</f>
        <v>0</v>
      </c>
      <c r="L240" s="340"/>
    </row>
    <row r="241" spans="1:14" s="113" customFormat="1" ht="244.5" customHeight="1" x14ac:dyDescent="0.25">
      <c r="A241" s="369"/>
      <c r="B241" s="369"/>
      <c r="C241" s="369"/>
      <c r="D241" s="370"/>
      <c r="E241" s="300"/>
      <c r="F241" s="306"/>
      <c r="G241" s="251" t="s">
        <v>98</v>
      </c>
      <c r="H241" s="84">
        <f>H226</f>
        <v>2.5</v>
      </c>
      <c r="I241" s="84">
        <f>I226</f>
        <v>2.5</v>
      </c>
      <c r="J241" s="84">
        <f>J226</f>
        <v>0</v>
      </c>
      <c r="K241" s="84">
        <f>K226</f>
        <v>0</v>
      </c>
      <c r="L241" s="340"/>
    </row>
    <row r="242" spans="1:14" ht="77.25" customHeight="1" x14ac:dyDescent="0.35">
      <c r="A242" s="369"/>
      <c r="B242" s="369"/>
      <c r="C242" s="369"/>
      <c r="D242" s="370"/>
      <c r="E242" s="301"/>
      <c r="F242" s="306"/>
      <c r="G242" s="235" t="s">
        <v>398</v>
      </c>
      <c r="H242" s="96">
        <f>H228</f>
        <v>241.91</v>
      </c>
      <c r="I242" s="96">
        <f>I228</f>
        <v>241.91</v>
      </c>
      <c r="J242" s="96">
        <f>J228</f>
        <v>0</v>
      </c>
      <c r="K242" s="96">
        <f>K228</f>
        <v>0</v>
      </c>
      <c r="L242" s="340"/>
    </row>
    <row r="243" spans="1:14" ht="75" customHeight="1" x14ac:dyDescent="0.35">
      <c r="A243" s="369"/>
      <c r="B243" s="369"/>
      <c r="C243" s="369"/>
      <c r="D243" s="370"/>
      <c r="E243" s="238" t="s">
        <v>423</v>
      </c>
      <c r="F243" s="306"/>
      <c r="G243" s="335" t="s">
        <v>398</v>
      </c>
      <c r="H243" s="96">
        <f>H220+H221+H223+H224</f>
        <v>20846.68</v>
      </c>
      <c r="I243" s="96">
        <f>I220+I221+I223+I224</f>
        <v>13882.2</v>
      </c>
      <c r="J243" s="96">
        <f>J220+J221+J223+J224</f>
        <v>3976.78</v>
      </c>
      <c r="K243" s="96">
        <f>K220+K221+K223+K224</f>
        <v>2987.7</v>
      </c>
      <c r="L243" s="340"/>
    </row>
    <row r="244" spans="1:14" ht="75" customHeight="1" x14ac:dyDescent="0.35">
      <c r="A244" s="369"/>
      <c r="B244" s="369"/>
      <c r="C244" s="369"/>
      <c r="D244" s="370"/>
      <c r="E244" s="238" t="s">
        <v>80</v>
      </c>
      <c r="F244" s="306"/>
      <c r="G244" s="336"/>
      <c r="H244" s="96">
        <f t="shared" ref="H244:I244" si="32">H230</f>
        <v>206.8</v>
      </c>
      <c r="I244" s="96">
        <f t="shared" si="32"/>
        <v>206.8</v>
      </c>
      <c r="J244" s="96">
        <f>J230</f>
        <v>0</v>
      </c>
      <c r="K244" s="96">
        <f>K230</f>
        <v>0</v>
      </c>
      <c r="L244" s="340"/>
    </row>
    <row r="245" spans="1:14" ht="75" customHeight="1" x14ac:dyDescent="0.35">
      <c r="A245" s="369"/>
      <c r="B245" s="369"/>
      <c r="C245" s="369"/>
      <c r="D245" s="370"/>
      <c r="E245" s="238" t="s">
        <v>79</v>
      </c>
      <c r="F245" s="306"/>
      <c r="G245" s="336"/>
      <c r="H245" s="96">
        <f>H229</f>
        <v>187.78</v>
      </c>
      <c r="I245" s="96">
        <f>I229</f>
        <v>187.78</v>
      </c>
      <c r="J245" s="96">
        <f>J229</f>
        <v>0</v>
      </c>
      <c r="K245" s="96">
        <f>K229</f>
        <v>0</v>
      </c>
      <c r="L245" s="340"/>
    </row>
    <row r="246" spans="1:14" ht="75" customHeight="1" x14ac:dyDescent="0.35">
      <c r="A246" s="369"/>
      <c r="B246" s="369"/>
      <c r="C246" s="369"/>
      <c r="D246" s="370"/>
      <c r="E246" s="238" t="s">
        <v>74</v>
      </c>
      <c r="F246" s="306"/>
      <c r="G246" s="336"/>
      <c r="H246" s="96">
        <f t="shared" ref="H246:K248" si="33">H231</f>
        <v>1422.3</v>
      </c>
      <c r="I246" s="96">
        <f t="shared" si="33"/>
        <v>1422.3</v>
      </c>
      <c r="J246" s="96">
        <f t="shared" si="33"/>
        <v>0</v>
      </c>
      <c r="K246" s="96">
        <f t="shared" si="33"/>
        <v>0</v>
      </c>
      <c r="L246" s="340"/>
    </row>
    <row r="247" spans="1:14" ht="75" customHeight="1" x14ac:dyDescent="0.35">
      <c r="A247" s="369"/>
      <c r="B247" s="369"/>
      <c r="C247" s="369"/>
      <c r="D247" s="370"/>
      <c r="E247" s="238" t="s">
        <v>75</v>
      </c>
      <c r="F247" s="306"/>
      <c r="G247" s="336"/>
      <c r="H247" s="96">
        <f t="shared" si="33"/>
        <v>5874.3</v>
      </c>
      <c r="I247" s="96">
        <f t="shared" si="33"/>
        <v>5874.3</v>
      </c>
      <c r="J247" s="96">
        <f t="shared" si="33"/>
        <v>0</v>
      </c>
      <c r="K247" s="96">
        <f t="shared" si="33"/>
        <v>0</v>
      </c>
      <c r="L247" s="340"/>
    </row>
    <row r="248" spans="1:14" ht="75" customHeight="1" x14ac:dyDescent="0.35">
      <c r="A248" s="372"/>
      <c r="B248" s="372"/>
      <c r="C248" s="372"/>
      <c r="D248" s="373"/>
      <c r="E248" s="238" t="s">
        <v>73</v>
      </c>
      <c r="F248" s="307"/>
      <c r="G248" s="337"/>
      <c r="H248" s="96">
        <f t="shared" si="33"/>
        <v>1323.4</v>
      </c>
      <c r="I248" s="96">
        <f t="shared" si="33"/>
        <v>1323.4</v>
      </c>
      <c r="J248" s="96">
        <f t="shared" si="33"/>
        <v>0</v>
      </c>
      <c r="K248" s="96">
        <f t="shared" si="33"/>
        <v>0</v>
      </c>
      <c r="L248" s="340"/>
    </row>
    <row r="249" spans="1:14" ht="75" customHeight="1" x14ac:dyDescent="0.35">
      <c r="A249" s="417" t="s">
        <v>230</v>
      </c>
      <c r="B249" s="418"/>
      <c r="C249" s="418"/>
      <c r="D249" s="418"/>
      <c r="E249" s="418"/>
      <c r="F249" s="418"/>
      <c r="G249" s="418"/>
      <c r="H249" s="418"/>
      <c r="I249" s="418"/>
      <c r="J249" s="418"/>
      <c r="K249" s="418"/>
      <c r="L249" s="419"/>
    </row>
    <row r="250" spans="1:14" ht="75" customHeight="1" x14ac:dyDescent="0.55000000000000004">
      <c r="A250" s="489" t="s">
        <v>231</v>
      </c>
      <c r="B250" s="543" t="s">
        <v>232</v>
      </c>
      <c r="C250" s="505" t="s">
        <v>233</v>
      </c>
      <c r="D250" s="417" t="s">
        <v>342</v>
      </c>
      <c r="E250" s="418"/>
      <c r="F250" s="418"/>
      <c r="G250" s="419"/>
      <c r="H250" s="84">
        <f>H251+H263+H260+H261+H262</f>
        <v>188788.47900000002</v>
      </c>
      <c r="I250" s="84">
        <f>I251+I263+I260+I261+I262</f>
        <v>71668.319000000003</v>
      </c>
      <c r="J250" s="84">
        <f>J251+J263+J260+J261+J262</f>
        <v>107120.16</v>
      </c>
      <c r="K250" s="84">
        <f>K251+K263+K260+K261+K262</f>
        <v>10000</v>
      </c>
      <c r="L250" s="299" t="s">
        <v>99</v>
      </c>
      <c r="N250" s="276">
        <f>J252+J253+J254+J255+J256+J257+J259+J273+J274+J275+J276+J277+J278+J282</f>
        <v>132493.33000000002</v>
      </c>
    </row>
    <row r="251" spans="1:14" ht="75" customHeight="1" x14ac:dyDescent="0.35">
      <c r="A251" s="489"/>
      <c r="B251" s="544"/>
      <c r="C251" s="506"/>
      <c r="D251" s="510" t="s">
        <v>95</v>
      </c>
      <c r="E251" s="511"/>
      <c r="F251" s="511"/>
      <c r="G251" s="512"/>
      <c r="H251" s="88">
        <f>H252+H253+H254+H255+H256+H257+H258+H259</f>
        <v>169693.85600000003</v>
      </c>
      <c r="I251" s="88">
        <f>I252+I253+I254+I255+I256+I257+I258+I259</f>
        <v>66904.555999999997</v>
      </c>
      <c r="J251" s="88">
        <f>J252+J253+J254+J255+J256+J257+J258+J259</f>
        <v>92789.3</v>
      </c>
      <c r="K251" s="88">
        <f>K252+K253+K254+K255+K256+K257+K258+K259</f>
        <v>10000</v>
      </c>
      <c r="L251" s="300"/>
    </row>
    <row r="252" spans="1:14" ht="75" customHeight="1" x14ac:dyDescent="0.35">
      <c r="A252" s="489"/>
      <c r="B252" s="544"/>
      <c r="C252" s="506"/>
      <c r="D252" s="255" t="s">
        <v>32</v>
      </c>
      <c r="E252" s="238" t="s">
        <v>423</v>
      </c>
      <c r="F252" s="296" t="s">
        <v>422</v>
      </c>
      <c r="G252" s="335" t="s">
        <v>402</v>
      </c>
      <c r="H252" s="100">
        <f>I252+J252+K252</f>
        <v>59614.600000000006</v>
      </c>
      <c r="I252" s="80">
        <f>14923.3+1800+3000</f>
        <v>19723.3</v>
      </c>
      <c r="J252" s="80">
        <f>19737.5+2000+500+793.8+13000+3860</f>
        <v>39891.300000000003</v>
      </c>
      <c r="K252" s="80">
        <v>0</v>
      </c>
      <c r="L252" s="300"/>
    </row>
    <row r="253" spans="1:14" ht="75" customHeight="1" x14ac:dyDescent="0.35">
      <c r="A253" s="489"/>
      <c r="B253" s="544"/>
      <c r="C253" s="506"/>
      <c r="D253" s="255" t="s">
        <v>28</v>
      </c>
      <c r="E253" s="238" t="s">
        <v>80</v>
      </c>
      <c r="F253" s="297"/>
      <c r="G253" s="336"/>
      <c r="H253" s="79">
        <f t="shared" ref="H253:H283" si="34">I253+J253+K253</f>
        <v>21792.5</v>
      </c>
      <c r="I253" s="82">
        <f>6890.5+50+202</f>
        <v>7142.5</v>
      </c>
      <c r="J253" s="80">
        <f>8400+2000+1000+264+60+47+1300-921</f>
        <v>12150</v>
      </c>
      <c r="K253" s="80">
        <v>2500</v>
      </c>
      <c r="L253" s="300"/>
    </row>
    <row r="254" spans="1:14" ht="75" customHeight="1" x14ac:dyDescent="0.35">
      <c r="A254" s="489"/>
      <c r="B254" s="544"/>
      <c r="C254" s="506"/>
      <c r="D254" s="136" t="s">
        <v>28</v>
      </c>
      <c r="E254" s="238" t="s">
        <v>74</v>
      </c>
      <c r="F254" s="297"/>
      <c r="G254" s="336"/>
      <c r="H254" s="79">
        <f t="shared" si="34"/>
        <v>3108</v>
      </c>
      <c r="I254" s="82">
        <f>232+200</f>
        <v>432</v>
      </c>
      <c r="J254" s="80">
        <f>1200+1000-1024.7-175.3-824</f>
        <v>176</v>
      </c>
      <c r="K254" s="80">
        <v>2500</v>
      </c>
      <c r="L254" s="300"/>
    </row>
    <row r="255" spans="1:14" ht="75" customHeight="1" x14ac:dyDescent="0.35">
      <c r="A255" s="489"/>
      <c r="B255" s="544"/>
      <c r="C255" s="506"/>
      <c r="D255" s="136" t="s">
        <v>28</v>
      </c>
      <c r="E255" s="238" t="s">
        <v>75</v>
      </c>
      <c r="F255" s="297"/>
      <c r="G255" s="336"/>
      <c r="H255" s="79">
        <f t="shared" si="34"/>
        <v>27189.554</v>
      </c>
      <c r="I255" s="82">
        <f>11036+180-26.446</f>
        <v>11189.554</v>
      </c>
      <c r="J255" s="80">
        <f>13500+1000-1000</f>
        <v>13500</v>
      </c>
      <c r="K255" s="80">
        <v>2500</v>
      </c>
      <c r="L255" s="300"/>
    </row>
    <row r="256" spans="1:14" ht="75" customHeight="1" x14ac:dyDescent="0.35">
      <c r="A256" s="489"/>
      <c r="B256" s="544"/>
      <c r="C256" s="506"/>
      <c r="D256" s="136" t="s">
        <v>28</v>
      </c>
      <c r="E256" s="238" t="s">
        <v>73</v>
      </c>
      <c r="F256" s="297"/>
      <c r="G256" s="336"/>
      <c r="H256" s="79">
        <f t="shared" si="34"/>
        <v>38369.202000000005</v>
      </c>
      <c r="I256" s="82">
        <f>20947.39-50.188</f>
        <v>20897.202000000001</v>
      </c>
      <c r="J256" s="80">
        <f>13900+1000+72</f>
        <v>14972</v>
      </c>
      <c r="K256" s="80">
        <v>2500</v>
      </c>
      <c r="L256" s="300"/>
    </row>
    <row r="257" spans="1:12" ht="99.75" customHeight="1" x14ac:dyDescent="0.35">
      <c r="A257" s="489"/>
      <c r="B257" s="544"/>
      <c r="C257" s="506"/>
      <c r="D257" s="136" t="s">
        <v>29</v>
      </c>
      <c r="E257" s="239" t="s">
        <v>77</v>
      </c>
      <c r="F257" s="297"/>
      <c r="G257" s="336"/>
      <c r="H257" s="79">
        <f t="shared" si="34"/>
        <v>11930</v>
      </c>
      <c r="I257" s="80">
        <f>6800+30</f>
        <v>6830</v>
      </c>
      <c r="J257" s="80">
        <f>5100+1000-1000</f>
        <v>5100</v>
      </c>
      <c r="K257" s="80">
        <v>0</v>
      </c>
      <c r="L257" s="300"/>
    </row>
    <row r="258" spans="1:12" ht="75" customHeight="1" x14ac:dyDescent="0.35">
      <c r="A258" s="489"/>
      <c r="B258" s="544"/>
      <c r="C258" s="506"/>
      <c r="D258" s="255" t="s">
        <v>30</v>
      </c>
      <c r="E258" s="239" t="s">
        <v>76</v>
      </c>
      <c r="F258" s="297"/>
      <c r="G258" s="336"/>
      <c r="H258" s="79">
        <f t="shared" si="34"/>
        <v>690</v>
      </c>
      <c r="I258" s="86">
        <f>590+100</f>
        <v>690</v>
      </c>
      <c r="J258" s="80">
        <v>0</v>
      </c>
      <c r="K258" s="80">
        <v>0</v>
      </c>
      <c r="L258" s="300"/>
    </row>
    <row r="259" spans="1:12" ht="75" customHeight="1" x14ac:dyDescent="0.35">
      <c r="A259" s="489"/>
      <c r="B259" s="544"/>
      <c r="C259" s="506"/>
      <c r="D259" s="255" t="s">
        <v>28</v>
      </c>
      <c r="E259" s="198" t="s">
        <v>440</v>
      </c>
      <c r="F259" s="297"/>
      <c r="G259" s="337"/>
      <c r="H259" s="79">
        <f t="shared" si="34"/>
        <v>7000</v>
      </c>
      <c r="I259" s="86">
        <v>0</v>
      </c>
      <c r="J259" s="80">
        <v>7000</v>
      </c>
      <c r="K259" s="80">
        <v>0</v>
      </c>
      <c r="L259" s="300"/>
    </row>
    <row r="260" spans="1:12" ht="75" customHeight="1" x14ac:dyDescent="0.35">
      <c r="A260" s="489"/>
      <c r="B260" s="544"/>
      <c r="C260" s="506"/>
      <c r="D260" s="255" t="s">
        <v>28</v>
      </c>
      <c r="E260" s="198" t="s">
        <v>440</v>
      </c>
      <c r="F260" s="297"/>
      <c r="G260" s="251" t="s">
        <v>376</v>
      </c>
      <c r="H260" s="79">
        <f>I260+J260+K260</f>
        <v>5750</v>
      </c>
      <c r="I260" s="86">
        <v>0</v>
      </c>
      <c r="J260" s="80">
        <v>5750</v>
      </c>
      <c r="K260" s="80">
        <v>0</v>
      </c>
      <c r="L260" s="300"/>
    </row>
    <row r="261" spans="1:12" ht="182.25" customHeight="1" x14ac:dyDescent="0.35">
      <c r="A261" s="489"/>
      <c r="B261" s="544"/>
      <c r="C261" s="506"/>
      <c r="D261" s="255" t="s">
        <v>28</v>
      </c>
      <c r="E261" s="238" t="s">
        <v>80</v>
      </c>
      <c r="F261" s="297"/>
      <c r="G261" s="251" t="s">
        <v>484</v>
      </c>
      <c r="H261" s="79">
        <f>I261+J261+K261</f>
        <v>2500</v>
      </c>
      <c r="I261" s="86">
        <v>0</v>
      </c>
      <c r="J261" s="80">
        <v>2500</v>
      </c>
      <c r="K261" s="80">
        <v>0</v>
      </c>
      <c r="L261" s="300"/>
    </row>
    <row r="262" spans="1:12" ht="182.25" customHeight="1" x14ac:dyDescent="0.35">
      <c r="A262" s="489"/>
      <c r="B262" s="544"/>
      <c r="C262" s="506"/>
      <c r="D262" s="255" t="s">
        <v>28</v>
      </c>
      <c r="E262" s="198" t="s">
        <v>440</v>
      </c>
      <c r="F262" s="298"/>
      <c r="G262" s="251" t="s">
        <v>484</v>
      </c>
      <c r="H262" s="79">
        <f>I262+J262+K262</f>
        <v>2500</v>
      </c>
      <c r="I262" s="86">
        <v>0</v>
      </c>
      <c r="J262" s="80">
        <v>2500</v>
      </c>
      <c r="K262" s="80">
        <v>0</v>
      </c>
      <c r="L262" s="300"/>
    </row>
    <row r="263" spans="1:12" ht="75" customHeight="1" x14ac:dyDescent="0.35">
      <c r="A263" s="489"/>
      <c r="B263" s="544"/>
      <c r="C263" s="506"/>
      <c r="D263" s="510" t="s">
        <v>95</v>
      </c>
      <c r="E263" s="511"/>
      <c r="F263" s="511"/>
      <c r="G263" s="512"/>
      <c r="H263" s="79">
        <f>SUM(H264:H270)</f>
        <v>8344.6229999999996</v>
      </c>
      <c r="I263" s="79">
        <f>SUM(I264:I270)</f>
        <v>4763.7630000000008</v>
      </c>
      <c r="J263" s="79">
        <f>SUM(J264:J270)</f>
        <v>3580.8599999999997</v>
      </c>
      <c r="K263" s="79">
        <f t="shared" ref="K263" si="35">SUM(K264:K270)</f>
        <v>0</v>
      </c>
      <c r="L263" s="300"/>
    </row>
    <row r="264" spans="1:12" ht="75" customHeight="1" x14ac:dyDescent="0.35">
      <c r="A264" s="489"/>
      <c r="B264" s="544"/>
      <c r="C264" s="506"/>
      <c r="D264" s="136" t="s">
        <v>36</v>
      </c>
      <c r="E264" s="238" t="s">
        <v>80</v>
      </c>
      <c r="F264" s="296" t="s">
        <v>422</v>
      </c>
      <c r="G264" s="296" t="s">
        <v>197</v>
      </c>
      <c r="H264" s="79">
        <f t="shared" si="34"/>
        <v>249.81</v>
      </c>
      <c r="I264" s="86">
        <f>250-0.19</f>
        <v>249.81</v>
      </c>
      <c r="J264" s="80">
        <v>0</v>
      </c>
      <c r="K264" s="80">
        <v>0</v>
      </c>
      <c r="L264" s="300"/>
    </row>
    <row r="265" spans="1:12" ht="75" customHeight="1" x14ac:dyDescent="0.35">
      <c r="A265" s="489"/>
      <c r="B265" s="544"/>
      <c r="C265" s="506"/>
      <c r="D265" s="136" t="s">
        <v>36</v>
      </c>
      <c r="E265" s="238" t="s">
        <v>74</v>
      </c>
      <c r="F265" s="297"/>
      <c r="G265" s="297"/>
      <c r="H265" s="79">
        <f>I265+J265+K265</f>
        <v>1500</v>
      </c>
      <c r="I265" s="86">
        <v>0</v>
      </c>
      <c r="J265" s="80">
        <f>1500+1000-1000</f>
        <v>1500</v>
      </c>
      <c r="K265" s="80">
        <v>0</v>
      </c>
      <c r="L265" s="300"/>
    </row>
    <row r="266" spans="1:12" ht="75" customHeight="1" x14ac:dyDescent="0.35">
      <c r="A266" s="489"/>
      <c r="B266" s="544"/>
      <c r="C266" s="506"/>
      <c r="D266" s="136" t="s">
        <v>36</v>
      </c>
      <c r="E266" s="238" t="s">
        <v>73</v>
      </c>
      <c r="F266" s="297"/>
      <c r="G266" s="297"/>
      <c r="H266" s="79">
        <f t="shared" si="34"/>
        <v>1284.2530000000004</v>
      </c>
      <c r="I266" s="86">
        <f>1196.053+165.812+50.188-224.1</f>
        <v>1187.9530000000004</v>
      </c>
      <c r="J266" s="80">
        <f>96.3</f>
        <v>96.3</v>
      </c>
      <c r="K266" s="80">
        <v>0</v>
      </c>
      <c r="L266" s="300"/>
    </row>
    <row r="267" spans="1:12" ht="75" customHeight="1" x14ac:dyDescent="0.35">
      <c r="A267" s="489"/>
      <c r="B267" s="544"/>
      <c r="C267" s="506"/>
      <c r="D267" s="136" t="s">
        <v>36</v>
      </c>
      <c r="E267" s="198" t="s">
        <v>440</v>
      </c>
      <c r="F267" s="297"/>
      <c r="G267" s="297"/>
      <c r="H267" s="79">
        <f>I267+J267+K267</f>
        <v>0</v>
      </c>
      <c r="I267" s="86">
        <v>0</v>
      </c>
      <c r="J267" s="80">
        <v>0</v>
      </c>
      <c r="K267" s="80">
        <v>0</v>
      </c>
      <c r="L267" s="300"/>
    </row>
    <row r="268" spans="1:12" ht="99.75" customHeight="1" x14ac:dyDescent="0.35">
      <c r="A268" s="489"/>
      <c r="B268" s="544"/>
      <c r="C268" s="506"/>
      <c r="D268" s="136" t="s">
        <v>36</v>
      </c>
      <c r="E268" s="239" t="s">
        <v>77</v>
      </c>
      <c r="F268" s="297"/>
      <c r="G268" s="297"/>
      <c r="H268" s="79">
        <f t="shared" si="34"/>
        <v>926</v>
      </c>
      <c r="I268" s="86">
        <f>930-4</f>
        <v>926</v>
      </c>
      <c r="J268" s="80">
        <v>0</v>
      </c>
      <c r="K268" s="80">
        <v>0</v>
      </c>
      <c r="L268" s="300"/>
    </row>
    <row r="269" spans="1:12" ht="99.75" customHeight="1" x14ac:dyDescent="0.35">
      <c r="A269" s="489"/>
      <c r="B269" s="544"/>
      <c r="C269" s="506"/>
      <c r="D269" s="136" t="s">
        <v>36</v>
      </c>
      <c r="E269" s="238" t="s">
        <v>78</v>
      </c>
      <c r="F269" s="297"/>
      <c r="G269" s="297"/>
      <c r="H269" s="79">
        <f>I269+J269+K269</f>
        <v>195</v>
      </c>
      <c r="I269" s="86">
        <v>0</v>
      </c>
      <c r="J269" s="80">
        <v>195</v>
      </c>
      <c r="K269" s="80">
        <v>0</v>
      </c>
      <c r="L269" s="300"/>
    </row>
    <row r="270" spans="1:12" ht="75" customHeight="1" x14ac:dyDescent="0.35">
      <c r="A270" s="489"/>
      <c r="B270" s="544"/>
      <c r="C270" s="507"/>
      <c r="D270" s="136" t="s">
        <v>36</v>
      </c>
      <c r="E270" s="238" t="s">
        <v>423</v>
      </c>
      <c r="F270" s="298"/>
      <c r="G270" s="298"/>
      <c r="H270" s="79">
        <f>I270+J270+K270</f>
        <v>4189.5599999999995</v>
      </c>
      <c r="I270" s="86">
        <v>2400</v>
      </c>
      <c r="J270" s="80">
        <v>1789.56</v>
      </c>
      <c r="K270" s="80">
        <v>0</v>
      </c>
      <c r="L270" s="300"/>
    </row>
    <row r="271" spans="1:12" ht="75" customHeight="1" x14ac:dyDescent="0.35">
      <c r="A271" s="489"/>
      <c r="B271" s="544"/>
      <c r="C271" s="505" t="s">
        <v>234</v>
      </c>
      <c r="D271" s="417" t="s">
        <v>343</v>
      </c>
      <c r="E271" s="418"/>
      <c r="F271" s="418"/>
      <c r="G271" s="419"/>
      <c r="H271" s="79">
        <f>H272+H280+H281</f>
        <v>73245.300000000017</v>
      </c>
      <c r="I271" s="79">
        <f t="shared" ref="I271:K271" si="36">I272+I280+I281</f>
        <v>27333.67</v>
      </c>
      <c r="J271" s="79">
        <f>J272+J280+J281</f>
        <v>35911.630000000005</v>
      </c>
      <c r="K271" s="79">
        <f t="shared" si="36"/>
        <v>10000</v>
      </c>
      <c r="L271" s="300"/>
    </row>
    <row r="272" spans="1:12" ht="64.5" customHeight="1" x14ac:dyDescent="0.35">
      <c r="A272" s="489"/>
      <c r="B272" s="544"/>
      <c r="C272" s="506"/>
      <c r="D272" s="417" t="s">
        <v>96</v>
      </c>
      <c r="E272" s="418"/>
      <c r="F272" s="418"/>
      <c r="G272" s="419"/>
      <c r="H272" s="79">
        <f>SUM(H273:H279)</f>
        <v>71714.700000000012</v>
      </c>
      <c r="I272" s="79">
        <f>SUM(I273:I279)</f>
        <v>27333.67</v>
      </c>
      <c r="J272" s="79">
        <f>SUM(J273:J279)</f>
        <v>34381.03</v>
      </c>
      <c r="K272" s="79">
        <f t="shared" ref="K272" si="37">SUM(K273:K279)</f>
        <v>10000</v>
      </c>
      <c r="L272" s="300"/>
    </row>
    <row r="273" spans="1:12" ht="75" customHeight="1" x14ac:dyDescent="0.35">
      <c r="A273" s="489"/>
      <c r="B273" s="544"/>
      <c r="C273" s="506"/>
      <c r="D273" s="136" t="s">
        <v>178</v>
      </c>
      <c r="E273" s="238" t="s">
        <v>80</v>
      </c>
      <c r="F273" s="201" t="s">
        <v>422</v>
      </c>
      <c r="G273" s="335" t="s">
        <v>402</v>
      </c>
      <c r="H273" s="79">
        <f t="shared" si="34"/>
        <v>13160.58</v>
      </c>
      <c r="I273" s="86">
        <f>6150-169.13</f>
        <v>5980.87</v>
      </c>
      <c r="J273" s="80">
        <f>3000+2000+378.71+2000-180+300-2819</f>
        <v>4679.71</v>
      </c>
      <c r="K273" s="80">
        <v>2500</v>
      </c>
      <c r="L273" s="300"/>
    </row>
    <row r="274" spans="1:12" ht="75" customHeight="1" x14ac:dyDescent="0.35">
      <c r="A274" s="489"/>
      <c r="B274" s="544"/>
      <c r="C274" s="506"/>
      <c r="D274" s="136" t="s">
        <v>178</v>
      </c>
      <c r="E274" s="238" t="s">
        <v>74</v>
      </c>
      <c r="F274" s="202"/>
      <c r="G274" s="508"/>
      <c r="H274" s="79">
        <f t="shared" si="34"/>
        <v>9694.25</v>
      </c>
      <c r="I274" s="86">
        <f>169.13</f>
        <v>169.13</v>
      </c>
      <c r="J274" s="80">
        <f>3000+2000+267.12+3000+1024.7-58.7-2208</f>
        <v>7025.119999999999</v>
      </c>
      <c r="K274" s="80">
        <v>2500</v>
      </c>
      <c r="L274" s="300"/>
    </row>
    <row r="275" spans="1:12" ht="75" customHeight="1" x14ac:dyDescent="0.35">
      <c r="A275" s="489"/>
      <c r="B275" s="544"/>
      <c r="C275" s="506"/>
      <c r="D275" s="136" t="s">
        <v>178</v>
      </c>
      <c r="E275" s="238" t="s">
        <v>75</v>
      </c>
      <c r="F275" s="202"/>
      <c r="G275" s="508"/>
      <c r="H275" s="79">
        <f t="shared" si="34"/>
        <v>17911</v>
      </c>
      <c r="I275" s="86">
        <f>6930-395.9</f>
        <v>6534.1</v>
      </c>
      <c r="J275" s="80">
        <f>6000+2000+2583.9-858-849</f>
        <v>8876.9</v>
      </c>
      <c r="K275" s="80">
        <v>2500</v>
      </c>
      <c r="L275" s="300"/>
    </row>
    <row r="276" spans="1:12" ht="75" customHeight="1" x14ac:dyDescent="0.35">
      <c r="A276" s="489"/>
      <c r="B276" s="544"/>
      <c r="C276" s="506"/>
      <c r="D276" s="136" t="s">
        <v>178</v>
      </c>
      <c r="E276" s="238" t="s">
        <v>73</v>
      </c>
      <c r="F276" s="202"/>
      <c r="G276" s="508"/>
      <c r="H276" s="79">
        <f t="shared" si="34"/>
        <v>13590</v>
      </c>
      <c r="I276" s="86">
        <v>3500</v>
      </c>
      <c r="J276" s="80">
        <f>3000+1000+1000+1600+2400+180-45-1545</f>
        <v>7590</v>
      </c>
      <c r="K276" s="80">
        <v>2500</v>
      </c>
      <c r="L276" s="300"/>
    </row>
    <row r="277" spans="1:12" ht="75" customHeight="1" x14ac:dyDescent="0.35">
      <c r="A277" s="489"/>
      <c r="B277" s="544"/>
      <c r="C277" s="506"/>
      <c r="D277" s="136" t="s">
        <v>178</v>
      </c>
      <c r="E277" s="198" t="s">
        <v>440</v>
      </c>
      <c r="F277" s="202"/>
      <c r="G277" s="508"/>
      <c r="H277" s="79">
        <f>I277+J277+K277</f>
        <v>1009.3</v>
      </c>
      <c r="I277" s="86">
        <v>0</v>
      </c>
      <c r="J277" s="80">
        <v>1009.3</v>
      </c>
      <c r="K277" s="80">
        <v>0</v>
      </c>
      <c r="L277" s="300"/>
    </row>
    <row r="278" spans="1:12" ht="87.75" customHeight="1" x14ac:dyDescent="0.35">
      <c r="A278" s="489"/>
      <c r="B278" s="544"/>
      <c r="C278" s="506"/>
      <c r="D278" s="136" t="s">
        <v>178</v>
      </c>
      <c r="E278" s="239" t="s">
        <v>77</v>
      </c>
      <c r="F278" s="202"/>
      <c r="G278" s="508"/>
      <c r="H278" s="79">
        <f t="shared" si="34"/>
        <v>15789.57</v>
      </c>
      <c r="I278" s="86">
        <v>10589.57</v>
      </c>
      <c r="J278" s="80">
        <f>5000+1000-800</f>
        <v>5200</v>
      </c>
      <c r="K278" s="80">
        <v>0</v>
      </c>
      <c r="L278" s="300"/>
    </row>
    <row r="279" spans="1:12" ht="75" customHeight="1" x14ac:dyDescent="0.35">
      <c r="A279" s="489"/>
      <c r="B279" s="544"/>
      <c r="C279" s="506"/>
      <c r="D279" s="136" t="s">
        <v>178</v>
      </c>
      <c r="E279" s="239" t="s">
        <v>76</v>
      </c>
      <c r="F279" s="202"/>
      <c r="G279" s="509"/>
      <c r="H279" s="79">
        <f t="shared" si="34"/>
        <v>560</v>
      </c>
      <c r="I279" s="86">
        <v>560</v>
      </c>
      <c r="J279" s="80">
        <v>0</v>
      </c>
      <c r="K279" s="80">
        <v>0</v>
      </c>
      <c r="L279" s="300"/>
    </row>
    <row r="280" spans="1:12" ht="75" customHeight="1" x14ac:dyDescent="0.35">
      <c r="A280" s="489"/>
      <c r="B280" s="544"/>
      <c r="C280" s="506"/>
      <c r="D280" s="136" t="s">
        <v>178</v>
      </c>
      <c r="E280" s="238" t="s">
        <v>73</v>
      </c>
      <c r="F280" s="202"/>
      <c r="G280" s="335" t="s">
        <v>483</v>
      </c>
      <c r="H280" s="79">
        <f>I280+J280+K280</f>
        <v>765.3</v>
      </c>
      <c r="I280" s="86">
        <v>0</v>
      </c>
      <c r="J280" s="80">
        <v>765.3</v>
      </c>
      <c r="K280" s="80">
        <v>0</v>
      </c>
      <c r="L280" s="300"/>
    </row>
    <row r="281" spans="1:12" ht="167.25" customHeight="1" x14ac:dyDescent="0.35">
      <c r="A281" s="489"/>
      <c r="B281" s="544"/>
      <c r="C281" s="507"/>
      <c r="D281" s="136" t="s">
        <v>178</v>
      </c>
      <c r="E281" s="198" t="s">
        <v>440</v>
      </c>
      <c r="F281" s="202"/>
      <c r="G281" s="337"/>
      <c r="H281" s="79">
        <f>I281+J281+K281</f>
        <v>765.3</v>
      </c>
      <c r="I281" s="86">
        <v>0</v>
      </c>
      <c r="J281" s="80">
        <v>765.3</v>
      </c>
      <c r="K281" s="80">
        <v>0</v>
      </c>
      <c r="L281" s="300"/>
    </row>
    <row r="282" spans="1:12" ht="191.25" customHeight="1" x14ac:dyDescent="0.35">
      <c r="A282" s="489"/>
      <c r="B282" s="544"/>
      <c r="C282" s="200" t="s">
        <v>344</v>
      </c>
      <c r="D282" s="260" t="s">
        <v>66</v>
      </c>
      <c r="E282" s="239" t="s">
        <v>73</v>
      </c>
      <c r="F282" s="202"/>
      <c r="G282" s="251" t="s">
        <v>402</v>
      </c>
      <c r="H282" s="79">
        <f>I282+J282+K282</f>
        <v>12258.5</v>
      </c>
      <c r="I282" s="80">
        <f>3000+307.7-713.7</f>
        <v>2594</v>
      </c>
      <c r="J282" s="80">
        <f>2289+2000+1034</f>
        <v>5323</v>
      </c>
      <c r="K282" s="80">
        <f>3100+1241.5</f>
        <v>4341.5</v>
      </c>
      <c r="L282" s="300"/>
    </row>
    <row r="283" spans="1:12" ht="339" customHeight="1" x14ac:dyDescent="0.35">
      <c r="A283" s="489"/>
      <c r="B283" s="544"/>
      <c r="C283" s="505" t="s">
        <v>377</v>
      </c>
      <c r="D283" s="546" t="s">
        <v>381</v>
      </c>
      <c r="E283" s="323" t="s">
        <v>423</v>
      </c>
      <c r="F283" s="202"/>
      <c r="G283" s="335" t="s">
        <v>376</v>
      </c>
      <c r="H283" s="79">
        <f t="shared" si="34"/>
        <v>3619.8999999999996</v>
      </c>
      <c r="I283" s="80">
        <v>799.7</v>
      </c>
      <c r="J283" s="80">
        <f>2000+1000.1-179.9</f>
        <v>2820.2</v>
      </c>
      <c r="K283" s="80">
        <v>0</v>
      </c>
      <c r="L283" s="267" t="s">
        <v>380</v>
      </c>
    </row>
    <row r="284" spans="1:12" ht="96.75" hidden="1" customHeight="1" x14ac:dyDescent="0.35">
      <c r="A284" s="489"/>
      <c r="B284" s="545"/>
      <c r="C284" s="507"/>
      <c r="D284" s="546"/>
      <c r="E284" s="323"/>
      <c r="F284" s="131"/>
      <c r="G284" s="337"/>
      <c r="H284" s="79">
        <f>I284+J284+K284</f>
        <v>0</v>
      </c>
      <c r="I284" s="80"/>
      <c r="J284" s="80">
        <f>14000+1000-8000-7000</f>
        <v>0</v>
      </c>
      <c r="K284" s="80"/>
      <c r="L284" s="267" t="s">
        <v>445</v>
      </c>
    </row>
    <row r="285" spans="1:12" ht="75" customHeight="1" x14ac:dyDescent="0.35">
      <c r="A285" s="332" t="s">
        <v>71</v>
      </c>
      <c r="B285" s="333"/>
      <c r="C285" s="333"/>
      <c r="D285" s="333"/>
      <c r="E285" s="333"/>
      <c r="F285" s="333"/>
      <c r="G285" s="334"/>
      <c r="H285" s="79">
        <f>H250+H271+H282+H283+H284</f>
        <v>277912.17900000006</v>
      </c>
      <c r="I285" s="79">
        <f>I250+I271+I282+I283+I284</f>
        <v>102395.689</v>
      </c>
      <c r="J285" s="79">
        <f>J250+J271+J282+J283+J284</f>
        <v>151174.99000000002</v>
      </c>
      <c r="K285" s="79">
        <f t="shared" ref="K285" si="38">K250+K271+K282+K283+K284</f>
        <v>24341.5</v>
      </c>
      <c r="L285" s="340"/>
    </row>
    <row r="286" spans="1:12" ht="144" customHeight="1" x14ac:dyDescent="0.35">
      <c r="A286" s="525" t="s">
        <v>17</v>
      </c>
      <c r="B286" s="525"/>
      <c r="C286" s="525"/>
      <c r="D286" s="525"/>
      <c r="E286" s="525"/>
      <c r="F286" s="526"/>
      <c r="G286" s="199" t="s">
        <v>196</v>
      </c>
      <c r="H286" s="97">
        <f>H264+H266+H268+H270+H267+H269+H265</f>
        <v>8344.6229999999996</v>
      </c>
      <c r="I286" s="97">
        <f>I264+I266+I268+I270+I267+I269+I265</f>
        <v>4763.7630000000008</v>
      </c>
      <c r="J286" s="97">
        <f>J264+J266+J268+J270+J267+J269+J265</f>
        <v>3580.8599999999997</v>
      </c>
      <c r="K286" s="97">
        <f t="shared" ref="K286" si="39">K264+K266+K268+K270+K267</f>
        <v>0</v>
      </c>
      <c r="L286" s="340"/>
    </row>
    <row r="287" spans="1:12" ht="120.75" customHeight="1" x14ac:dyDescent="0.35">
      <c r="A287" s="527"/>
      <c r="B287" s="527"/>
      <c r="C287" s="527"/>
      <c r="D287" s="527"/>
      <c r="E287" s="527"/>
      <c r="F287" s="528"/>
      <c r="G287" s="230" t="s">
        <v>376</v>
      </c>
      <c r="H287" s="97">
        <f t="shared" ref="H287:I287" si="40">H283+H284+H260</f>
        <v>9369.9</v>
      </c>
      <c r="I287" s="97">
        <f t="shared" si="40"/>
        <v>799.7</v>
      </c>
      <c r="J287" s="97">
        <f>J283+J284+J260</f>
        <v>8570.2000000000007</v>
      </c>
      <c r="K287" s="97">
        <f>K283+K284+K260</f>
        <v>0</v>
      </c>
      <c r="L287" s="340"/>
    </row>
    <row r="288" spans="1:12" ht="75" customHeight="1" x14ac:dyDescent="0.35">
      <c r="A288" s="527"/>
      <c r="B288" s="527"/>
      <c r="C288" s="527"/>
      <c r="D288" s="527"/>
      <c r="E288" s="527"/>
      <c r="F288" s="528"/>
      <c r="G288" s="199" t="s">
        <v>402</v>
      </c>
      <c r="H288" s="97">
        <f t="shared" ref="H288:I288" si="41">H251+H272+H282</f>
        <v>253667.05600000004</v>
      </c>
      <c r="I288" s="97">
        <f t="shared" si="41"/>
        <v>96832.225999999995</v>
      </c>
      <c r="J288" s="97">
        <f>J251+J272+J282</f>
        <v>132493.33000000002</v>
      </c>
      <c r="K288" s="97">
        <f>K251+K272+K282</f>
        <v>24341.5</v>
      </c>
      <c r="L288" s="340"/>
    </row>
    <row r="289" spans="1:12" ht="225" customHeight="1" x14ac:dyDescent="0.35">
      <c r="A289" s="527"/>
      <c r="B289" s="527"/>
      <c r="C289" s="527"/>
      <c r="D289" s="527"/>
      <c r="E289" s="527"/>
      <c r="F289" s="528"/>
      <c r="G289" s="199" t="s">
        <v>483</v>
      </c>
      <c r="H289" s="97">
        <f t="shared" ref="H289:I289" si="42">H280+H281</f>
        <v>1530.6</v>
      </c>
      <c r="I289" s="97">
        <f t="shared" si="42"/>
        <v>0</v>
      </c>
      <c r="J289" s="97">
        <f>J280+J281</f>
        <v>1530.6</v>
      </c>
      <c r="K289" s="97">
        <f>K280+K281</f>
        <v>0</v>
      </c>
      <c r="L289" s="340"/>
    </row>
    <row r="290" spans="1:12" ht="225" customHeight="1" x14ac:dyDescent="0.35">
      <c r="A290" s="529"/>
      <c r="B290" s="529"/>
      <c r="C290" s="529"/>
      <c r="D290" s="529"/>
      <c r="E290" s="529"/>
      <c r="F290" s="530"/>
      <c r="G290" s="251" t="s">
        <v>484</v>
      </c>
      <c r="H290" s="97">
        <f t="shared" ref="H290:I290" si="43">H261+H262</f>
        <v>5000</v>
      </c>
      <c r="I290" s="97">
        <f t="shared" si="43"/>
        <v>0</v>
      </c>
      <c r="J290" s="97">
        <f>J261+J262</f>
        <v>5000</v>
      </c>
      <c r="K290" s="97">
        <f>K261+K262</f>
        <v>0</v>
      </c>
      <c r="L290" s="340"/>
    </row>
    <row r="291" spans="1:12" ht="75" customHeight="1" x14ac:dyDescent="0.45">
      <c r="A291" s="317" t="s">
        <v>93</v>
      </c>
      <c r="B291" s="318"/>
      <c r="C291" s="318"/>
      <c r="D291" s="318"/>
      <c r="E291" s="531" t="s">
        <v>80</v>
      </c>
      <c r="F291" s="324"/>
      <c r="G291" s="121" t="s">
        <v>95</v>
      </c>
      <c r="H291" s="98">
        <f>SUM(H292:H294)</f>
        <v>37702.89</v>
      </c>
      <c r="I291" s="98">
        <f t="shared" ref="I291" si="44">SUM(I292:I294)</f>
        <v>13373.179999999998</v>
      </c>
      <c r="J291" s="98">
        <f>SUM(J292:J294)</f>
        <v>19329.71</v>
      </c>
      <c r="K291" s="98">
        <f>SUM(K292:K294)</f>
        <v>5000</v>
      </c>
      <c r="L291" s="340"/>
    </row>
    <row r="292" spans="1:12" ht="75" customHeight="1" x14ac:dyDescent="0.35">
      <c r="A292" s="319"/>
      <c r="B292" s="320"/>
      <c r="C292" s="320"/>
      <c r="D292" s="320"/>
      <c r="E292" s="532"/>
      <c r="F292" s="325"/>
      <c r="G292" s="251" t="s">
        <v>402</v>
      </c>
      <c r="H292" s="84">
        <f>H253+H273</f>
        <v>34953.08</v>
      </c>
      <c r="I292" s="84">
        <f>I253+I273</f>
        <v>13123.369999999999</v>
      </c>
      <c r="J292" s="84">
        <f>J253+J273</f>
        <v>16829.71</v>
      </c>
      <c r="K292" s="84">
        <f>K253+K273</f>
        <v>5000</v>
      </c>
      <c r="L292" s="340"/>
    </row>
    <row r="293" spans="1:12" ht="147.75" customHeight="1" x14ac:dyDescent="0.35">
      <c r="A293" s="319"/>
      <c r="B293" s="320"/>
      <c r="C293" s="320"/>
      <c r="D293" s="320"/>
      <c r="E293" s="532"/>
      <c r="F293" s="325"/>
      <c r="G293" s="251" t="s">
        <v>196</v>
      </c>
      <c r="H293" s="84">
        <f>H264</f>
        <v>249.81</v>
      </c>
      <c r="I293" s="84">
        <f>I264</f>
        <v>249.81</v>
      </c>
      <c r="J293" s="84">
        <f>J264</f>
        <v>0</v>
      </c>
      <c r="K293" s="84">
        <f>K264</f>
        <v>0</v>
      </c>
      <c r="L293" s="340"/>
    </row>
    <row r="294" spans="1:12" ht="205.5" customHeight="1" x14ac:dyDescent="0.35">
      <c r="A294" s="319"/>
      <c r="B294" s="320"/>
      <c r="C294" s="320"/>
      <c r="D294" s="320"/>
      <c r="E294" s="533"/>
      <c r="F294" s="325"/>
      <c r="G294" s="251" t="s">
        <v>484</v>
      </c>
      <c r="H294" s="84">
        <f t="shared" ref="H294:I294" si="45">H261</f>
        <v>2500</v>
      </c>
      <c r="I294" s="84">
        <f t="shared" si="45"/>
        <v>0</v>
      </c>
      <c r="J294" s="84">
        <f>J261</f>
        <v>2500</v>
      </c>
      <c r="K294" s="84">
        <f>K261</f>
        <v>0</v>
      </c>
      <c r="L294" s="340"/>
    </row>
    <row r="295" spans="1:12" ht="78" customHeight="1" x14ac:dyDescent="0.35">
      <c r="A295" s="319"/>
      <c r="B295" s="320"/>
      <c r="C295" s="320"/>
      <c r="D295" s="320"/>
      <c r="E295" s="299" t="s">
        <v>74</v>
      </c>
      <c r="F295" s="325"/>
      <c r="G295" s="235" t="s">
        <v>96</v>
      </c>
      <c r="H295" s="84">
        <f>H296+H297</f>
        <v>14302.25</v>
      </c>
      <c r="I295" s="84">
        <f t="shared" ref="I295:K295" si="46">I296+I297</f>
        <v>601.13</v>
      </c>
      <c r="J295" s="84">
        <f t="shared" si="46"/>
        <v>8701.119999999999</v>
      </c>
      <c r="K295" s="84">
        <f t="shared" si="46"/>
        <v>5000</v>
      </c>
      <c r="L295" s="340"/>
    </row>
    <row r="296" spans="1:12" ht="75" customHeight="1" x14ac:dyDescent="0.35">
      <c r="A296" s="319"/>
      <c r="B296" s="320"/>
      <c r="C296" s="320"/>
      <c r="D296" s="320"/>
      <c r="E296" s="300"/>
      <c r="F296" s="325"/>
      <c r="G296" s="231" t="s">
        <v>402</v>
      </c>
      <c r="H296" s="84">
        <f>H254+H274</f>
        <v>12802.25</v>
      </c>
      <c r="I296" s="84">
        <f>I254+I274</f>
        <v>601.13</v>
      </c>
      <c r="J296" s="84">
        <f>J254+J274</f>
        <v>7201.119999999999</v>
      </c>
      <c r="K296" s="84">
        <f>K254+K274</f>
        <v>5000</v>
      </c>
      <c r="L296" s="340"/>
    </row>
    <row r="297" spans="1:12" ht="177.75" customHeight="1" x14ac:dyDescent="0.35">
      <c r="A297" s="319"/>
      <c r="B297" s="320"/>
      <c r="C297" s="320"/>
      <c r="D297" s="320"/>
      <c r="E297" s="301"/>
      <c r="F297" s="325"/>
      <c r="G297" s="199" t="s">
        <v>196</v>
      </c>
      <c r="H297" s="84">
        <f>I297+J297+K297</f>
        <v>1500</v>
      </c>
      <c r="I297" s="84">
        <v>0</v>
      </c>
      <c r="J297" s="84">
        <f>J265</f>
        <v>1500</v>
      </c>
      <c r="K297" s="84">
        <v>0</v>
      </c>
      <c r="L297" s="340"/>
    </row>
    <row r="298" spans="1:12" ht="75" customHeight="1" x14ac:dyDescent="0.35">
      <c r="A298" s="319"/>
      <c r="B298" s="320"/>
      <c r="C298" s="320"/>
      <c r="D298" s="320"/>
      <c r="E298" s="238" t="s">
        <v>75</v>
      </c>
      <c r="F298" s="325"/>
      <c r="G298" s="209" t="s">
        <v>402</v>
      </c>
      <c r="H298" s="84">
        <f>H255+H275</f>
        <v>45100.554000000004</v>
      </c>
      <c r="I298" s="84">
        <f>I255+I275</f>
        <v>17723.654000000002</v>
      </c>
      <c r="J298" s="84">
        <f>J255+J275</f>
        <v>22376.9</v>
      </c>
      <c r="K298" s="84">
        <f>K255+K275</f>
        <v>5000</v>
      </c>
      <c r="L298" s="340"/>
    </row>
    <row r="299" spans="1:12" ht="75" customHeight="1" x14ac:dyDescent="0.4">
      <c r="A299" s="319"/>
      <c r="B299" s="320"/>
      <c r="C299" s="320"/>
      <c r="D299" s="320"/>
      <c r="E299" s="299" t="s">
        <v>73</v>
      </c>
      <c r="F299" s="325"/>
      <c r="G299" s="121" t="s">
        <v>95</v>
      </c>
      <c r="H299" s="84">
        <f>H300+H301+H302</f>
        <v>66267.255000000005</v>
      </c>
      <c r="I299" s="84">
        <f>I300+I301+I302</f>
        <v>28179.155000000002</v>
      </c>
      <c r="J299" s="84">
        <f t="shared" ref="J299:K299" si="47">J300+J301+J302</f>
        <v>28746.6</v>
      </c>
      <c r="K299" s="84">
        <f t="shared" si="47"/>
        <v>9341.5</v>
      </c>
      <c r="L299" s="340"/>
    </row>
    <row r="300" spans="1:12" ht="75" customHeight="1" x14ac:dyDescent="0.35">
      <c r="A300" s="319"/>
      <c r="B300" s="320"/>
      <c r="C300" s="320"/>
      <c r="D300" s="320"/>
      <c r="E300" s="300"/>
      <c r="F300" s="325"/>
      <c r="G300" s="251" t="s">
        <v>402</v>
      </c>
      <c r="H300" s="84">
        <f>H256+H276+H282</f>
        <v>64217.702000000005</v>
      </c>
      <c r="I300" s="84">
        <f>I256+I276+I282</f>
        <v>26991.202000000001</v>
      </c>
      <c r="J300" s="84">
        <f>J256+J276+J282</f>
        <v>27885</v>
      </c>
      <c r="K300" s="84">
        <f>K256+K276+K282</f>
        <v>9341.5</v>
      </c>
      <c r="L300" s="340"/>
    </row>
    <row r="301" spans="1:12" ht="143.25" customHeight="1" x14ac:dyDescent="0.35">
      <c r="A301" s="319"/>
      <c r="B301" s="320"/>
      <c r="C301" s="320"/>
      <c r="D301" s="320"/>
      <c r="E301" s="300"/>
      <c r="F301" s="325"/>
      <c r="G301" s="251" t="s">
        <v>196</v>
      </c>
      <c r="H301" s="84">
        <f>H266</f>
        <v>1284.2530000000004</v>
      </c>
      <c r="I301" s="84">
        <f>I266</f>
        <v>1187.9530000000004</v>
      </c>
      <c r="J301" s="84">
        <f>J266</f>
        <v>96.3</v>
      </c>
      <c r="K301" s="84">
        <f>K266</f>
        <v>0</v>
      </c>
      <c r="L301" s="340"/>
    </row>
    <row r="302" spans="1:12" ht="255.75" customHeight="1" x14ac:dyDescent="0.35">
      <c r="A302" s="319"/>
      <c r="B302" s="320"/>
      <c r="C302" s="320"/>
      <c r="D302" s="320"/>
      <c r="E302" s="301"/>
      <c r="F302" s="325"/>
      <c r="G302" s="251" t="s">
        <v>483</v>
      </c>
      <c r="H302" s="84">
        <f t="shared" ref="H302:I302" si="48">H280</f>
        <v>765.3</v>
      </c>
      <c r="I302" s="84">
        <f t="shared" si="48"/>
        <v>0</v>
      </c>
      <c r="J302" s="84">
        <f>J280</f>
        <v>765.3</v>
      </c>
      <c r="K302" s="84">
        <f>K280</f>
        <v>0</v>
      </c>
      <c r="L302" s="340"/>
    </row>
    <row r="303" spans="1:12" ht="84.75" customHeight="1" x14ac:dyDescent="0.4">
      <c r="A303" s="319"/>
      <c r="B303" s="320"/>
      <c r="C303" s="320"/>
      <c r="D303" s="320"/>
      <c r="E303" s="299" t="s">
        <v>440</v>
      </c>
      <c r="F303" s="325"/>
      <c r="G303" s="121" t="s">
        <v>95</v>
      </c>
      <c r="H303" s="84">
        <f>H304+H305+H306+H307+H308</f>
        <v>17024.599999999999</v>
      </c>
      <c r="I303" s="84">
        <f t="shared" ref="I303:K303" si="49">I304+I305+I306+I307+I308</f>
        <v>0</v>
      </c>
      <c r="J303" s="84">
        <f t="shared" si="49"/>
        <v>17024.599999999999</v>
      </c>
      <c r="K303" s="84">
        <f t="shared" si="49"/>
        <v>0</v>
      </c>
      <c r="L303" s="340"/>
    </row>
    <row r="304" spans="1:12" ht="63.75" customHeight="1" x14ac:dyDescent="0.35">
      <c r="A304" s="319"/>
      <c r="B304" s="320"/>
      <c r="C304" s="320"/>
      <c r="D304" s="320"/>
      <c r="E304" s="300"/>
      <c r="F304" s="325"/>
      <c r="G304" s="251" t="s">
        <v>402</v>
      </c>
      <c r="H304" s="84">
        <f>I304+J304+K304</f>
        <v>8009.3</v>
      </c>
      <c r="I304" s="84">
        <v>0</v>
      </c>
      <c r="J304" s="84">
        <f>J277+J259</f>
        <v>8009.3</v>
      </c>
      <c r="K304" s="84">
        <v>0</v>
      </c>
      <c r="L304" s="340"/>
    </row>
    <row r="305" spans="1:14" ht="143.25" customHeight="1" x14ac:dyDescent="0.35">
      <c r="A305" s="319"/>
      <c r="B305" s="320"/>
      <c r="C305" s="320"/>
      <c r="D305" s="320"/>
      <c r="E305" s="300"/>
      <c r="F305" s="325"/>
      <c r="G305" s="199" t="s">
        <v>196</v>
      </c>
      <c r="H305" s="84">
        <f>I305+J305+K305</f>
        <v>0</v>
      </c>
      <c r="I305" s="84">
        <f>I267</f>
        <v>0</v>
      </c>
      <c r="J305" s="84">
        <f t="shared" ref="J305:K305" si="50">J267</f>
        <v>0</v>
      </c>
      <c r="K305" s="84">
        <f t="shared" si="50"/>
        <v>0</v>
      </c>
      <c r="L305" s="340"/>
    </row>
    <row r="306" spans="1:14" ht="118.5" customHeight="1" x14ac:dyDescent="0.35">
      <c r="A306" s="319"/>
      <c r="B306" s="320"/>
      <c r="C306" s="320"/>
      <c r="D306" s="320"/>
      <c r="E306" s="300"/>
      <c r="F306" s="325"/>
      <c r="G306" s="199" t="s">
        <v>376</v>
      </c>
      <c r="H306" s="84">
        <f t="shared" ref="H306:I306" si="51">H260</f>
        <v>5750</v>
      </c>
      <c r="I306" s="84">
        <f t="shared" si="51"/>
        <v>0</v>
      </c>
      <c r="J306" s="84">
        <f>J260</f>
        <v>5750</v>
      </c>
      <c r="K306" s="84">
        <f>K260</f>
        <v>0</v>
      </c>
      <c r="L306" s="340"/>
    </row>
    <row r="307" spans="1:14" ht="236.25" customHeight="1" x14ac:dyDescent="0.35">
      <c r="A307" s="319"/>
      <c r="B307" s="320"/>
      <c r="C307" s="320"/>
      <c r="D307" s="320"/>
      <c r="E307" s="300"/>
      <c r="F307" s="325"/>
      <c r="G307" s="199" t="s">
        <v>483</v>
      </c>
      <c r="H307" s="84">
        <f t="shared" ref="H307:I307" si="52">H281</f>
        <v>765.3</v>
      </c>
      <c r="I307" s="84">
        <f t="shared" si="52"/>
        <v>0</v>
      </c>
      <c r="J307" s="84">
        <f>J281</f>
        <v>765.3</v>
      </c>
      <c r="K307" s="84">
        <f>K281</f>
        <v>0</v>
      </c>
      <c r="L307" s="340"/>
    </row>
    <row r="308" spans="1:14" ht="236.25" customHeight="1" x14ac:dyDescent="0.35">
      <c r="A308" s="319"/>
      <c r="B308" s="320"/>
      <c r="C308" s="320"/>
      <c r="D308" s="320"/>
      <c r="E308" s="301"/>
      <c r="F308" s="325"/>
      <c r="G308" s="251" t="s">
        <v>484</v>
      </c>
      <c r="H308" s="84">
        <f t="shared" ref="H308:I308" si="53">H262</f>
        <v>2500</v>
      </c>
      <c r="I308" s="84">
        <f t="shared" si="53"/>
        <v>0</v>
      </c>
      <c r="J308" s="84">
        <f>J262</f>
        <v>2500</v>
      </c>
      <c r="K308" s="84">
        <f>K262</f>
        <v>0</v>
      </c>
      <c r="L308" s="340"/>
    </row>
    <row r="309" spans="1:14" ht="75" customHeight="1" x14ac:dyDescent="0.4">
      <c r="A309" s="319"/>
      <c r="B309" s="320"/>
      <c r="C309" s="320"/>
      <c r="D309" s="320"/>
      <c r="E309" s="299" t="s">
        <v>77</v>
      </c>
      <c r="F309" s="325"/>
      <c r="G309" s="121" t="s">
        <v>95</v>
      </c>
      <c r="H309" s="84">
        <f>H310+H311</f>
        <v>28645.57</v>
      </c>
      <c r="I309" s="84">
        <f>I310+I311</f>
        <v>18345.57</v>
      </c>
      <c r="J309" s="84">
        <f>J310+J311</f>
        <v>10300</v>
      </c>
      <c r="K309" s="84">
        <f>K310+K311</f>
        <v>0</v>
      </c>
      <c r="L309" s="340"/>
    </row>
    <row r="310" spans="1:14" ht="75" customHeight="1" x14ac:dyDescent="0.35">
      <c r="A310" s="319"/>
      <c r="B310" s="320"/>
      <c r="C310" s="320"/>
      <c r="D310" s="320"/>
      <c r="E310" s="300"/>
      <c r="F310" s="325"/>
      <c r="G310" s="251" t="s">
        <v>402</v>
      </c>
      <c r="H310" s="84">
        <f>H257+H278</f>
        <v>27719.57</v>
      </c>
      <c r="I310" s="84">
        <f>I257+I278</f>
        <v>17419.57</v>
      </c>
      <c r="J310" s="84">
        <f>J257+J278</f>
        <v>10300</v>
      </c>
      <c r="K310" s="84">
        <f>K257+K278</f>
        <v>0</v>
      </c>
      <c r="L310" s="340"/>
    </row>
    <row r="311" spans="1:14" ht="139.5" customHeight="1" x14ac:dyDescent="0.35">
      <c r="A311" s="319"/>
      <c r="B311" s="320"/>
      <c r="C311" s="320"/>
      <c r="D311" s="320"/>
      <c r="E311" s="301"/>
      <c r="F311" s="325"/>
      <c r="G311" s="251" t="s">
        <v>196</v>
      </c>
      <c r="H311" s="84">
        <f>H268</f>
        <v>926</v>
      </c>
      <c r="I311" s="84">
        <f>I268</f>
        <v>926</v>
      </c>
      <c r="J311" s="84">
        <f>J268</f>
        <v>0</v>
      </c>
      <c r="K311" s="84">
        <f>K268</f>
        <v>0</v>
      </c>
      <c r="L311" s="340"/>
    </row>
    <row r="312" spans="1:14" ht="99.75" customHeight="1" x14ac:dyDescent="0.35">
      <c r="A312" s="319"/>
      <c r="B312" s="320"/>
      <c r="C312" s="320"/>
      <c r="D312" s="320"/>
      <c r="E312" s="238" t="s">
        <v>76</v>
      </c>
      <c r="F312" s="325"/>
      <c r="G312" s="231" t="s">
        <v>402</v>
      </c>
      <c r="H312" s="84">
        <f>H258+H279</f>
        <v>1250</v>
      </c>
      <c r="I312" s="84">
        <f>I258+I279</f>
        <v>1250</v>
      </c>
      <c r="J312" s="84">
        <f>J258+J279</f>
        <v>0</v>
      </c>
      <c r="K312" s="84">
        <f>K258+K279</f>
        <v>0</v>
      </c>
      <c r="L312" s="340"/>
    </row>
    <row r="313" spans="1:14" ht="157.5" customHeight="1" x14ac:dyDescent="0.35">
      <c r="A313" s="319"/>
      <c r="B313" s="320"/>
      <c r="C313" s="320"/>
      <c r="D313" s="320"/>
      <c r="E313" s="238" t="s">
        <v>78</v>
      </c>
      <c r="F313" s="325"/>
      <c r="G313" s="199" t="s">
        <v>196</v>
      </c>
      <c r="H313" s="84">
        <f>I313+J313+K313</f>
        <v>195</v>
      </c>
      <c r="I313" s="84">
        <v>0</v>
      </c>
      <c r="J313" s="84">
        <f>J269</f>
        <v>195</v>
      </c>
      <c r="K313" s="84">
        <v>0</v>
      </c>
      <c r="L313" s="340"/>
    </row>
    <row r="314" spans="1:14" ht="75" customHeight="1" x14ac:dyDescent="0.4">
      <c r="A314" s="319"/>
      <c r="B314" s="320"/>
      <c r="C314" s="320"/>
      <c r="D314" s="320"/>
      <c r="E314" s="323" t="s">
        <v>423</v>
      </c>
      <c r="F314" s="325"/>
      <c r="G314" s="121" t="s">
        <v>95</v>
      </c>
      <c r="H314" s="84">
        <f>H315+H316+H317</f>
        <v>67424.060000000012</v>
      </c>
      <c r="I314" s="84">
        <f>I315+I316+I317</f>
        <v>22923</v>
      </c>
      <c r="J314" s="84">
        <f t="shared" ref="J314:K314" si="54">J315+J316+J317</f>
        <v>44501.06</v>
      </c>
      <c r="K314" s="84">
        <f t="shared" si="54"/>
        <v>0</v>
      </c>
      <c r="L314" s="340"/>
    </row>
    <row r="315" spans="1:14" ht="75" customHeight="1" x14ac:dyDescent="0.35">
      <c r="A315" s="319"/>
      <c r="B315" s="320"/>
      <c r="C315" s="320"/>
      <c r="D315" s="320"/>
      <c r="E315" s="323"/>
      <c r="F315" s="325"/>
      <c r="G315" s="236" t="s">
        <v>376</v>
      </c>
      <c r="H315" s="84">
        <f>H283+H284</f>
        <v>3619.8999999999996</v>
      </c>
      <c r="I315" s="84">
        <f>I283+I284</f>
        <v>799.7</v>
      </c>
      <c r="J315" s="84">
        <f>J283+J284</f>
        <v>2820.2</v>
      </c>
      <c r="K315" s="84">
        <f>K283+K284</f>
        <v>0</v>
      </c>
      <c r="L315" s="340"/>
    </row>
    <row r="316" spans="1:14" ht="75" customHeight="1" x14ac:dyDescent="0.35">
      <c r="A316" s="319"/>
      <c r="B316" s="320"/>
      <c r="C316" s="320"/>
      <c r="D316" s="320"/>
      <c r="E316" s="323"/>
      <c r="F316" s="325"/>
      <c r="G316" s="235" t="s">
        <v>402</v>
      </c>
      <c r="H316" s="84">
        <f>H252</f>
        <v>59614.600000000006</v>
      </c>
      <c r="I316" s="84">
        <f>I252</f>
        <v>19723.3</v>
      </c>
      <c r="J316" s="84">
        <f>J252</f>
        <v>39891.300000000003</v>
      </c>
      <c r="K316" s="84">
        <f>K252</f>
        <v>0</v>
      </c>
      <c r="L316" s="340"/>
    </row>
    <row r="317" spans="1:14" ht="165" customHeight="1" x14ac:dyDescent="0.35">
      <c r="A317" s="321"/>
      <c r="B317" s="322"/>
      <c r="C317" s="322"/>
      <c r="D317" s="322"/>
      <c r="E317" s="323"/>
      <c r="F317" s="326"/>
      <c r="G317" s="235" t="s">
        <v>196</v>
      </c>
      <c r="H317" s="84">
        <f>H270</f>
        <v>4189.5599999999995</v>
      </c>
      <c r="I317" s="84">
        <f t="shared" ref="I317:K317" si="55">I270</f>
        <v>2400</v>
      </c>
      <c r="J317" s="84">
        <f t="shared" si="55"/>
        <v>1789.56</v>
      </c>
      <c r="K317" s="84">
        <f t="shared" si="55"/>
        <v>0</v>
      </c>
      <c r="L317" s="246"/>
    </row>
    <row r="318" spans="1:14" ht="75" customHeight="1" x14ac:dyDescent="0.55000000000000004">
      <c r="A318" s="332" t="s">
        <v>100</v>
      </c>
      <c r="B318" s="333"/>
      <c r="C318" s="333"/>
      <c r="D318" s="333"/>
      <c r="E318" s="333"/>
      <c r="F318" s="334"/>
      <c r="G318" s="120"/>
      <c r="H318" s="79">
        <f>H139+H201+H237+H285</f>
        <v>633288.0443500001</v>
      </c>
      <c r="I318" s="79">
        <f>I139+I201+I237+I285</f>
        <v>291091.83100000001</v>
      </c>
      <c r="J318" s="79">
        <f>J139+J201+J237+J285</f>
        <v>249883.23360000001</v>
      </c>
      <c r="K318" s="79">
        <f>K139+K201+K237+K285</f>
        <v>92312.979749999999</v>
      </c>
      <c r="L318" s="338"/>
      <c r="M318" s="280">
        <f>J139+J201+J237+J285</f>
        <v>249883.23360000001</v>
      </c>
    </row>
    <row r="319" spans="1:14" ht="75" customHeight="1" x14ac:dyDescent="0.55000000000000004">
      <c r="A319" s="534" t="s">
        <v>101</v>
      </c>
      <c r="B319" s="534"/>
      <c r="C319" s="534"/>
      <c r="D319" s="534"/>
      <c r="E319" s="534"/>
      <c r="F319" s="535"/>
      <c r="G319" s="235" t="s">
        <v>399</v>
      </c>
      <c r="H319" s="79">
        <f>H140+H202+H238</f>
        <v>280005.64635</v>
      </c>
      <c r="I319" s="79">
        <f t="shared" ref="I319:K319" si="56">I140+I202+I238</f>
        <v>124866.12299999998</v>
      </c>
      <c r="J319" s="79">
        <f t="shared" si="56"/>
        <v>87168.04359999999</v>
      </c>
      <c r="K319" s="79">
        <f t="shared" si="56"/>
        <v>67971.479749999999</v>
      </c>
      <c r="L319" s="339"/>
      <c r="M319" s="280">
        <f>J140+J202+J238</f>
        <v>87168.04359999999</v>
      </c>
      <c r="N319" s="277">
        <f>J11+J14+J17+J20+J23+J30+J45+J52+J54+J55+J56+J58+J59+J60+J64+J68+J74+J75+J76+J77+J78+J79+J84+J85+J123+J125+J126+J127+J128+J133+J135+J175+J176+J178+J181+J182+J187+J196+J198+J199+J200+J223+J224</f>
        <v>86898.043600000019</v>
      </c>
    </row>
    <row r="320" spans="1:14" ht="75" customHeight="1" x14ac:dyDescent="0.5">
      <c r="A320" s="536"/>
      <c r="B320" s="536"/>
      <c r="C320" s="536"/>
      <c r="D320" s="536"/>
      <c r="E320" s="536"/>
      <c r="F320" s="537"/>
      <c r="G320" s="235" t="s">
        <v>402</v>
      </c>
      <c r="H320" s="79">
        <f>H288</f>
        <v>253667.05600000004</v>
      </c>
      <c r="I320" s="79">
        <f>I288</f>
        <v>96832.225999999995</v>
      </c>
      <c r="J320" s="79">
        <v>132493.4</v>
      </c>
      <c r="K320" s="79">
        <f t="shared" ref="K320" si="57">K288</f>
        <v>24341.5</v>
      </c>
      <c r="L320" s="339"/>
      <c r="M320" s="277">
        <f>J288</f>
        <v>132493.33000000002</v>
      </c>
    </row>
    <row r="321" spans="1:12" ht="102" customHeight="1" x14ac:dyDescent="0.35">
      <c r="A321" s="536"/>
      <c r="B321" s="536"/>
      <c r="C321" s="536"/>
      <c r="D321" s="536"/>
      <c r="E321" s="536"/>
      <c r="F321" s="537"/>
      <c r="G321" s="235" t="s">
        <v>94</v>
      </c>
      <c r="H321" s="79">
        <f>H141</f>
        <v>52689.700000000004</v>
      </c>
      <c r="I321" s="79">
        <f>I141</f>
        <v>52689.700000000004</v>
      </c>
      <c r="J321" s="79">
        <f>J141</f>
        <v>0</v>
      </c>
      <c r="K321" s="79">
        <f>K141</f>
        <v>0</v>
      </c>
      <c r="L321" s="339"/>
    </row>
    <row r="322" spans="1:12" ht="219" customHeight="1" x14ac:dyDescent="0.35">
      <c r="A322" s="536"/>
      <c r="B322" s="536"/>
      <c r="C322" s="536"/>
      <c r="D322" s="536"/>
      <c r="E322" s="536"/>
      <c r="F322" s="537"/>
      <c r="G322" s="251" t="s">
        <v>98</v>
      </c>
      <c r="H322" s="79">
        <f>H204+H239</f>
        <v>18015.819000000003</v>
      </c>
      <c r="I322" s="79">
        <f>I204+I239</f>
        <v>6612.1190000000006</v>
      </c>
      <c r="J322" s="79">
        <f>J204+J239</f>
        <v>11403.7</v>
      </c>
      <c r="K322" s="79">
        <f>K204+K239</f>
        <v>0</v>
      </c>
      <c r="L322" s="339"/>
    </row>
    <row r="323" spans="1:12" ht="168" customHeight="1" x14ac:dyDescent="0.35">
      <c r="A323" s="536"/>
      <c r="B323" s="536"/>
      <c r="C323" s="536"/>
      <c r="D323" s="536"/>
      <c r="E323" s="536"/>
      <c r="F323" s="537"/>
      <c r="G323" s="235" t="s">
        <v>97</v>
      </c>
      <c r="H323" s="79">
        <f>H142+H203</f>
        <v>4468.2</v>
      </c>
      <c r="I323" s="79">
        <f>I142+I203</f>
        <v>4468.2</v>
      </c>
      <c r="J323" s="79">
        <f>J142+J203</f>
        <v>0</v>
      </c>
      <c r="K323" s="79">
        <f>K142+K203</f>
        <v>0</v>
      </c>
      <c r="L323" s="339"/>
    </row>
    <row r="324" spans="1:12" ht="160.5" customHeight="1" x14ac:dyDescent="0.35">
      <c r="A324" s="536"/>
      <c r="B324" s="536"/>
      <c r="C324" s="536"/>
      <c r="D324" s="536"/>
      <c r="E324" s="536"/>
      <c r="F324" s="537"/>
      <c r="G324" s="251" t="s">
        <v>196</v>
      </c>
      <c r="H324" s="79">
        <f>H286</f>
        <v>8344.6229999999996</v>
      </c>
      <c r="I324" s="79">
        <f>I286</f>
        <v>4763.7630000000008</v>
      </c>
      <c r="J324" s="79">
        <v>3580.8</v>
      </c>
      <c r="K324" s="79">
        <f t="shared" ref="H324:K325" si="58">K286</f>
        <v>0</v>
      </c>
      <c r="L324" s="339"/>
    </row>
    <row r="325" spans="1:12" ht="75" customHeight="1" x14ac:dyDescent="0.35">
      <c r="A325" s="536"/>
      <c r="B325" s="536"/>
      <c r="C325" s="536"/>
      <c r="D325" s="536"/>
      <c r="E325" s="536"/>
      <c r="F325" s="537"/>
      <c r="G325" s="236" t="s">
        <v>376</v>
      </c>
      <c r="H325" s="79">
        <f t="shared" si="58"/>
        <v>9369.9</v>
      </c>
      <c r="I325" s="79">
        <f t="shared" si="58"/>
        <v>799.7</v>
      </c>
      <c r="J325" s="79">
        <f>J287</f>
        <v>8570.2000000000007</v>
      </c>
      <c r="K325" s="79">
        <f t="shared" si="58"/>
        <v>0</v>
      </c>
      <c r="L325" s="339"/>
    </row>
    <row r="326" spans="1:12" ht="75" customHeight="1" x14ac:dyDescent="0.35">
      <c r="A326" s="536"/>
      <c r="B326" s="536"/>
      <c r="C326" s="536"/>
      <c r="D326" s="536"/>
      <c r="E326" s="536"/>
      <c r="F326" s="537"/>
      <c r="G326" s="235" t="s">
        <v>311</v>
      </c>
      <c r="H326" s="79">
        <f>H143</f>
        <v>196.5</v>
      </c>
      <c r="I326" s="79">
        <f>I143</f>
        <v>60</v>
      </c>
      <c r="J326" s="79">
        <f>J143</f>
        <v>136.5</v>
      </c>
      <c r="K326" s="79">
        <f>K143</f>
        <v>0</v>
      </c>
      <c r="L326" s="339"/>
    </row>
    <row r="327" spans="1:12" ht="235.5" customHeight="1" x14ac:dyDescent="0.35">
      <c r="A327" s="536"/>
      <c r="B327" s="536"/>
      <c r="C327" s="536"/>
      <c r="D327" s="536"/>
      <c r="E327" s="536"/>
      <c r="F327" s="537"/>
      <c r="G327" s="235" t="s">
        <v>483</v>
      </c>
      <c r="H327" s="79">
        <f>H289</f>
        <v>1530.6</v>
      </c>
      <c r="I327" s="79">
        <f>I289</f>
        <v>0</v>
      </c>
      <c r="J327" s="79">
        <f t="shared" ref="J327:K327" si="59">J289</f>
        <v>1530.6</v>
      </c>
      <c r="K327" s="79">
        <f t="shared" si="59"/>
        <v>0</v>
      </c>
      <c r="L327" s="247"/>
    </row>
    <row r="328" spans="1:12" ht="235.5" customHeight="1" x14ac:dyDescent="0.35">
      <c r="A328" s="538"/>
      <c r="B328" s="538"/>
      <c r="C328" s="538"/>
      <c r="D328" s="538"/>
      <c r="E328" s="538"/>
      <c r="F328" s="539"/>
      <c r="G328" s="251" t="s">
        <v>484</v>
      </c>
      <c r="H328" s="79">
        <f t="shared" ref="H328:I328" si="60">H290</f>
        <v>5000</v>
      </c>
      <c r="I328" s="79">
        <f t="shared" si="60"/>
        <v>0</v>
      </c>
      <c r="J328" s="79">
        <f>J290</f>
        <v>5000</v>
      </c>
      <c r="K328" s="79">
        <f>K290</f>
        <v>0</v>
      </c>
      <c r="L328" s="247"/>
    </row>
    <row r="329" spans="1:12" ht="75" customHeight="1" x14ac:dyDescent="0.35">
      <c r="A329" s="341" t="s">
        <v>93</v>
      </c>
      <c r="B329" s="341"/>
      <c r="C329" s="341"/>
      <c r="D329" s="342"/>
      <c r="E329" s="302" t="s">
        <v>80</v>
      </c>
      <c r="F329" s="516"/>
      <c r="G329" s="235" t="s">
        <v>88</v>
      </c>
      <c r="H329" s="79">
        <f t="shared" ref="H329:I329" si="61">SUM(H330:H336)</f>
        <v>82679.070000000007</v>
      </c>
      <c r="I329" s="79">
        <f t="shared" si="61"/>
        <v>42178.819999999992</v>
      </c>
      <c r="J329" s="79">
        <f>SUM(J330:J336)</f>
        <v>30093.75</v>
      </c>
      <c r="K329" s="79">
        <f>SUM(K330:K336)</f>
        <v>10406.5</v>
      </c>
      <c r="L329" s="137"/>
    </row>
    <row r="330" spans="1:12" ht="75" customHeight="1" x14ac:dyDescent="0.35">
      <c r="A330" s="343"/>
      <c r="B330" s="343"/>
      <c r="C330" s="343"/>
      <c r="D330" s="344"/>
      <c r="E330" s="303"/>
      <c r="F330" s="517"/>
      <c r="G330" s="251" t="s">
        <v>398</v>
      </c>
      <c r="H330" s="80">
        <f>H145+H207+H244</f>
        <v>32282.78</v>
      </c>
      <c r="I330" s="80">
        <f>I145+I207+I244</f>
        <v>16112.239999999998</v>
      </c>
      <c r="J330" s="80">
        <f t="shared" ref="J330:K330" si="62">J145+J207+J244</f>
        <v>10764.04</v>
      </c>
      <c r="K330" s="80">
        <f t="shared" si="62"/>
        <v>5406.5</v>
      </c>
      <c r="L330" s="138"/>
    </row>
    <row r="331" spans="1:12" ht="75" customHeight="1" x14ac:dyDescent="0.35">
      <c r="A331" s="343"/>
      <c r="B331" s="343"/>
      <c r="C331" s="343"/>
      <c r="D331" s="344"/>
      <c r="E331" s="303"/>
      <c r="F331" s="517"/>
      <c r="G331" s="235" t="s">
        <v>94</v>
      </c>
      <c r="H331" s="80">
        <f>H148</f>
        <v>12485.6</v>
      </c>
      <c r="I331" s="80">
        <f>I148</f>
        <v>12485.6</v>
      </c>
      <c r="J331" s="80">
        <f>J148</f>
        <v>0</v>
      </c>
      <c r="K331" s="80">
        <f>K148</f>
        <v>0</v>
      </c>
      <c r="L331" s="138"/>
    </row>
    <row r="332" spans="1:12" ht="174.75" customHeight="1" x14ac:dyDescent="0.35">
      <c r="A332" s="343"/>
      <c r="B332" s="343"/>
      <c r="C332" s="343"/>
      <c r="D332" s="344"/>
      <c r="E332" s="303"/>
      <c r="F332" s="517"/>
      <c r="G332" s="235" t="str">
        <f>G146</f>
        <v>Субвенція з місцевого бюджету на здійснення переданих видатків у сфері охорони здоров'я за рахунок коштів медичної субвенції (загальний фонд)</v>
      </c>
      <c r="H332" s="82">
        <f>H146+H206</f>
        <v>147.79999999999998</v>
      </c>
      <c r="I332" s="82">
        <f>I146+I206</f>
        <v>147.79999999999998</v>
      </c>
      <c r="J332" s="82">
        <f>J146+J206</f>
        <v>0</v>
      </c>
      <c r="K332" s="82">
        <f>K146+K206</f>
        <v>0</v>
      </c>
      <c r="L332" s="138"/>
    </row>
    <row r="333" spans="1:12" ht="147.75" customHeight="1" x14ac:dyDescent="0.35">
      <c r="A333" s="343"/>
      <c r="B333" s="343"/>
      <c r="C333" s="343"/>
      <c r="D333" s="344"/>
      <c r="E333" s="303"/>
      <c r="F333" s="517"/>
      <c r="G333" s="235" t="s">
        <v>196</v>
      </c>
      <c r="H333" s="80">
        <f>H293</f>
        <v>249.81</v>
      </c>
      <c r="I333" s="80">
        <f>I293</f>
        <v>249.81</v>
      </c>
      <c r="J333" s="80">
        <f>J293</f>
        <v>0</v>
      </c>
      <c r="K333" s="80">
        <f>K293</f>
        <v>0</v>
      </c>
      <c r="L333" s="138"/>
    </row>
    <row r="334" spans="1:12" ht="75" customHeight="1" x14ac:dyDescent="0.35">
      <c r="A334" s="343"/>
      <c r="B334" s="343"/>
      <c r="C334" s="343"/>
      <c r="D334" s="344"/>
      <c r="E334" s="303"/>
      <c r="F334" s="517"/>
      <c r="G334" s="251" t="s">
        <v>311</v>
      </c>
      <c r="H334" s="80">
        <f>H147</f>
        <v>60</v>
      </c>
      <c r="I334" s="80">
        <f>I147</f>
        <v>60</v>
      </c>
      <c r="J334" s="80">
        <f>J147</f>
        <v>0</v>
      </c>
      <c r="K334" s="80">
        <f>K147</f>
        <v>0</v>
      </c>
      <c r="L334" s="138"/>
    </row>
    <row r="335" spans="1:12" ht="85.5" customHeight="1" x14ac:dyDescent="0.35">
      <c r="A335" s="343"/>
      <c r="B335" s="343"/>
      <c r="C335" s="343"/>
      <c r="D335" s="344"/>
      <c r="E335" s="303"/>
      <c r="F335" s="517"/>
      <c r="G335" s="251" t="s">
        <v>402</v>
      </c>
      <c r="H335" s="80">
        <f>H292</f>
        <v>34953.08</v>
      </c>
      <c r="I335" s="80">
        <f>I292</f>
        <v>13123.369999999999</v>
      </c>
      <c r="J335" s="80">
        <f>J292</f>
        <v>16829.71</v>
      </c>
      <c r="K335" s="80">
        <f>K292</f>
        <v>5000</v>
      </c>
      <c r="L335" s="138"/>
    </row>
    <row r="336" spans="1:12" ht="198" customHeight="1" x14ac:dyDescent="0.35">
      <c r="A336" s="343"/>
      <c r="B336" s="343"/>
      <c r="C336" s="343"/>
      <c r="D336" s="344"/>
      <c r="E336" s="304"/>
      <c r="F336" s="517"/>
      <c r="G336" s="251" t="s">
        <v>484</v>
      </c>
      <c r="H336" s="80">
        <f t="shared" ref="H336:I336" si="63">H294</f>
        <v>2500</v>
      </c>
      <c r="I336" s="80">
        <f t="shared" si="63"/>
        <v>0</v>
      </c>
      <c r="J336" s="80">
        <f>J294</f>
        <v>2500</v>
      </c>
      <c r="K336" s="80">
        <f>K294</f>
        <v>0</v>
      </c>
      <c r="L336" s="138"/>
    </row>
    <row r="337" spans="1:12" ht="75" customHeight="1" x14ac:dyDescent="0.35">
      <c r="A337" s="343"/>
      <c r="B337" s="343"/>
      <c r="C337" s="343"/>
      <c r="D337" s="344"/>
      <c r="E337" s="350" t="s">
        <v>74</v>
      </c>
      <c r="F337" s="517"/>
      <c r="G337" s="235" t="s">
        <v>88</v>
      </c>
      <c r="H337" s="79">
        <f>SUM(H338:H341)</f>
        <v>57954.420000000006</v>
      </c>
      <c r="I337" s="79">
        <f t="shared" ref="I337:K337" si="64">SUM(I338:I341)</f>
        <v>21952.03</v>
      </c>
      <c r="J337" s="79">
        <f t="shared" si="64"/>
        <v>20371.79</v>
      </c>
      <c r="K337" s="79">
        <f t="shared" si="64"/>
        <v>15630.599999999999</v>
      </c>
      <c r="L337" s="138"/>
    </row>
    <row r="338" spans="1:12" ht="75" customHeight="1" x14ac:dyDescent="0.35">
      <c r="A338" s="343"/>
      <c r="B338" s="343"/>
      <c r="C338" s="343"/>
      <c r="D338" s="344"/>
      <c r="E338" s="351"/>
      <c r="F338" s="517"/>
      <c r="G338" s="251" t="s">
        <v>398</v>
      </c>
      <c r="H338" s="80">
        <f>H150+H208+H246</f>
        <v>35492.070000000007</v>
      </c>
      <c r="I338" s="80">
        <f>I150+I208+I246</f>
        <v>13190.799999999997</v>
      </c>
      <c r="J338" s="80">
        <f>J150+J208+J246</f>
        <v>11670.67</v>
      </c>
      <c r="K338" s="80">
        <f>K150+K208+K246</f>
        <v>10630.599999999999</v>
      </c>
      <c r="L338" s="247"/>
    </row>
    <row r="339" spans="1:12" ht="75" customHeight="1" x14ac:dyDescent="0.35">
      <c r="A339" s="343"/>
      <c r="B339" s="343"/>
      <c r="C339" s="343"/>
      <c r="D339" s="344"/>
      <c r="E339" s="351"/>
      <c r="F339" s="517"/>
      <c r="G339" s="235" t="s">
        <v>94</v>
      </c>
      <c r="H339" s="80">
        <f>H151</f>
        <v>8160.1</v>
      </c>
      <c r="I339" s="80">
        <f>I151</f>
        <v>8160.1</v>
      </c>
      <c r="J339" s="80">
        <f>J151</f>
        <v>0</v>
      </c>
      <c r="K339" s="80">
        <f>K151</f>
        <v>0</v>
      </c>
      <c r="L339" s="138"/>
    </row>
    <row r="340" spans="1:12" ht="75" customHeight="1" x14ac:dyDescent="0.35">
      <c r="A340" s="343"/>
      <c r="B340" s="343"/>
      <c r="C340" s="343"/>
      <c r="D340" s="344"/>
      <c r="E340" s="351"/>
      <c r="F340" s="517"/>
      <c r="G340" s="251" t="s">
        <v>402</v>
      </c>
      <c r="H340" s="80">
        <f>H296</f>
        <v>12802.25</v>
      </c>
      <c r="I340" s="80">
        <f>I296</f>
        <v>601.13</v>
      </c>
      <c r="J340" s="80">
        <f>J296</f>
        <v>7201.119999999999</v>
      </c>
      <c r="K340" s="80">
        <f>K296</f>
        <v>5000</v>
      </c>
      <c r="L340" s="247"/>
    </row>
    <row r="341" spans="1:12" ht="167.25" customHeight="1" x14ac:dyDescent="0.35">
      <c r="A341" s="343"/>
      <c r="B341" s="343"/>
      <c r="C341" s="343"/>
      <c r="D341" s="344"/>
      <c r="E341" s="352"/>
      <c r="F341" s="517"/>
      <c r="G341" s="251" t="s">
        <v>196</v>
      </c>
      <c r="H341" s="80">
        <f>I341+J341+K341</f>
        <v>1500</v>
      </c>
      <c r="I341" s="80">
        <v>0</v>
      </c>
      <c r="J341" s="80">
        <f>J297</f>
        <v>1500</v>
      </c>
      <c r="K341" s="80">
        <v>0</v>
      </c>
      <c r="L341" s="247"/>
    </row>
    <row r="342" spans="1:12" ht="75" customHeight="1" x14ac:dyDescent="0.35">
      <c r="A342" s="343"/>
      <c r="B342" s="343"/>
      <c r="C342" s="343"/>
      <c r="D342" s="344"/>
      <c r="E342" s="350" t="s">
        <v>75</v>
      </c>
      <c r="F342" s="517"/>
      <c r="G342" s="235" t="s">
        <v>88</v>
      </c>
      <c r="H342" s="79">
        <f>SUM(H343:H346)</f>
        <v>103087.92445000001</v>
      </c>
      <c r="I342" s="79">
        <f>SUM(I343:I346)</f>
        <v>56314.853999999999</v>
      </c>
      <c r="J342" s="79">
        <f>SUM(J343:J346)</f>
        <v>33912.53</v>
      </c>
      <c r="K342" s="79">
        <f>SUM(K343:K346)</f>
        <v>12860.54045</v>
      </c>
      <c r="L342" s="247"/>
    </row>
    <row r="343" spans="1:12" ht="75" customHeight="1" x14ac:dyDescent="0.35">
      <c r="A343" s="343"/>
      <c r="B343" s="343"/>
      <c r="C343" s="343"/>
      <c r="D343" s="344"/>
      <c r="E343" s="351"/>
      <c r="F343" s="517"/>
      <c r="G343" s="251" t="s">
        <v>398</v>
      </c>
      <c r="H343" s="80">
        <f>H153+H209+H247</f>
        <v>42440.870449999995</v>
      </c>
      <c r="I343" s="80">
        <f>I153+I209+I247</f>
        <v>23044.699999999997</v>
      </c>
      <c r="J343" s="80">
        <f>J153+J209+J247</f>
        <v>11535.630000000001</v>
      </c>
      <c r="K343" s="80">
        <f>K153+K209+K247</f>
        <v>7860.5404500000004</v>
      </c>
      <c r="L343" s="247"/>
    </row>
    <row r="344" spans="1:12" ht="91.5" customHeight="1" x14ac:dyDescent="0.35">
      <c r="A344" s="343"/>
      <c r="B344" s="343"/>
      <c r="C344" s="343"/>
      <c r="D344" s="344"/>
      <c r="E344" s="351"/>
      <c r="F344" s="517"/>
      <c r="G344" s="235" t="s">
        <v>94</v>
      </c>
      <c r="H344" s="80">
        <f t="shared" ref="H344:K345" si="65">H154</f>
        <v>12866.2</v>
      </c>
      <c r="I344" s="80">
        <f t="shared" si="65"/>
        <v>12866.2</v>
      </c>
      <c r="J344" s="80">
        <f t="shared" si="65"/>
        <v>0</v>
      </c>
      <c r="K344" s="80">
        <f t="shared" si="65"/>
        <v>0</v>
      </c>
      <c r="L344" s="247"/>
    </row>
    <row r="345" spans="1:12" ht="159" customHeight="1" x14ac:dyDescent="0.35">
      <c r="A345" s="343"/>
      <c r="B345" s="343"/>
      <c r="C345" s="343"/>
      <c r="D345" s="344"/>
      <c r="E345" s="351"/>
      <c r="F345" s="517"/>
      <c r="G345" s="235" t="s">
        <v>97</v>
      </c>
      <c r="H345" s="80">
        <f t="shared" si="65"/>
        <v>2680.3</v>
      </c>
      <c r="I345" s="80">
        <f t="shared" si="65"/>
        <v>2680.3</v>
      </c>
      <c r="J345" s="80">
        <f t="shared" si="65"/>
        <v>0</v>
      </c>
      <c r="K345" s="80">
        <f t="shared" si="65"/>
        <v>0</v>
      </c>
      <c r="L345" s="247"/>
    </row>
    <row r="346" spans="1:12" ht="75" customHeight="1" x14ac:dyDescent="0.35">
      <c r="A346" s="343"/>
      <c r="B346" s="343"/>
      <c r="C346" s="343"/>
      <c r="D346" s="344"/>
      <c r="E346" s="352"/>
      <c r="F346" s="517"/>
      <c r="G346" s="251" t="s">
        <v>402</v>
      </c>
      <c r="H346" s="80">
        <f>H298</f>
        <v>45100.554000000004</v>
      </c>
      <c r="I346" s="80">
        <f>I298</f>
        <v>17723.654000000002</v>
      </c>
      <c r="J346" s="80">
        <f>J298</f>
        <v>22376.9</v>
      </c>
      <c r="K346" s="80">
        <f>K298</f>
        <v>5000</v>
      </c>
      <c r="L346" s="247"/>
    </row>
    <row r="347" spans="1:12" ht="75" customHeight="1" x14ac:dyDescent="0.35">
      <c r="A347" s="343"/>
      <c r="B347" s="343"/>
      <c r="C347" s="343"/>
      <c r="D347" s="344"/>
      <c r="E347" s="350" t="s">
        <v>73</v>
      </c>
      <c r="F347" s="517"/>
      <c r="G347" s="235" t="s">
        <v>88</v>
      </c>
      <c r="H347" s="79">
        <f>SUM(H348:H353)</f>
        <v>124282.96</v>
      </c>
      <c r="I347" s="79">
        <f t="shared" ref="I347:K347" si="66">SUM(I348:I353)</f>
        <v>62999.538</v>
      </c>
      <c r="J347" s="79">
        <f t="shared" si="66"/>
        <v>42719.73</v>
      </c>
      <c r="K347" s="79">
        <f t="shared" si="66"/>
        <v>18563.692000000003</v>
      </c>
      <c r="L347" s="247"/>
    </row>
    <row r="348" spans="1:12" ht="75" customHeight="1" x14ac:dyDescent="0.35">
      <c r="A348" s="343"/>
      <c r="B348" s="343"/>
      <c r="C348" s="343"/>
      <c r="D348" s="344"/>
      <c r="E348" s="351"/>
      <c r="F348" s="517"/>
      <c r="G348" s="269" t="s">
        <v>398</v>
      </c>
      <c r="H348" s="80">
        <f>H157+H210+H248</f>
        <v>46167.705000000009</v>
      </c>
      <c r="I348" s="80">
        <f>I157+I210+I248</f>
        <v>22972.383000000002</v>
      </c>
      <c r="J348" s="80">
        <f>J157+J210+J248</f>
        <v>13973.13</v>
      </c>
      <c r="K348" s="80">
        <f>K157+K210+K248</f>
        <v>9222.1920000000009</v>
      </c>
      <c r="L348" s="247"/>
    </row>
    <row r="349" spans="1:12" ht="75" customHeight="1" x14ac:dyDescent="0.35">
      <c r="A349" s="343"/>
      <c r="B349" s="343"/>
      <c r="C349" s="343"/>
      <c r="D349" s="344"/>
      <c r="E349" s="351"/>
      <c r="F349" s="517"/>
      <c r="G349" s="235" t="s">
        <v>94</v>
      </c>
      <c r="H349" s="80">
        <f>H158</f>
        <v>11698</v>
      </c>
      <c r="I349" s="80">
        <f>I158</f>
        <v>11698</v>
      </c>
      <c r="J349" s="80">
        <f>J158</f>
        <v>0</v>
      </c>
      <c r="K349" s="80">
        <f>K158</f>
        <v>0</v>
      </c>
      <c r="L349" s="247"/>
    </row>
    <row r="350" spans="1:12" ht="168.75" customHeight="1" x14ac:dyDescent="0.35">
      <c r="A350" s="343"/>
      <c r="B350" s="343"/>
      <c r="C350" s="343"/>
      <c r="D350" s="344"/>
      <c r="E350" s="351"/>
      <c r="F350" s="517"/>
      <c r="G350" s="235" t="s">
        <v>196</v>
      </c>
      <c r="H350" s="80">
        <f>H301</f>
        <v>1284.2530000000004</v>
      </c>
      <c r="I350" s="80">
        <f>I301</f>
        <v>1187.9530000000004</v>
      </c>
      <c r="J350" s="80">
        <f>J301</f>
        <v>96.3</v>
      </c>
      <c r="K350" s="80">
        <f>K301</f>
        <v>0</v>
      </c>
      <c r="L350" s="247"/>
    </row>
    <row r="351" spans="1:12" ht="75" customHeight="1" x14ac:dyDescent="0.35">
      <c r="A351" s="343"/>
      <c r="B351" s="343"/>
      <c r="C351" s="343"/>
      <c r="D351" s="344"/>
      <c r="E351" s="351"/>
      <c r="F351" s="517"/>
      <c r="G351" s="251" t="s">
        <v>402</v>
      </c>
      <c r="H351" s="80">
        <f>H300</f>
        <v>64217.702000000005</v>
      </c>
      <c r="I351" s="80">
        <f>I300</f>
        <v>26991.202000000001</v>
      </c>
      <c r="J351" s="80">
        <f>J300</f>
        <v>27885</v>
      </c>
      <c r="K351" s="80">
        <f>K300</f>
        <v>9341.5</v>
      </c>
      <c r="L351" s="247"/>
    </row>
    <row r="352" spans="1:12" ht="136.80000000000001" x14ac:dyDescent="0.35">
      <c r="A352" s="343"/>
      <c r="B352" s="343"/>
      <c r="C352" s="343"/>
      <c r="D352" s="344"/>
      <c r="E352" s="351"/>
      <c r="F352" s="517"/>
      <c r="G352" s="269" t="s">
        <v>97</v>
      </c>
      <c r="H352" s="80">
        <f>H159</f>
        <v>150</v>
      </c>
      <c r="I352" s="80">
        <f t="shared" ref="I352:K352" si="67">I159</f>
        <v>150</v>
      </c>
      <c r="J352" s="80">
        <f t="shared" si="67"/>
        <v>0</v>
      </c>
      <c r="K352" s="80">
        <f t="shared" si="67"/>
        <v>0</v>
      </c>
      <c r="L352" s="247"/>
    </row>
    <row r="353" spans="1:12" ht="255" customHeight="1" x14ac:dyDescent="0.35">
      <c r="A353" s="343"/>
      <c r="B353" s="343"/>
      <c r="C353" s="343"/>
      <c r="D353" s="344"/>
      <c r="E353" s="352"/>
      <c r="F353" s="517"/>
      <c r="G353" s="235" t="s">
        <v>483</v>
      </c>
      <c r="H353" s="80">
        <f t="shared" ref="H353:I353" si="68">H302</f>
        <v>765.3</v>
      </c>
      <c r="I353" s="80">
        <f t="shared" si="68"/>
        <v>0</v>
      </c>
      <c r="J353" s="80">
        <f>J302</f>
        <v>765.3</v>
      </c>
      <c r="K353" s="80">
        <f>K302</f>
        <v>0</v>
      </c>
      <c r="L353" s="247"/>
    </row>
    <row r="354" spans="1:12" ht="75" customHeight="1" x14ac:dyDescent="0.35">
      <c r="A354" s="343"/>
      <c r="B354" s="343"/>
      <c r="C354" s="343"/>
      <c r="D354" s="344"/>
      <c r="E354" s="302" t="s">
        <v>440</v>
      </c>
      <c r="F354" s="517"/>
      <c r="G354" s="235" t="s">
        <v>88</v>
      </c>
      <c r="H354" s="80">
        <f t="shared" ref="H354:I354" si="69">H355+H356+H357+H359+H358+H360+H361</f>
        <v>19431.650000000001</v>
      </c>
      <c r="I354" s="80">
        <f t="shared" si="69"/>
        <v>0</v>
      </c>
      <c r="J354" s="80">
        <f>J355+J356+J357+J359+J358+J360+J361</f>
        <v>19431.650000000001</v>
      </c>
      <c r="K354" s="80">
        <f>K355+K356+K357+K359+K358+K360+K361</f>
        <v>0</v>
      </c>
      <c r="L354" s="247"/>
    </row>
    <row r="355" spans="1:12" ht="75" customHeight="1" x14ac:dyDescent="0.35">
      <c r="A355" s="343"/>
      <c r="B355" s="343"/>
      <c r="C355" s="343"/>
      <c r="D355" s="344"/>
      <c r="E355" s="303"/>
      <c r="F355" s="517"/>
      <c r="G355" s="269" t="s">
        <v>398</v>
      </c>
      <c r="H355" s="80">
        <f t="shared" ref="H355:I355" si="70">H161+H177</f>
        <v>2270.5499999999997</v>
      </c>
      <c r="I355" s="80">
        <f t="shared" si="70"/>
        <v>0</v>
      </c>
      <c r="J355" s="80">
        <f>J161+J177</f>
        <v>2270.5499999999997</v>
      </c>
      <c r="K355" s="80">
        <f>K161+K177</f>
        <v>0</v>
      </c>
      <c r="L355" s="247"/>
    </row>
    <row r="356" spans="1:12" ht="52.5" customHeight="1" x14ac:dyDescent="0.35">
      <c r="A356" s="343"/>
      <c r="B356" s="343"/>
      <c r="C356" s="343"/>
      <c r="D356" s="344"/>
      <c r="E356" s="303"/>
      <c r="F356" s="517"/>
      <c r="G356" s="251" t="s">
        <v>402</v>
      </c>
      <c r="H356" s="80">
        <f>I356+J356+K356</f>
        <v>8009.3</v>
      </c>
      <c r="I356" s="80">
        <v>0</v>
      </c>
      <c r="J356" s="80">
        <f>J304</f>
        <v>8009.3</v>
      </c>
      <c r="K356" s="80">
        <v>0</v>
      </c>
      <c r="L356" s="247"/>
    </row>
    <row r="357" spans="1:12" ht="154.5" customHeight="1" x14ac:dyDescent="0.35">
      <c r="A357" s="343"/>
      <c r="B357" s="343"/>
      <c r="C357" s="343"/>
      <c r="D357" s="344"/>
      <c r="E357" s="303"/>
      <c r="F357" s="517"/>
      <c r="G357" s="199" t="s">
        <v>196</v>
      </c>
      <c r="H357" s="80">
        <f>H305</f>
        <v>0</v>
      </c>
      <c r="I357" s="80">
        <f>I305</f>
        <v>0</v>
      </c>
      <c r="J357" s="80">
        <f t="shared" ref="J357:K357" si="71">J305</f>
        <v>0</v>
      </c>
      <c r="K357" s="80">
        <f t="shared" si="71"/>
        <v>0</v>
      </c>
      <c r="L357" s="247"/>
    </row>
    <row r="358" spans="1:12" ht="79.5" customHeight="1" x14ac:dyDescent="0.35">
      <c r="A358" s="343"/>
      <c r="B358" s="343"/>
      <c r="C358" s="343"/>
      <c r="D358" s="344"/>
      <c r="E358" s="303"/>
      <c r="F358" s="517"/>
      <c r="G358" s="199" t="s">
        <v>311</v>
      </c>
      <c r="H358" s="80">
        <f t="shared" ref="H358:I358" si="72">H162</f>
        <v>136.5</v>
      </c>
      <c r="I358" s="80">
        <f t="shared" si="72"/>
        <v>0</v>
      </c>
      <c r="J358" s="80">
        <f>J162</f>
        <v>136.5</v>
      </c>
      <c r="K358" s="80">
        <f>K162</f>
        <v>0</v>
      </c>
      <c r="L358" s="247"/>
    </row>
    <row r="359" spans="1:12" ht="94.5" customHeight="1" x14ac:dyDescent="0.35">
      <c r="A359" s="343"/>
      <c r="B359" s="343"/>
      <c r="C359" s="343"/>
      <c r="D359" s="344"/>
      <c r="E359" s="303"/>
      <c r="F359" s="517"/>
      <c r="G359" s="199" t="s">
        <v>376</v>
      </c>
      <c r="H359" s="80">
        <f t="shared" ref="H359:I359" si="73">H306</f>
        <v>5750</v>
      </c>
      <c r="I359" s="80">
        <f t="shared" si="73"/>
        <v>0</v>
      </c>
      <c r="J359" s="80">
        <f t="shared" ref="J359:K361" si="74">J306</f>
        <v>5750</v>
      </c>
      <c r="K359" s="80">
        <f t="shared" si="74"/>
        <v>0</v>
      </c>
      <c r="L359" s="247"/>
    </row>
    <row r="360" spans="1:12" ht="244.5" customHeight="1" x14ac:dyDescent="0.35">
      <c r="A360" s="343"/>
      <c r="B360" s="343"/>
      <c r="C360" s="343"/>
      <c r="D360" s="344"/>
      <c r="E360" s="303"/>
      <c r="F360" s="517"/>
      <c r="G360" s="235" t="s">
        <v>483</v>
      </c>
      <c r="H360" s="80">
        <f t="shared" ref="H360:I360" si="75">H307</f>
        <v>765.3</v>
      </c>
      <c r="I360" s="80">
        <f t="shared" si="75"/>
        <v>0</v>
      </c>
      <c r="J360" s="80">
        <f t="shared" si="74"/>
        <v>765.3</v>
      </c>
      <c r="K360" s="80">
        <f t="shared" si="74"/>
        <v>0</v>
      </c>
      <c r="L360" s="247"/>
    </row>
    <row r="361" spans="1:12" ht="244.5" customHeight="1" x14ac:dyDescent="0.35">
      <c r="A361" s="343"/>
      <c r="B361" s="343"/>
      <c r="C361" s="343"/>
      <c r="D361" s="344"/>
      <c r="E361" s="304"/>
      <c r="F361" s="517"/>
      <c r="G361" s="251" t="s">
        <v>484</v>
      </c>
      <c r="H361" s="80">
        <f t="shared" ref="H361:I361" si="76">H308</f>
        <v>2500</v>
      </c>
      <c r="I361" s="80">
        <f t="shared" si="76"/>
        <v>0</v>
      </c>
      <c r="J361" s="80">
        <f t="shared" si="74"/>
        <v>2500</v>
      </c>
      <c r="K361" s="80">
        <f t="shared" si="74"/>
        <v>0</v>
      </c>
      <c r="L361" s="247"/>
    </row>
    <row r="362" spans="1:12" ht="75" customHeight="1" x14ac:dyDescent="0.35">
      <c r="A362" s="343"/>
      <c r="B362" s="343"/>
      <c r="C362" s="343"/>
      <c r="D362" s="344"/>
      <c r="E362" s="350" t="s">
        <v>77</v>
      </c>
      <c r="F362" s="517"/>
      <c r="G362" s="235" t="s">
        <v>88</v>
      </c>
      <c r="H362" s="79">
        <f>SUM(H363:H366)</f>
        <v>49268.639999999999</v>
      </c>
      <c r="I362" s="79">
        <f>SUM(I363:I366)</f>
        <v>30956.57</v>
      </c>
      <c r="J362" s="79">
        <f>SUM(J363:J366)</f>
        <v>14798.150000000001</v>
      </c>
      <c r="K362" s="79">
        <f>SUM(K363:K366)</f>
        <v>3513.92</v>
      </c>
      <c r="L362" s="247"/>
    </row>
    <row r="363" spans="1:12" ht="75" customHeight="1" x14ac:dyDescent="0.35">
      <c r="A363" s="343"/>
      <c r="B363" s="343"/>
      <c r="C363" s="343"/>
      <c r="D363" s="344"/>
      <c r="E363" s="351"/>
      <c r="F363" s="517"/>
      <c r="G363" s="269" t="s">
        <v>398</v>
      </c>
      <c r="H363" s="80">
        <f t="shared" ref="H363:K364" si="77">H164</f>
        <v>14275.47</v>
      </c>
      <c r="I363" s="80">
        <f t="shared" si="77"/>
        <v>6263.4000000000005</v>
      </c>
      <c r="J363" s="80">
        <f>J164+J90</f>
        <v>4498.1500000000005</v>
      </c>
      <c r="K363" s="80">
        <f t="shared" si="77"/>
        <v>3513.92</v>
      </c>
      <c r="L363" s="247"/>
    </row>
    <row r="364" spans="1:12" ht="75" customHeight="1" x14ac:dyDescent="0.35">
      <c r="A364" s="343"/>
      <c r="B364" s="343"/>
      <c r="C364" s="343"/>
      <c r="D364" s="344"/>
      <c r="E364" s="351"/>
      <c r="F364" s="517"/>
      <c r="G364" s="235" t="s">
        <v>94</v>
      </c>
      <c r="H364" s="80">
        <f t="shared" si="77"/>
        <v>6347.6</v>
      </c>
      <c r="I364" s="80">
        <f t="shared" si="77"/>
        <v>6347.6</v>
      </c>
      <c r="J364" s="80">
        <f t="shared" si="77"/>
        <v>0</v>
      </c>
      <c r="K364" s="80">
        <f t="shared" si="77"/>
        <v>0</v>
      </c>
      <c r="L364" s="247"/>
    </row>
    <row r="365" spans="1:12" ht="198" customHeight="1" x14ac:dyDescent="0.35">
      <c r="A365" s="343"/>
      <c r="B365" s="343"/>
      <c r="C365" s="343"/>
      <c r="D365" s="344"/>
      <c r="E365" s="351"/>
      <c r="F365" s="517"/>
      <c r="G365" s="235" t="s">
        <v>196</v>
      </c>
      <c r="H365" s="80">
        <f>H311</f>
        <v>926</v>
      </c>
      <c r="I365" s="80">
        <f>I311</f>
        <v>926</v>
      </c>
      <c r="J365" s="80">
        <f>J311</f>
        <v>0</v>
      </c>
      <c r="K365" s="80">
        <f>K311</f>
        <v>0</v>
      </c>
      <c r="L365" s="247"/>
    </row>
    <row r="366" spans="1:12" ht="75" customHeight="1" x14ac:dyDescent="0.35">
      <c r="A366" s="343"/>
      <c r="B366" s="343"/>
      <c r="C366" s="343"/>
      <c r="D366" s="344"/>
      <c r="E366" s="352"/>
      <c r="F366" s="517"/>
      <c r="G366" s="251" t="s">
        <v>402</v>
      </c>
      <c r="H366" s="80">
        <f>H310</f>
        <v>27719.57</v>
      </c>
      <c r="I366" s="80">
        <f>I310</f>
        <v>17419.57</v>
      </c>
      <c r="J366" s="80">
        <f>J310</f>
        <v>10300</v>
      </c>
      <c r="K366" s="80">
        <f>K310</f>
        <v>0</v>
      </c>
      <c r="L366" s="247"/>
    </row>
    <row r="367" spans="1:12" ht="75" customHeight="1" x14ac:dyDescent="0.35">
      <c r="A367" s="343"/>
      <c r="B367" s="343"/>
      <c r="C367" s="343"/>
      <c r="D367" s="344"/>
      <c r="E367" s="350" t="s">
        <v>76</v>
      </c>
      <c r="F367" s="517"/>
      <c r="G367" s="235" t="s">
        <v>88</v>
      </c>
      <c r="H367" s="79">
        <f>SUM(H368:H370)</f>
        <v>27915.075000000001</v>
      </c>
      <c r="I367" s="79">
        <f>SUM(I368:I370)</f>
        <v>9335</v>
      </c>
      <c r="J367" s="79">
        <f>SUM(J368:J370)</f>
        <v>9085.1</v>
      </c>
      <c r="K367" s="79">
        <f>SUM(K368:K370)</f>
        <v>9494.9750000000004</v>
      </c>
      <c r="L367" s="247"/>
    </row>
    <row r="368" spans="1:12" ht="75" customHeight="1" x14ac:dyDescent="0.35">
      <c r="A368" s="343"/>
      <c r="B368" s="343"/>
      <c r="C368" s="343"/>
      <c r="D368" s="344"/>
      <c r="E368" s="351"/>
      <c r="F368" s="517"/>
      <c r="G368" s="269" t="s">
        <v>398</v>
      </c>
      <c r="H368" s="80">
        <f>H167+H212</f>
        <v>25532.875</v>
      </c>
      <c r="I368" s="80">
        <f>I167+I212</f>
        <v>6952.8</v>
      </c>
      <c r="J368" s="80">
        <f>J133+J135+J189</f>
        <v>9085.1</v>
      </c>
      <c r="K368" s="80">
        <f>K167+K212</f>
        <v>9494.9750000000004</v>
      </c>
      <c r="L368" s="247"/>
    </row>
    <row r="369" spans="1:12" ht="75" customHeight="1" x14ac:dyDescent="0.35">
      <c r="A369" s="343"/>
      <c r="B369" s="343"/>
      <c r="C369" s="343"/>
      <c r="D369" s="344"/>
      <c r="E369" s="351"/>
      <c r="F369" s="517"/>
      <c r="G369" s="235" t="s">
        <v>94</v>
      </c>
      <c r="H369" s="80">
        <f>H168</f>
        <v>1132.2</v>
      </c>
      <c r="I369" s="80">
        <f>I168</f>
        <v>1132.2</v>
      </c>
      <c r="J369" s="80">
        <f>J168</f>
        <v>0</v>
      </c>
      <c r="K369" s="80">
        <f>K168</f>
        <v>0</v>
      </c>
      <c r="L369" s="247"/>
    </row>
    <row r="370" spans="1:12" ht="75" customHeight="1" x14ac:dyDescent="0.35">
      <c r="A370" s="343"/>
      <c r="B370" s="343"/>
      <c r="C370" s="343"/>
      <c r="D370" s="344"/>
      <c r="E370" s="352"/>
      <c r="F370" s="517"/>
      <c r="G370" s="251" t="s">
        <v>402</v>
      </c>
      <c r="H370" s="80">
        <f>H312</f>
        <v>1250</v>
      </c>
      <c r="I370" s="80">
        <f>I312</f>
        <v>1250</v>
      </c>
      <c r="J370" s="80">
        <f>J312</f>
        <v>0</v>
      </c>
      <c r="K370" s="80">
        <f>K312</f>
        <v>0</v>
      </c>
      <c r="L370" s="247"/>
    </row>
    <row r="371" spans="1:12" ht="75" customHeight="1" x14ac:dyDescent="0.35">
      <c r="A371" s="343"/>
      <c r="B371" s="343"/>
      <c r="C371" s="343"/>
      <c r="D371" s="344"/>
      <c r="E371" s="302" t="s">
        <v>78</v>
      </c>
      <c r="F371" s="517"/>
      <c r="G371" s="235" t="s">
        <v>88</v>
      </c>
      <c r="H371" s="79">
        <f>SUM(H372:H374)</f>
        <v>25973.203599999997</v>
      </c>
      <c r="I371" s="79">
        <f t="shared" ref="I371:K371" si="78">SUM(I372:I374)</f>
        <v>7607.41</v>
      </c>
      <c r="J371" s="79">
        <f t="shared" si="78"/>
        <v>9559.9935999999998</v>
      </c>
      <c r="K371" s="79">
        <f t="shared" si="78"/>
        <v>8805.7999999999993</v>
      </c>
      <c r="L371" s="247"/>
    </row>
    <row r="372" spans="1:12" ht="75" customHeight="1" x14ac:dyDescent="0.35">
      <c r="A372" s="343"/>
      <c r="B372" s="343"/>
      <c r="C372" s="343"/>
      <c r="D372" s="344"/>
      <c r="E372" s="303"/>
      <c r="F372" s="517"/>
      <c r="G372" s="269" t="s">
        <v>398</v>
      </c>
      <c r="H372" s="80">
        <f>H169+H213+H242</f>
        <v>25775.703599999997</v>
      </c>
      <c r="I372" s="80">
        <f>I169+I213+I242</f>
        <v>7604.91</v>
      </c>
      <c r="J372" s="80">
        <f>J169+J213+J242+J91</f>
        <v>9364.9935999999998</v>
      </c>
      <c r="K372" s="80">
        <f>K169+K213+K242</f>
        <v>8805.7999999999993</v>
      </c>
      <c r="L372" s="247"/>
    </row>
    <row r="373" spans="1:12" ht="222.75" customHeight="1" x14ac:dyDescent="0.35">
      <c r="A373" s="343"/>
      <c r="B373" s="343"/>
      <c r="C373" s="343"/>
      <c r="D373" s="344"/>
      <c r="E373" s="303"/>
      <c r="F373" s="517"/>
      <c r="G373" s="139" t="s">
        <v>98</v>
      </c>
      <c r="H373" s="80">
        <f>H241</f>
        <v>2.5</v>
      </c>
      <c r="I373" s="80">
        <f>I241</f>
        <v>2.5</v>
      </c>
      <c r="J373" s="80">
        <f>J241</f>
        <v>0</v>
      </c>
      <c r="K373" s="80">
        <f>K241</f>
        <v>0</v>
      </c>
      <c r="L373" s="247"/>
    </row>
    <row r="374" spans="1:12" ht="165.75" customHeight="1" x14ac:dyDescent="0.35">
      <c r="A374" s="343"/>
      <c r="B374" s="343"/>
      <c r="C374" s="343"/>
      <c r="D374" s="344"/>
      <c r="E374" s="304"/>
      <c r="F374" s="517"/>
      <c r="G374" s="251" t="s">
        <v>196</v>
      </c>
      <c r="H374" s="80">
        <f>I374+J374+K374</f>
        <v>195</v>
      </c>
      <c r="I374" s="80">
        <v>0</v>
      </c>
      <c r="J374" s="80">
        <f>J313</f>
        <v>195</v>
      </c>
      <c r="K374" s="80">
        <v>0</v>
      </c>
      <c r="L374" s="247"/>
    </row>
    <row r="375" spans="1:12" ht="75" customHeight="1" x14ac:dyDescent="0.35">
      <c r="A375" s="343"/>
      <c r="B375" s="343"/>
      <c r="C375" s="343"/>
      <c r="D375" s="344"/>
      <c r="E375" s="350" t="s">
        <v>79</v>
      </c>
      <c r="F375" s="517"/>
      <c r="G375" s="235" t="s">
        <v>88</v>
      </c>
      <c r="H375" s="79">
        <f>H376</f>
        <v>28430.942300000002</v>
      </c>
      <c r="I375" s="79">
        <f>I376</f>
        <v>8442.69</v>
      </c>
      <c r="J375" s="79">
        <f>J376</f>
        <v>9939</v>
      </c>
      <c r="K375" s="79">
        <f>K376</f>
        <v>10049.2523</v>
      </c>
      <c r="L375" s="247"/>
    </row>
    <row r="376" spans="1:12" ht="75" customHeight="1" x14ac:dyDescent="0.35">
      <c r="A376" s="343"/>
      <c r="B376" s="343"/>
      <c r="C376" s="343"/>
      <c r="D376" s="344"/>
      <c r="E376" s="352"/>
      <c r="F376" s="517"/>
      <c r="G376" s="269" t="s">
        <v>398</v>
      </c>
      <c r="H376" s="80">
        <f>I376+J376+K376</f>
        <v>28430.942300000002</v>
      </c>
      <c r="I376" s="80">
        <f>I170+I214+I245</f>
        <v>8442.69</v>
      </c>
      <c r="J376" s="80">
        <f>J170+J214+J245+J92</f>
        <v>9939</v>
      </c>
      <c r="K376" s="80">
        <f>K170+K214+K245</f>
        <v>10049.2523</v>
      </c>
      <c r="L376" s="247"/>
    </row>
    <row r="377" spans="1:12" ht="82.5" customHeight="1" x14ac:dyDescent="0.35">
      <c r="A377" s="343"/>
      <c r="B377" s="343"/>
      <c r="C377" s="343"/>
      <c r="D377" s="344"/>
      <c r="E377" s="234" t="s">
        <v>385</v>
      </c>
      <c r="F377" s="517"/>
      <c r="G377" s="269" t="s">
        <v>398</v>
      </c>
      <c r="H377" s="79">
        <f>H171</f>
        <v>3000</v>
      </c>
      <c r="I377" s="79">
        <f>I171</f>
        <v>3000</v>
      </c>
      <c r="J377" s="79">
        <f>J171</f>
        <v>0</v>
      </c>
      <c r="K377" s="79">
        <f>K171</f>
        <v>0</v>
      </c>
      <c r="L377" s="247"/>
    </row>
    <row r="378" spans="1:12" ht="107.25" customHeight="1" x14ac:dyDescent="0.35">
      <c r="A378" s="343"/>
      <c r="B378" s="343"/>
      <c r="C378" s="343"/>
      <c r="D378" s="344"/>
      <c r="E378" s="254" t="s">
        <v>446</v>
      </c>
      <c r="F378" s="517"/>
      <c r="G378" s="269" t="s">
        <v>398</v>
      </c>
      <c r="H378" s="79">
        <f>H172</f>
        <v>90</v>
      </c>
      <c r="I378" s="79">
        <f>I172</f>
        <v>0</v>
      </c>
      <c r="J378" s="79">
        <f t="shared" ref="J378:K378" si="79">J172</f>
        <v>90</v>
      </c>
      <c r="K378" s="79">
        <f t="shared" si="79"/>
        <v>0</v>
      </c>
      <c r="L378" s="247"/>
    </row>
    <row r="379" spans="1:12" ht="75" customHeight="1" x14ac:dyDescent="0.35">
      <c r="A379" s="343"/>
      <c r="B379" s="343"/>
      <c r="C379" s="343"/>
      <c r="D379" s="344"/>
      <c r="E379" s="350" t="s">
        <v>423</v>
      </c>
      <c r="F379" s="517"/>
      <c r="G379" s="235" t="s">
        <v>88</v>
      </c>
      <c r="H379" s="79">
        <f>SUM(H380:H385)</f>
        <v>111174.15900000001</v>
      </c>
      <c r="I379" s="79">
        <f>SUM(I380:I385)</f>
        <v>48304.919000000002</v>
      </c>
      <c r="J379" s="79">
        <f>SUM(J380:J385)</f>
        <v>59881.540000000008</v>
      </c>
      <c r="K379" s="79">
        <f>SUM(K380:K385)</f>
        <v>2987.7</v>
      </c>
      <c r="L379" s="247"/>
    </row>
    <row r="380" spans="1:12" ht="75" customHeight="1" x14ac:dyDescent="0.35">
      <c r="A380" s="343"/>
      <c r="B380" s="343"/>
      <c r="C380" s="343"/>
      <c r="D380" s="344"/>
      <c r="E380" s="351"/>
      <c r="F380" s="517"/>
      <c r="G380" s="269" t="s">
        <v>398</v>
      </c>
      <c r="H380" s="80">
        <f>H218+H243</f>
        <v>24246.68</v>
      </c>
      <c r="I380" s="80">
        <f>I218+I243</f>
        <v>17282.2</v>
      </c>
      <c r="J380" s="80">
        <f>J218+J243</f>
        <v>3976.78</v>
      </c>
      <c r="K380" s="80">
        <f>K218+K243</f>
        <v>2987.7</v>
      </c>
      <c r="L380" s="247"/>
    </row>
    <row r="381" spans="1:12" ht="223.5" customHeight="1" x14ac:dyDescent="0.35">
      <c r="A381" s="343"/>
      <c r="B381" s="343"/>
      <c r="C381" s="343"/>
      <c r="D381" s="344"/>
      <c r="E381" s="351"/>
      <c r="F381" s="517"/>
      <c r="G381" s="251" t="s">
        <v>98</v>
      </c>
      <c r="H381" s="80">
        <f>H217</f>
        <v>18013.319000000003</v>
      </c>
      <c r="I381" s="80">
        <f>I217</f>
        <v>6609.6190000000006</v>
      </c>
      <c r="J381" s="80">
        <f>J217</f>
        <v>11403.7</v>
      </c>
      <c r="K381" s="80">
        <f>K217</f>
        <v>0</v>
      </c>
      <c r="L381" s="247"/>
    </row>
    <row r="382" spans="1:12" ht="223.5" customHeight="1" x14ac:dyDescent="0.35">
      <c r="A382" s="343"/>
      <c r="B382" s="343"/>
      <c r="C382" s="343"/>
      <c r="D382" s="344"/>
      <c r="E382" s="351"/>
      <c r="F382" s="517"/>
      <c r="G382" s="235" t="s">
        <v>196</v>
      </c>
      <c r="H382" s="80">
        <f>H317</f>
        <v>4189.5599999999995</v>
      </c>
      <c r="I382" s="80">
        <f t="shared" ref="I382:K382" si="80">I317</f>
        <v>2400</v>
      </c>
      <c r="J382" s="80">
        <f t="shared" si="80"/>
        <v>1789.56</v>
      </c>
      <c r="K382" s="80">
        <f t="shared" si="80"/>
        <v>0</v>
      </c>
      <c r="L382" s="247"/>
    </row>
    <row r="383" spans="1:12" ht="173.25" customHeight="1" x14ac:dyDescent="0.35">
      <c r="A383" s="343"/>
      <c r="B383" s="343"/>
      <c r="C383" s="343"/>
      <c r="D383" s="344"/>
      <c r="E383" s="351"/>
      <c r="F383" s="517"/>
      <c r="G383" s="251" t="s">
        <v>97</v>
      </c>
      <c r="H383" s="80">
        <f>H216</f>
        <v>1490.1</v>
      </c>
      <c r="I383" s="80">
        <f>I216</f>
        <v>1490.1</v>
      </c>
      <c r="J383" s="80">
        <f>J216</f>
        <v>0</v>
      </c>
      <c r="K383" s="80">
        <f>K216</f>
        <v>0</v>
      </c>
      <c r="L383" s="247"/>
    </row>
    <row r="384" spans="1:12" ht="75" customHeight="1" x14ac:dyDescent="0.35">
      <c r="A384" s="343"/>
      <c r="B384" s="343"/>
      <c r="C384" s="343"/>
      <c r="D384" s="344"/>
      <c r="E384" s="351"/>
      <c r="F384" s="517"/>
      <c r="G384" s="236" t="s">
        <v>376</v>
      </c>
      <c r="H384" s="80">
        <f t="shared" ref="H384:I384" si="81">H315</f>
        <v>3619.8999999999996</v>
      </c>
      <c r="I384" s="80">
        <f t="shared" si="81"/>
        <v>799.7</v>
      </c>
      <c r="J384" s="80">
        <f>J315</f>
        <v>2820.2</v>
      </c>
      <c r="K384" s="80">
        <f>K315</f>
        <v>0</v>
      </c>
      <c r="L384" s="247"/>
    </row>
    <row r="385" spans="1:12" ht="75" customHeight="1" x14ac:dyDescent="0.35">
      <c r="A385" s="345"/>
      <c r="B385" s="345"/>
      <c r="C385" s="345"/>
      <c r="D385" s="346"/>
      <c r="E385" s="352"/>
      <c r="F385" s="518"/>
      <c r="G385" s="251" t="s">
        <v>402</v>
      </c>
      <c r="H385" s="80">
        <f>H316</f>
        <v>59614.600000000006</v>
      </c>
      <c r="I385" s="80">
        <f>I316</f>
        <v>19723.3</v>
      </c>
      <c r="J385" s="80">
        <f>J316</f>
        <v>39891.300000000003</v>
      </c>
      <c r="K385" s="80">
        <f>K316</f>
        <v>0</v>
      </c>
      <c r="L385" s="248"/>
    </row>
    <row r="386" spans="1:12" ht="75" customHeight="1" x14ac:dyDescent="0.35">
      <c r="A386" s="327" t="s">
        <v>235</v>
      </c>
      <c r="B386" s="327"/>
      <c r="C386" s="327"/>
      <c r="D386" s="327"/>
      <c r="E386" s="327"/>
      <c r="F386" s="327"/>
      <c r="G386" s="327"/>
      <c r="H386" s="327"/>
      <c r="I386" s="327"/>
      <c r="J386" s="327"/>
      <c r="K386" s="327"/>
      <c r="L386" s="328"/>
    </row>
    <row r="387" spans="1:12" ht="75" customHeight="1" x14ac:dyDescent="0.35">
      <c r="A387" s="237" t="s">
        <v>237</v>
      </c>
      <c r="B387" s="329" t="s">
        <v>236</v>
      </c>
      <c r="C387" s="330"/>
      <c r="D387" s="330"/>
      <c r="E387" s="330"/>
      <c r="F387" s="331"/>
      <c r="G387" s="232" t="s">
        <v>83</v>
      </c>
      <c r="H387" s="79">
        <f>SUM(H388:H392)</f>
        <v>2035.825</v>
      </c>
      <c r="I387" s="79">
        <f>SUM(I388:I392)</f>
        <v>729.5</v>
      </c>
      <c r="J387" s="79">
        <f>SUM(J388:J392)</f>
        <v>630.9</v>
      </c>
      <c r="K387" s="79">
        <f>SUM(K388:K392)</f>
        <v>675.42499999999995</v>
      </c>
      <c r="L387" s="299" t="s">
        <v>238</v>
      </c>
    </row>
    <row r="388" spans="1:12" ht="75" customHeight="1" x14ac:dyDescent="0.35">
      <c r="A388" s="347" t="s">
        <v>241</v>
      </c>
      <c r="B388" s="341"/>
      <c r="C388" s="341"/>
      <c r="D388" s="342"/>
      <c r="E388" s="238" t="s">
        <v>80</v>
      </c>
      <c r="F388" s="305"/>
      <c r="G388" s="335" t="s">
        <v>398</v>
      </c>
      <c r="H388" s="79">
        <f>I388+J388+K388</f>
        <v>76</v>
      </c>
      <c r="I388" s="80">
        <v>76</v>
      </c>
      <c r="J388" s="80">
        <v>0</v>
      </c>
      <c r="K388" s="80">
        <v>0</v>
      </c>
      <c r="L388" s="300"/>
    </row>
    <row r="389" spans="1:12" ht="75" customHeight="1" x14ac:dyDescent="0.35">
      <c r="A389" s="348"/>
      <c r="B389" s="343"/>
      <c r="C389" s="343"/>
      <c r="D389" s="344"/>
      <c r="E389" s="238" t="s">
        <v>74</v>
      </c>
      <c r="F389" s="306"/>
      <c r="G389" s="336"/>
      <c r="H389" s="79">
        <f>I389+J389+K389</f>
        <v>510.50000000000006</v>
      </c>
      <c r="I389" s="80">
        <f>24.3+148</f>
        <v>172.3</v>
      </c>
      <c r="J389" s="80">
        <v>163.4</v>
      </c>
      <c r="K389" s="80">
        <v>174.8</v>
      </c>
      <c r="L389" s="300"/>
    </row>
    <row r="390" spans="1:12" ht="75" customHeight="1" x14ac:dyDescent="0.35">
      <c r="A390" s="348"/>
      <c r="B390" s="343"/>
      <c r="C390" s="343"/>
      <c r="D390" s="344"/>
      <c r="E390" s="238" t="s">
        <v>75</v>
      </c>
      <c r="F390" s="306"/>
      <c r="G390" s="336"/>
      <c r="H390" s="79">
        <f>I390+J390+K390</f>
        <v>41.5</v>
      </c>
      <c r="I390" s="80">
        <v>41.5</v>
      </c>
      <c r="J390" s="80">
        <v>0</v>
      </c>
      <c r="K390" s="80">
        <v>0</v>
      </c>
      <c r="L390" s="300"/>
    </row>
    <row r="391" spans="1:12" ht="90" customHeight="1" x14ac:dyDescent="0.35">
      <c r="A391" s="348"/>
      <c r="B391" s="343"/>
      <c r="C391" s="343"/>
      <c r="D391" s="344"/>
      <c r="E391" s="238" t="s">
        <v>77</v>
      </c>
      <c r="F391" s="306"/>
      <c r="G391" s="336"/>
      <c r="H391" s="79">
        <f>I391+J391+K391</f>
        <v>9.5</v>
      </c>
      <c r="I391" s="80">
        <v>9.5</v>
      </c>
      <c r="J391" s="80">
        <v>0</v>
      </c>
      <c r="K391" s="80">
        <v>0</v>
      </c>
      <c r="L391" s="300"/>
    </row>
    <row r="392" spans="1:12" ht="75" customHeight="1" x14ac:dyDescent="0.35">
      <c r="A392" s="349"/>
      <c r="B392" s="345"/>
      <c r="C392" s="345"/>
      <c r="D392" s="346"/>
      <c r="E392" s="239" t="s">
        <v>76</v>
      </c>
      <c r="F392" s="307"/>
      <c r="G392" s="337"/>
      <c r="H392" s="79">
        <f>I392+J392+K392</f>
        <v>1398.325</v>
      </c>
      <c r="I392" s="80">
        <v>430.2</v>
      </c>
      <c r="J392" s="80">
        <f>430+37.5</f>
        <v>467.5</v>
      </c>
      <c r="K392" s="80">
        <f>460+40.625</f>
        <v>500.625</v>
      </c>
      <c r="L392" s="301"/>
    </row>
    <row r="393" spans="1:12" ht="75" customHeight="1" x14ac:dyDescent="0.35">
      <c r="A393" s="140" t="s">
        <v>264</v>
      </c>
      <c r="B393" s="405" t="s">
        <v>239</v>
      </c>
      <c r="C393" s="406"/>
      <c r="D393" s="406"/>
      <c r="E393" s="406"/>
      <c r="F393" s="407"/>
      <c r="G393" s="232" t="s">
        <v>83</v>
      </c>
      <c r="H393" s="79">
        <f t="shared" ref="H393:I393" si="82">H398+H399+H400+H401+H395+H394+H396+H397+H402+H403</f>
        <v>40317.927000000003</v>
      </c>
      <c r="I393" s="79">
        <f t="shared" si="82"/>
        <v>21897.487000000001</v>
      </c>
      <c r="J393" s="79">
        <f>J398+J399+J400+J401+J395+J394+J396+J397+J402+J403</f>
        <v>8290.7999999999993</v>
      </c>
      <c r="K393" s="79">
        <f>K398+K399+K400+K401+K395+K394+K396+K397+K402+K403</f>
        <v>10129.64</v>
      </c>
      <c r="L393" s="141"/>
    </row>
    <row r="394" spans="1:12" ht="75" customHeight="1" x14ac:dyDescent="0.35">
      <c r="A394" s="375" t="s">
        <v>241</v>
      </c>
      <c r="B394" s="376"/>
      <c r="C394" s="376"/>
      <c r="D394" s="377"/>
      <c r="E394" s="238" t="s">
        <v>80</v>
      </c>
      <c r="F394" s="254"/>
      <c r="G394" s="251" t="s">
        <v>398</v>
      </c>
      <c r="H394" s="79">
        <f t="shared" ref="H394:H401" si="83">I394+J394+K394</f>
        <v>117.64</v>
      </c>
      <c r="I394" s="79"/>
      <c r="J394" s="79"/>
      <c r="K394" s="79">
        <f>90.64+15+12</f>
        <v>117.64</v>
      </c>
      <c r="L394" s="142"/>
    </row>
    <row r="395" spans="1:12" ht="75" customHeight="1" x14ac:dyDescent="0.35">
      <c r="A395" s="378"/>
      <c r="B395" s="379"/>
      <c r="C395" s="379"/>
      <c r="D395" s="380"/>
      <c r="E395" s="238" t="s">
        <v>80</v>
      </c>
      <c r="F395" s="254"/>
      <c r="G395" s="251" t="s">
        <v>402</v>
      </c>
      <c r="H395" s="79">
        <f>I395+J395+K395</f>
        <v>10049.6</v>
      </c>
      <c r="I395" s="79">
        <v>49.6</v>
      </c>
      <c r="J395" s="79"/>
      <c r="K395" s="79">
        <v>10000</v>
      </c>
      <c r="L395" s="142"/>
    </row>
    <row r="396" spans="1:12" ht="87.75" customHeight="1" x14ac:dyDescent="0.35">
      <c r="A396" s="378"/>
      <c r="B396" s="379"/>
      <c r="C396" s="379"/>
      <c r="D396" s="380"/>
      <c r="E396" s="239" t="s">
        <v>77</v>
      </c>
      <c r="F396" s="233"/>
      <c r="G396" s="251" t="s">
        <v>398</v>
      </c>
      <c r="H396" s="79">
        <f>I396+J396+K396</f>
        <v>12</v>
      </c>
      <c r="I396" s="79"/>
      <c r="J396" s="80">
        <v>12</v>
      </c>
      <c r="K396" s="79"/>
      <c r="L396" s="142"/>
    </row>
    <row r="397" spans="1:12" ht="79.5" customHeight="1" x14ac:dyDescent="0.35">
      <c r="A397" s="378"/>
      <c r="B397" s="379"/>
      <c r="C397" s="379"/>
      <c r="D397" s="380"/>
      <c r="E397" s="239" t="s">
        <v>77</v>
      </c>
      <c r="F397" s="233"/>
      <c r="G397" s="251" t="s">
        <v>402</v>
      </c>
      <c r="H397" s="79">
        <f>I397+J397+K397</f>
        <v>1552.7</v>
      </c>
      <c r="I397" s="79"/>
      <c r="J397" s="80">
        <v>1552.7</v>
      </c>
      <c r="K397" s="79"/>
      <c r="L397" s="142"/>
    </row>
    <row r="398" spans="1:12" ht="75" customHeight="1" x14ac:dyDescent="0.35">
      <c r="A398" s="378"/>
      <c r="B398" s="379"/>
      <c r="C398" s="379"/>
      <c r="D398" s="380"/>
      <c r="E398" s="299" t="s">
        <v>73</v>
      </c>
      <c r="F398" s="305"/>
      <c r="G398" s="251" t="s">
        <v>398</v>
      </c>
      <c r="H398" s="79">
        <f t="shared" si="83"/>
        <v>335.5</v>
      </c>
      <c r="I398" s="80">
        <f>199+30</f>
        <v>229</v>
      </c>
      <c r="J398" s="80">
        <v>94.5</v>
      </c>
      <c r="K398" s="80">
        <v>12</v>
      </c>
      <c r="L398" s="299" t="s">
        <v>240</v>
      </c>
    </row>
    <row r="399" spans="1:12" ht="75" customHeight="1" x14ac:dyDescent="0.35">
      <c r="A399" s="378"/>
      <c r="B399" s="379"/>
      <c r="C399" s="379"/>
      <c r="D399" s="380"/>
      <c r="E399" s="300"/>
      <c r="F399" s="306"/>
      <c r="G399" s="251" t="s">
        <v>402</v>
      </c>
      <c r="H399" s="79">
        <f t="shared" si="83"/>
        <v>6599.6870000000008</v>
      </c>
      <c r="I399" s="80">
        <f>7269.3-500+49.587-799.7</f>
        <v>6019.1870000000008</v>
      </c>
      <c r="J399" s="80">
        <f>130+410+40.5</f>
        <v>580.5</v>
      </c>
      <c r="K399" s="86"/>
      <c r="L399" s="300"/>
    </row>
    <row r="400" spans="1:12" ht="75" customHeight="1" x14ac:dyDescent="0.35">
      <c r="A400" s="378"/>
      <c r="B400" s="379"/>
      <c r="C400" s="379"/>
      <c r="D400" s="380"/>
      <c r="E400" s="300"/>
      <c r="F400" s="306"/>
      <c r="G400" s="235" t="s">
        <v>362</v>
      </c>
      <c r="H400" s="81">
        <f t="shared" si="83"/>
        <v>19376.800000000003</v>
      </c>
      <c r="I400" s="82">
        <v>14714.7</v>
      </c>
      <c r="J400" s="82">
        <v>4662.1000000000004</v>
      </c>
      <c r="K400" s="81"/>
      <c r="L400" s="300"/>
    </row>
    <row r="401" spans="1:12" ht="75" customHeight="1" x14ac:dyDescent="0.35">
      <c r="A401" s="378"/>
      <c r="B401" s="379"/>
      <c r="C401" s="379"/>
      <c r="D401" s="380"/>
      <c r="E401" s="301"/>
      <c r="F401" s="307"/>
      <c r="G401" s="251" t="s">
        <v>82</v>
      </c>
      <c r="H401" s="79">
        <f t="shared" si="83"/>
        <v>885</v>
      </c>
      <c r="I401" s="80">
        <v>885</v>
      </c>
      <c r="J401" s="80">
        <v>0</v>
      </c>
      <c r="K401" s="80">
        <v>0</v>
      </c>
      <c r="L401" s="300"/>
    </row>
    <row r="402" spans="1:12" ht="142.5" hidden="1" customHeight="1" x14ac:dyDescent="0.35">
      <c r="A402" s="378"/>
      <c r="B402" s="379"/>
      <c r="C402" s="379"/>
      <c r="D402" s="380"/>
      <c r="E402" s="299" t="s">
        <v>440</v>
      </c>
      <c r="F402" s="266"/>
      <c r="G402" s="251" t="s">
        <v>196</v>
      </c>
      <c r="H402" s="79">
        <f>I402+J402+K402</f>
        <v>0</v>
      </c>
      <c r="I402" s="80">
        <v>0</v>
      </c>
      <c r="J402" s="80">
        <f>156-156</f>
        <v>0</v>
      </c>
      <c r="K402" s="80">
        <v>0</v>
      </c>
      <c r="L402" s="240"/>
    </row>
    <row r="403" spans="1:12" ht="82.5" customHeight="1" x14ac:dyDescent="0.35">
      <c r="A403" s="381"/>
      <c r="B403" s="382"/>
      <c r="C403" s="382"/>
      <c r="D403" s="383"/>
      <c r="E403" s="301"/>
      <c r="F403" s="266"/>
      <c r="G403" s="251" t="s">
        <v>402</v>
      </c>
      <c r="H403" s="79">
        <f>I403+J403+K403</f>
        <v>1389</v>
      </c>
      <c r="I403" s="80">
        <v>0</v>
      </c>
      <c r="J403" s="80">
        <v>1389</v>
      </c>
      <c r="K403" s="80">
        <v>0</v>
      </c>
      <c r="L403" s="240"/>
    </row>
    <row r="404" spans="1:12" ht="75" customHeight="1" x14ac:dyDescent="0.35">
      <c r="A404" s="140" t="s">
        <v>265</v>
      </c>
      <c r="B404" s="315" t="s">
        <v>439</v>
      </c>
      <c r="C404" s="315"/>
      <c r="D404" s="315"/>
      <c r="E404" s="315"/>
      <c r="F404" s="315"/>
      <c r="G404" s="269" t="s">
        <v>83</v>
      </c>
      <c r="H404" s="79">
        <f t="shared" ref="H404:I404" si="84">H405+H406</f>
        <v>34103.300000000003</v>
      </c>
      <c r="I404" s="79">
        <f t="shared" si="84"/>
        <v>6238.8</v>
      </c>
      <c r="J404" s="79">
        <f>J405+J406</f>
        <v>27864.5</v>
      </c>
      <c r="K404" s="79">
        <f>K405+K406</f>
        <v>0</v>
      </c>
      <c r="L404" s="299" t="s">
        <v>59</v>
      </c>
    </row>
    <row r="405" spans="1:12" ht="75" customHeight="1" x14ac:dyDescent="0.35">
      <c r="A405" s="312" t="s">
        <v>241</v>
      </c>
      <c r="B405" s="313"/>
      <c r="C405" s="313"/>
      <c r="D405" s="314"/>
      <c r="E405" s="238" t="s">
        <v>73</v>
      </c>
      <c r="F405" s="266"/>
      <c r="G405" s="251" t="s">
        <v>102</v>
      </c>
      <c r="H405" s="79">
        <f>I405+J405+K405</f>
        <v>21743.4</v>
      </c>
      <c r="I405" s="80">
        <v>6238.8</v>
      </c>
      <c r="J405" s="80">
        <f>3304.6+12200</f>
        <v>15504.6</v>
      </c>
      <c r="K405" s="80">
        <f>12200-12200</f>
        <v>0</v>
      </c>
      <c r="L405" s="301"/>
    </row>
    <row r="406" spans="1:12" ht="75" customHeight="1" x14ac:dyDescent="0.35">
      <c r="A406" s="243"/>
      <c r="B406" s="244"/>
      <c r="C406" s="244"/>
      <c r="D406" s="245"/>
      <c r="E406" s="238" t="s">
        <v>440</v>
      </c>
      <c r="F406" s="266"/>
      <c r="G406" s="251" t="s">
        <v>102</v>
      </c>
      <c r="H406" s="79">
        <f>I406+J406+K406</f>
        <v>12359.9</v>
      </c>
      <c r="I406" s="80">
        <v>0</v>
      </c>
      <c r="J406" s="80">
        <v>12359.9</v>
      </c>
      <c r="K406" s="80">
        <v>0</v>
      </c>
      <c r="L406" s="240"/>
    </row>
    <row r="407" spans="1:12" ht="114.75" customHeight="1" x14ac:dyDescent="0.35">
      <c r="A407" s="140" t="s">
        <v>266</v>
      </c>
      <c r="B407" s="315" t="s">
        <v>438</v>
      </c>
      <c r="C407" s="315"/>
      <c r="D407" s="315"/>
      <c r="E407" s="315"/>
      <c r="F407" s="315"/>
      <c r="G407" s="269" t="s">
        <v>83</v>
      </c>
      <c r="H407" s="79">
        <f>H408</f>
        <v>6848</v>
      </c>
      <c r="I407" s="79">
        <f t="shared" ref="I407:K407" si="85">I408</f>
        <v>6848</v>
      </c>
      <c r="J407" s="79">
        <f t="shared" si="85"/>
        <v>0</v>
      </c>
      <c r="K407" s="79">
        <f t="shared" si="85"/>
        <v>0</v>
      </c>
      <c r="L407" s="299" t="s">
        <v>380</v>
      </c>
    </row>
    <row r="408" spans="1:12" ht="144" customHeight="1" x14ac:dyDescent="0.35">
      <c r="A408" s="312" t="s">
        <v>241</v>
      </c>
      <c r="B408" s="313"/>
      <c r="C408" s="313"/>
      <c r="D408" s="314"/>
      <c r="E408" s="238" t="s">
        <v>80</v>
      </c>
      <c r="F408" s="266"/>
      <c r="G408" s="251" t="s">
        <v>378</v>
      </c>
      <c r="H408" s="79">
        <f>I408+J408+K408</f>
        <v>6848</v>
      </c>
      <c r="I408" s="80">
        <v>6848</v>
      </c>
      <c r="J408" s="80">
        <v>0</v>
      </c>
      <c r="K408" s="80">
        <v>0</v>
      </c>
      <c r="L408" s="301"/>
    </row>
    <row r="409" spans="1:12" ht="75" customHeight="1" x14ac:dyDescent="0.35">
      <c r="A409" s="237" t="s">
        <v>267</v>
      </c>
      <c r="B409" s="315" t="s">
        <v>242</v>
      </c>
      <c r="C409" s="315"/>
      <c r="D409" s="315"/>
      <c r="E409" s="315"/>
      <c r="F409" s="315"/>
      <c r="G409" s="269" t="s">
        <v>83</v>
      </c>
      <c r="H409" s="79">
        <f>I409+J409+K409</f>
        <v>22724.899999999998</v>
      </c>
      <c r="I409" s="79">
        <f>I410+I415</f>
        <v>12454.899999999998</v>
      </c>
      <c r="J409" s="79">
        <f>J410+J415</f>
        <v>10270</v>
      </c>
      <c r="K409" s="79">
        <f t="shared" ref="K409" si="86">K410+K415</f>
        <v>0</v>
      </c>
      <c r="L409" s="299" t="s">
        <v>59</v>
      </c>
    </row>
    <row r="410" spans="1:12" ht="145.5" customHeight="1" x14ac:dyDescent="0.35">
      <c r="A410" s="316"/>
      <c r="B410" s="316"/>
      <c r="C410" s="316"/>
      <c r="D410" s="316"/>
      <c r="E410" s="238" t="s">
        <v>84</v>
      </c>
      <c r="F410" s="272"/>
      <c r="G410" s="335" t="s">
        <v>402</v>
      </c>
      <c r="H410" s="79">
        <f>H411+H412+H413+H414</f>
        <v>22724.899999999998</v>
      </c>
      <c r="I410" s="79">
        <f t="shared" ref="I410:K410" si="87">I411+I412+I413+I414</f>
        <v>12454.899999999998</v>
      </c>
      <c r="J410" s="79">
        <f t="shared" si="87"/>
        <v>10270</v>
      </c>
      <c r="K410" s="79">
        <f t="shared" si="87"/>
        <v>0</v>
      </c>
      <c r="L410" s="300"/>
    </row>
    <row r="411" spans="1:12" ht="75" customHeight="1" x14ac:dyDescent="0.35">
      <c r="A411" s="308" t="s">
        <v>241</v>
      </c>
      <c r="B411" s="309"/>
      <c r="C411" s="309"/>
      <c r="D411" s="309"/>
      <c r="E411" s="238" t="s">
        <v>74</v>
      </c>
      <c r="F411" s="272"/>
      <c r="G411" s="336"/>
      <c r="H411" s="79">
        <f t="shared" ref="H411:H415" si="88">I411+J411+K411</f>
        <v>21983.3</v>
      </c>
      <c r="I411" s="195">
        <v>11713.3</v>
      </c>
      <c r="J411" s="80">
        <v>10270</v>
      </c>
      <c r="K411" s="80">
        <v>0</v>
      </c>
      <c r="L411" s="300"/>
    </row>
    <row r="412" spans="1:12" ht="70.5" customHeight="1" x14ac:dyDescent="0.35">
      <c r="A412" s="310"/>
      <c r="B412" s="311"/>
      <c r="C412" s="311"/>
      <c r="D412" s="311"/>
      <c r="E412" s="238" t="s">
        <v>75</v>
      </c>
      <c r="F412" s="272"/>
      <c r="G412" s="336"/>
      <c r="H412" s="79">
        <f t="shared" si="88"/>
        <v>204.3</v>
      </c>
      <c r="I412" s="80">
        <v>204.3</v>
      </c>
      <c r="J412" s="80">
        <v>0</v>
      </c>
      <c r="K412" s="80">
        <v>0</v>
      </c>
      <c r="L412" s="300"/>
    </row>
    <row r="413" spans="1:12" ht="96" customHeight="1" x14ac:dyDescent="0.35">
      <c r="A413" s="310"/>
      <c r="B413" s="311"/>
      <c r="C413" s="311"/>
      <c r="D413" s="311"/>
      <c r="E413" s="239" t="s">
        <v>77</v>
      </c>
      <c r="F413" s="272"/>
      <c r="G413" s="336"/>
      <c r="H413" s="79">
        <f t="shared" si="88"/>
        <v>537.29999999999995</v>
      </c>
      <c r="I413" s="195">
        <v>537.29999999999995</v>
      </c>
      <c r="J413" s="80">
        <v>0</v>
      </c>
      <c r="K413" s="80">
        <v>0</v>
      </c>
      <c r="L413" s="300"/>
    </row>
    <row r="414" spans="1:12" ht="75" customHeight="1" x14ac:dyDescent="0.35">
      <c r="A414" s="274"/>
      <c r="B414" s="275"/>
      <c r="C414" s="275"/>
      <c r="D414" s="275"/>
      <c r="E414" s="238" t="s">
        <v>73</v>
      </c>
      <c r="F414" s="143"/>
      <c r="G414" s="337"/>
      <c r="H414" s="79">
        <f t="shared" si="88"/>
        <v>0</v>
      </c>
      <c r="I414" s="83">
        <v>0</v>
      </c>
      <c r="J414" s="83">
        <v>0</v>
      </c>
      <c r="K414" s="83">
        <v>0</v>
      </c>
      <c r="L414" s="240"/>
    </row>
    <row r="415" spans="1:12" ht="170.25" hidden="1" customHeight="1" x14ac:dyDescent="0.35">
      <c r="A415" s="274"/>
      <c r="B415" s="275"/>
      <c r="C415" s="275"/>
      <c r="D415" s="275"/>
      <c r="E415" s="238" t="s">
        <v>440</v>
      </c>
      <c r="F415" s="143"/>
      <c r="G415" s="199" t="s">
        <v>196</v>
      </c>
      <c r="H415" s="79">
        <f t="shared" si="88"/>
        <v>0</v>
      </c>
      <c r="I415" s="83">
        <v>0</v>
      </c>
      <c r="J415" s="83"/>
      <c r="K415" s="83">
        <v>0</v>
      </c>
      <c r="L415" s="240"/>
    </row>
    <row r="416" spans="1:12" ht="75" customHeight="1" x14ac:dyDescent="0.35">
      <c r="A416" s="144" t="s">
        <v>268</v>
      </c>
      <c r="B416" s="353" t="s">
        <v>243</v>
      </c>
      <c r="C416" s="354"/>
      <c r="D416" s="354"/>
      <c r="E416" s="354"/>
      <c r="F416" s="145"/>
      <c r="G416" s="269" t="s">
        <v>83</v>
      </c>
      <c r="H416" s="99">
        <f>SUM(H417:H426)</f>
        <v>2050865.2859000002</v>
      </c>
      <c r="I416" s="99">
        <f>SUM(I417:I426)</f>
        <v>500635.6</v>
      </c>
      <c r="J416" s="99">
        <f>SUM(J417:J426)</f>
        <v>755840.9</v>
      </c>
      <c r="K416" s="99">
        <f>SUM(K417:K426)</f>
        <v>794388.7858999999</v>
      </c>
      <c r="L416" s="299" t="s">
        <v>86</v>
      </c>
    </row>
    <row r="417" spans="1:12" ht="75" customHeight="1" x14ac:dyDescent="0.35">
      <c r="A417" s="355" t="s">
        <v>241</v>
      </c>
      <c r="B417" s="356"/>
      <c r="C417" s="356"/>
      <c r="D417" s="357"/>
      <c r="E417" s="238" t="s">
        <v>80</v>
      </c>
      <c r="F417" s="266"/>
      <c r="G417" s="335" t="s">
        <v>85</v>
      </c>
      <c r="H417" s="79">
        <f>I417+J417+K417</f>
        <v>482587.92810000002</v>
      </c>
      <c r="I417" s="80">
        <v>97670.399999999994</v>
      </c>
      <c r="J417" s="80">
        <v>187673.1</v>
      </c>
      <c r="K417" s="80">
        <f>J417*1.051</f>
        <v>197244.42809999999</v>
      </c>
      <c r="L417" s="300"/>
    </row>
    <row r="418" spans="1:12" ht="75" customHeight="1" x14ac:dyDescent="0.35">
      <c r="A418" s="358"/>
      <c r="B418" s="359"/>
      <c r="C418" s="359"/>
      <c r="D418" s="360"/>
      <c r="E418" s="238" t="s">
        <v>74</v>
      </c>
      <c r="F418" s="266"/>
      <c r="G418" s="336"/>
      <c r="H418" s="79">
        <f t="shared" ref="H418:H426" si="89">I418+J418+K418</f>
        <v>183991.1409</v>
      </c>
      <c r="I418" s="80">
        <v>37455.599999999999</v>
      </c>
      <c r="J418" s="80">
        <v>71445.899999999994</v>
      </c>
      <c r="K418" s="80">
        <f t="shared" ref="K418:K426" si="90">J418*1.051</f>
        <v>75089.640899999984</v>
      </c>
      <c r="L418" s="300"/>
    </row>
    <row r="419" spans="1:12" ht="75" customHeight="1" x14ac:dyDescent="0.35">
      <c r="A419" s="358"/>
      <c r="B419" s="359"/>
      <c r="C419" s="359"/>
      <c r="D419" s="360"/>
      <c r="E419" s="238" t="s">
        <v>75</v>
      </c>
      <c r="F419" s="266"/>
      <c r="G419" s="336"/>
      <c r="H419" s="79">
        <f t="shared" si="89"/>
        <v>548780.87829999998</v>
      </c>
      <c r="I419" s="80">
        <v>117838.5</v>
      </c>
      <c r="J419" s="80">
        <v>210113.3</v>
      </c>
      <c r="K419" s="80">
        <f t="shared" si="90"/>
        <v>220829.07829999996</v>
      </c>
      <c r="L419" s="300"/>
    </row>
    <row r="420" spans="1:12" ht="75" customHeight="1" x14ac:dyDescent="0.35">
      <c r="A420" s="358"/>
      <c r="B420" s="359"/>
      <c r="C420" s="359"/>
      <c r="D420" s="360"/>
      <c r="E420" s="238" t="s">
        <v>73</v>
      </c>
      <c r="F420" s="266"/>
      <c r="G420" s="336"/>
      <c r="H420" s="79">
        <f t="shared" si="89"/>
        <v>223118.1214</v>
      </c>
      <c r="I420" s="80">
        <v>70008.100000000006</v>
      </c>
      <c r="J420" s="80">
        <v>74651.399999999994</v>
      </c>
      <c r="K420" s="80">
        <f t="shared" si="90"/>
        <v>78458.621399999989</v>
      </c>
      <c r="L420" s="300"/>
    </row>
    <row r="421" spans="1:12" ht="93.75" customHeight="1" x14ac:dyDescent="0.35">
      <c r="A421" s="358"/>
      <c r="B421" s="359"/>
      <c r="C421" s="359"/>
      <c r="D421" s="360"/>
      <c r="E421" s="239" t="s">
        <v>77</v>
      </c>
      <c r="F421" s="252"/>
      <c r="G421" s="336"/>
      <c r="H421" s="79">
        <f t="shared" si="89"/>
        <v>155817.28590000002</v>
      </c>
      <c r="I421" s="86">
        <v>36775.4</v>
      </c>
      <c r="J421" s="80">
        <v>58040.9</v>
      </c>
      <c r="K421" s="80">
        <f t="shared" si="90"/>
        <v>61000.9859</v>
      </c>
      <c r="L421" s="300"/>
    </row>
    <row r="422" spans="1:12" ht="75" customHeight="1" x14ac:dyDescent="0.35">
      <c r="A422" s="358"/>
      <c r="B422" s="359"/>
      <c r="C422" s="359"/>
      <c r="D422" s="360"/>
      <c r="E422" s="239" t="s">
        <v>76</v>
      </c>
      <c r="F422" s="266"/>
      <c r="G422" s="336"/>
      <c r="H422" s="79">
        <f t="shared" si="89"/>
        <v>4099.5578999999998</v>
      </c>
      <c r="I422" s="80">
        <v>1817</v>
      </c>
      <c r="J422" s="80">
        <v>1112.9000000000001</v>
      </c>
      <c r="K422" s="80">
        <f t="shared" si="90"/>
        <v>1169.6578999999999</v>
      </c>
      <c r="L422" s="300"/>
    </row>
    <row r="423" spans="1:12" ht="75" customHeight="1" x14ac:dyDescent="0.35">
      <c r="A423" s="358"/>
      <c r="B423" s="359"/>
      <c r="C423" s="359"/>
      <c r="D423" s="360"/>
      <c r="E423" s="238" t="s">
        <v>78</v>
      </c>
      <c r="F423" s="266"/>
      <c r="G423" s="336"/>
      <c r="H423" s="79">
        <f t="shared" si="89"/>
        <v>224178.59849999999</v>
      </c>
      <c r="I423" s="80">
        <v>68459.5</v>
      </c>
      <c r="J423" s="80">
        <v>75923.5</v>
      </c>
      <c r="K423" s="80">
        <f t="shared" si="90"/>
        <v>79795.598499999993</v>
      </c>
      <c r="L423" s="300"/>
    </row>
    <row r="424" spans="1:12" ht="75" customHeight="1" x14ac:dyDescent="0.35">
      <c r="A424" s="358"/>
      <c r="B424" s="359"/>
      <c r="C424" s="359"/>
      <c r="D424" s="360"/>
      <c r="E424" s="238" t="s">
        <v>79</v>
      </c>
      <c r="F424" s="266"/>
      <c r="G424" s="336"/>
      <c r="H424" s="79">
        <f t="shared" si="89"/>
        <v>209917.86360000001</v>
      </c>
      <c r="I424" s="80">
        <v>66381.5</v>
      </c>
      <c r="J424" s="80">
        <v>69983.600000000006</v>
      </c>
      <c r="K424" s="80">
        <f t="shared" si="90"/>
        <v>73552.763600000006</v>
      </c>
      <c r="L424" s="300"/>
    </row>
    <row r="425" spans="1:12" ht="96" customHeight="1" x14ac:dyDescent="0.35">
      <c r="A425" s="358"/>
      <c r="B425" s="359"/>
      <c r="C425" s="359"/>
      <c r="D425" s="360"/>
      <c r="E425" s="238" t="s">
        <v>318</v>
      </c>
      <c r="F425" s="266"/>
      <c r="G425" s="336"/>
      <c r="H425" s="79">
        <f t="shared" si="89"/>
        <v>7096.1638000000003</v>
      </c>
      <c r="I425" s="80">
        <v>1202</v>
      </c>
      <c r="J425" s="80">
        <v>2873.8</v>
      </c>
      <c r="K425" s="80">
        <f t="shared" si="90"/>
        <v>3020.3638000000001</v>
      </c>
      <c r="L425" s="300"/>
    </row>
    <row r="426" spans="1:12" ht="104.25" customHeight="1" x14ac:dyDescent="0.35">
      <c r="A426" s="361"/>
      <c r="B426" s="362"/>
      <c r="C426" s="362"/>
      <c r="D426" s="363"/>
      <c r="E426" s="238" t="s">
        <v>319</v>
      </c>
      <c r="F426" s="266"/>
      <c r="G426" s="337"/>
      <c r="H426" s="79">
        <f t="shared" si="89"/>
        <v>11277.747500000001</v>
      </c>
      <c r="I426" s="80">
        <v>3027.6</v>
      </c>
      <c r="J426" s="80">
        <v>4022.5</v>
      </c>
      <c r="K426" s="80">
        <f t="shared" si="90"/>
        <v>4227.6475</v>
      </c>
      <c r="L426" s="301"/>
    </row>
    <row r="427" spans="1:12" ht="75" customHeight="1" x14ac:dyDescent="0.35">
      <c r="A427" s="144" t="s">
        <v>379</v>
      </c>
      <c r="B427" s="146" t="s">
        <v>244</v>
      </c>
      <c r="C427" s="147"/>
      <c r="D427" s="145"/>
      <c r="E427" s="147"/>
      <c r="F427" s="145"/>
      <c r="G427" s="269" t="s">
        <v>83</v>
      </c>
      <c r="H427" s="99">
        <f>SUM(H428:H433)</f>
        <v>96176.843199999988</v>
      </c>
      <c r="I427" s="99">
        <f>SUM(I428:I433)</f>
        <v>22375.3</v>
      </c>
      <c r="J427" s="99">
        <f>SUM(J428:J433)</f>
        <v>35983.199999999997</v>
      </c>
      <c r="K427" s="99">
        <f>SUM(K428:K433)</f>
        <v>37818.343199999996</v>
      </c>
      <c r="L427" s="299" t="s">
        <v>103</v>
      </c>
    </row>
    <row r="428" spans="1:12" ht="75" customHeight="1" x14ac:dyDescent="0.35">
      <c r="A428" s="317" t="s">
        <v>241</v>
      </c>
      <c r="B428" s="318"/>
      <c r="C428" s="318"/>
      <c r="D428" s="384"/>
      <c r="E428" s="238" t="s">
        <v>80</v>
      </c>
      <c r="F428" s="387"/>
      <c r="G428" s="335" t="s">
        <v>91</v>
      </c>
      <c r="H428" s="79">
        <f t="shared" ref="H428:H433" si="91">I428+J428+K428</f>
        <v>17787.776899999997</v>
      </c>
      <c r="I428" s="80">
        <v>4083.2</v>
      </c>
      <c r="J428" s="80">
        <v>6681.9</v>
      </c>
      <c r="K428" s="80">
        <f t="shared" ref="K428:K433" si="92">J428*1.051</f>
        <v>7022.6768999999995</v>
      </c>
      <c r="L428" s="300"/>
    </row>
    <row r="429" spans="1:12" ht="75" customHeight="1" x14ac:dyDescent="0.35">
      <c r="A429" s="319"/>
      <c r="B429" s="320"/>
      <c r="C429" s="320"/>
      <c r="D429" s="385"/>
      <c r="E429" s="238" t="s">
        <v>74</v>
      </c>
      <c r="F429" s="388"/>
      <c r="G429" s="336"/>
      <c r="H429" s="79">
        <f t="shared" si="91"/>
        <v>33650.672299999991</v>
      </c>
      <c r="I429" s="80">
        <v>9433.9</v>
      </c>
      <c r="J429" s="80">
        <v>11807.3</v>
      </c>
      <c r="K429" s="80">
        <f t="shared" si="92"/>
        <v>12409.472299999998</v>
      </c>
      <c r="L429" s="300"/>
    </row>
    <row r="430" spans="1:12" ht="75" customHeight="1" x14ac:dyDescent="0.35">
      <c r="A430" s="319"/>
      <c r="B430" s="320"/>
      <c r="C430" s="320"/>
      <c r="D430" s="385"/>
      <c r="E430" s="238" t="s">
        <v>75</v>
      </c>
      <c r="F430" s="388"/>
      <c r="G430" s="336"/>
      <c r="H430" s="79">
        <f t="shared" si="91"/>
        <v>8702.7867999999999</v>
      </c>
      <c r="I430" s="80">
        <v>1018.1</v>
      </c>
      <c r="J430" s="80">
        <v>3746.8</v>
      </c>
      <c r="K430" s="80">
        <f t="shared" si="92"/>
        <v>3937.8867999999998</v>
      </c>
      <c r="L430" s="300"/>
    </row>
    <row r="431" spans="1:12" ht="108" customHeight="1" x14ac:dyDescent="0.35">
      <c r="A431" s="319"/>
      <c r="B431" s="320"/>
      <c r="C431" s="320"/>
      <c r="D431" s="385"/>
      <c r="E431" s="238" t="s">
        <v>77</v>
      </c>
      <c r="F431" s="388"/>
      <c r="G431" s="336"/>
      <c r="H431" s="79">
        <f t="shared" si="91"/>
        <v>10470.839</v>
      </c>
      <c r="I431" s="86">
        <v>853.7</v>
      </c>
      <c r="J431" s="80">
        <v>4689</v>
      </c>
      <c r="K431" s="80">
        <f t="shared" si="92"/>
        <v>4928.1390000000001</v>
      </c>
      <c r="L431" s="300"/>
    </row>
    <row r="432" spans="1:12" ht="100.5" customHeight="1" x14ac:dyDescent="0.35">
      <c r="A432" s="319"/>
      <c r="B432" s="320"/>
      <c r="C432" s="320"/>
      <c r="D432" s="385"/>
      <c r="E432" s="238" t="s">
        <v>76</v>
      </c>
      <c r="F432" s="388"/>
      <c r="G432" s="336"/>
      <c r="H432" s="79">
        <f t="shared" si="91"/>
        <v>25281.525099999999</v>
      </c>
      <c r="I432" s="80">
        <v>6986.4</v>
      </c>
      <c r="J432" s="80">
        <v>8920.1</v>
      </c>
      <c r="K432" s="80">
        <f t="shared" si="92"/>
        <v>9375.0250999999989</v>
      </c>
      <c r="L432" s="301"/>
    </row>
    <row r="433" spans="1:19" ht="102" customHeight="1" x14ac:dyDescent="0.35">
      <c r="A433" s="321"/>
      <c r="B433" s="322"/>
      <c r="C433" s="322"/>
      <c r="D433" s="386"/>
      <c r="E433" s="238" t="s">
        <v>73</v>
      </c>
      <c r="F433" s="389"/>
      <c r="G433" s="337"/>
      <c r="H433" s="79">
        <f t="shared" si="91"/>
        <v>283.24309999999997</v>
      </c>
      <c r="I433" s="80">
        <v>0</v>
      </c>
      <c r="J433" s="80">
        <v>138.1</v>
      </c>
      <c r="K433" s="80">
        <f t="shared" si="92"/>
        <v>145.14309999999998</v>
      </c>
      <c r="L433" s="239"/>
    </row>
    <row r="434" spans="1:19" ht="50.25" customHeight="1" x14ac:dyDescent="0.55000000000000004">
      <c r="A434" s="329" t="s">
        <v>87</v>
      </c>
      <c r="B434" s="330"/>
      <c r="C434" s="330"/>
      <c r="D434" s="330"/>
      <c r="E434" s="330"/>
      <c r="F434" s="331"/>
      <c r="G434" s="120"/>
      <c r="H434" s="79">
        <f>H318+H387+H393+H404+H409+H416+H427+H407</f>
        <v>2886360.1254500002</v>
      </c>
      <c r="I434" s="79">
        <f>I318+I387+I393+I404+I409+I416+I427+I407</f>
        <v>862271.41800000006</v>
      </c>
      <c r="J434" s="79">
        <f>J318+J387+J393+J404+J409+J416+J427+J407</f>
        <v>1088763.5336</v>
      </c>
      <c r="K434" s="79">
        <f>K318+K387+K393+K404+K409+K416+K427+K407</f>
        <v>935325.1738499999</v>
      </c>
      <c r="L434" s="338"/>
      <c r="N434" s="277">
        <f>I434+J434+K434</f>
        <v>2886360.1254500002</v>
      </c>
      <c r="P434" s="278"/>
      <c r="S434" s="279"/>
    </row>
    <row r="435" spans="1:19" ht="75" customHeight="1" x14ac:dyDescent="0.5">
      <c r="A435" s="375" t="s">
        <v>90</v>
      </c>
      <c r="B435" s="376"/>
      <c r="C435" s="376"/>
      <c r="D435" s="376"/>
      <c r="E435" s="376"/>
      <c r="F435" s="377"/>
      <c r="G435" s="251" t="s">
        <v>398</v>
      </c>
      <c r="H435" s="80">
        <f>H319+H387+H398+H396+H394</f>
        <v>282506.61135000002</v>
      </c>
      <c r="I435" s="80">
        <f>I319+I387+I398</f>
        <v>125824.62299999998</v>
      </c>
      <c r="J435" s="80">
        <f>J319+J387+J398+J396</f>
        <v>87905.443599999984</v>
      </c>
      <c r="K435" s="80">
        <f>K319+K387+K398+K394</f>
        <v>68776.544750000001</v>
      </c>
      <c r="L435" s="339"/>
      <c r="N435" s="277">
        <f>I435+J435+K435</f>
        <v>282506.61134999996</v>
      </c>
    </row>
    <row r="436" spans="1:19" ht="75" customHeight="1" x14ac:dyDescent="0.5">
      <c r="A436" s="378"/>
      <c r="B436" s="379"/>
      <c r="C436" s="379"/>
      <c r="D436" s="379"/>
      <c r="E436" s="379"/>
      <c r="F436" s="380"/>
      <c r="G436" s="251" t="s">
        <v>402</v>
      </c>
      <c r="H436" s="80">
        <f t="shared" ref="H436:I436" si="93">H320+H399+H410+H395+H397+H403</f>
        <v>295982.94300000003</v>
      </c>
      <c r="I436" s="80">
        <f t="shared" si="93"/>
        <v>115355.913</v>
      </c>
      <c r="J436" s="80">
        <f>J320+J399+J410+J395+J397+J403</f>
        <v>146285.6</v>
      </c>
      <c r="K436" s="80">
        <f>K320+K399+K410+K395+K397+K403</f>
        <v>34341.5</v>
      </c>
      <c r="L436" s="339"/>
      <c r="N436" s="277">
        <f>I436+J436+K436</f>
        <v>295983.01300000004</v>
      </c>
    </row>
    <row r="437" spans="1:19" ht="75" customHeight="1" x14ac:dyDescent="0.5">
      <c r="A437" s="378"/>
      <c r="B437" s="379"/>
      <c r="C437" s="379"/>
      <c r="D437" s="379"/>
      <c r="E437" s="379"/>
      <c r="F437" s="380"/>
      <c r="G437" s="235" t="s">
        <v>94</v>
      </c>
      <c r="H437" s="80">
        <f>H321</f>
        <v>52689.700000000004</v>
      </c>
      <c r="I437" s="80">
        <f>I321</f>
        <v>52689.700000000004</v>
      </c>
      <c r="J437" s="80">
        <f>J321</f>
        <v>0</v>
      </c>
      <c r="K437" s="80">
        <f>K321</f>
        <v>0</v>
      </c>
      <c r="L437" s="339"/>
      <c r="N437" s="277">
        <f t="shared" ref="N437:N450" si="94">I437+J437+K437</f>
        <v>52689.700000000004</v>
      </c>
    </row>
    <row r="438" spans="1:19" ht="174.75" customHeight="1" x14ac:dyDescent="0.5">
      <c r="A438" s="378"/>
      <c r="B438" s="379"/>
      <c r="C438" s="379"/>
      <c r="D438" s="379"/>
      <c r="E438" s="379"/>
      <c r="F438" s="380"/>
      <c r="G438" s="235" t="s">
        <v>97</v>
      </c>
      <c r="H438" s="80">
        <f>H323</f>
        <v>4468.2</v>
      </c>
      <c r="I438" s="80">
        <f>I323</f>
        <v>4468.2</v>
      </c>
      <c r="J438" s="80">
        <f>J323</f>
        <v>0</v>
      </c>
      <c r="K438" s="80">
        <f>K323</f>
        <v>0</v>
      </c>
      <c r="L438" s="339"/>
      <c r="N438" s="277">
        <f t="shared" si="94"/>
        <v>4468.2</v>
      </c>
    </row>
    <row r="439" spans="1:19" ht="227.25" customHeight="1" x14ac:dyDescent="0.5">
      <c r="A439" s="378"/>
      <c r="B439" s="379"/>
      <c r="C439" s="379"/>
      <c r="D439" s="379"/>
      <c r="E439" s="379"/>
      <c r="F439" s="380"/>
      <c r="G439" s="139" t="s">
        <v>98</v>
      </c>
      <c r="H439" s="80">
        <f>H322</f>
        <v>18015.819000000003</v>
      </c>
      <c r="I439" s="80">
        <f>I322</f>
        <v>6612.1190000000006</v>
      </c>
      <c r="J439" s="80">
        <f>J322</f>
        <v>11403.7</v>
      </c>
      <c r="K439" s="80">
        <f>K322</f>
        <v>0</v>
      </c>
      <c r="L439" s="339"/>
      <c r="N439" s="277">
        <f t="shared" si="94"/>
        <v>18015.819000000003</v>
      </c>
    </row>
    <row r="440" spans="1:19" ht="154.5" customHeight="1" x14ac:dyDescent="0.5">
      <c r="A440" s="378"/>
      <c r="B440" s="379"/>
      <c r="C440" s="379"/>
      <c r="D440" s="379"/>
      <c r="E440" s="379"/>
      <c r="F440" s="380"/>
      <c r="G440" s="235" t="s">
        <v>196</v>
      </c>
      <c r="H440" s="80">
        <f>H324+H415+H402</f>
        <v>8344.6229999999996</v>
      </c>
      <c r="I440" s="80">
        <f>I402+I324</f>
        <v>4763.7630000000008</v>
      </c>
      <c r="J440" s="80">
        <f>J402+J324</f>
        <v>3580.8</v>
      </c>
      <c r="K440" s="80">
        <f>K402+K324</f>
        <v>0</v>
      </c>
      <c r="L440" s="339"/>
      <c r="N440" s="277">
        <f t="shared" si="94"/>
        <v>8344.5630000000019</v>
      </c>
    </row>
    <row r="441" spans="1:19" ht="75" customHeight="1" x14ac:dyDescent="0.5">
      <c r="A441" s="378"/>
      <c r="B441" s="379"/>
      <c r="C441" s="379"/>
      <c r="D441" s="379"/>
      <c r="E441" s="379"/>
      <c r="F441" s="380"/>
      <c r="G441" s="251" t="s">
        <v>311</v>
      </c>
      <c r="H441" s="80">
        <f>H326</f>
        <v>196.5</v>
      </c>
      <c r="I441" s="80">
        <f>I326</f>
        <v>60</v>
      </c>
      <c r="J441" s="80">
        <f>J326</f>
        <v>136.5</v>
      </c>
      <c r="K441" s="80">
        <f>K326</f>
        <v>0</v>
      </c>
      <c r="L441" s="339"/>
      <c r="N441" s="277">
        <f t="shared" si="94"/>
        <v>196.5</v>
      </c>
    </row>
    <row r="442" spans="1:19" ht="75" customHeight="1" x14ac:dyDescent="0.5">
      <c r="A442" s="378"/>
      <c r="B442" s="379"/>
      <c r="C442" s="379"/>
      <c r="D442" s="379"/>
      <c r="E442" s="379"/>
      <c r="F442" s="380"/>
      <c r="G442" s="236" t="s">
        <v>376</v>
      </c>
      <c r="H442" s="80">
        <f>H325</f>
        <v>9369.9</v>
      </c>
      <c r="I442" s="80">
        <f>I325</f>
        <v>799.7</v>
      </c>
      <c r="J442" s="80">
        <f>J325</f>
        <v>8570.2000000000007</v>
      </c>
      <c r="K442" s="80">
        <f>K325</f>
        <v>0</v>
      </c>
      <c r="L442" s="339"/>
      <c r="N442" s="277">
        <f t="shared" si="94"/>
        <v>9369.9000000000015</v>
      </c>
    </row>
    <row r="443" spans="1:19" ht="102" customHeight="1" x14ac:dyDescent="0.5">
      <c r="A443" s="378"/>
      <c r="B443" s="379"/>
      <c r="C443" s="379"/>
      <c r="D443" s="379"/>
      <c r="E443" s="379"/>
      <c r="F443" s="380"/>
      <c r="G443" s="251" t="s">
        <v>378</v>
      </c>
      <c r="H443" s="80">
        <f>H408</f>
        <v>6848</v>
      </c>
      <c r="I443" s="80">
        <f>I408</f>
        <v>6848</v>
      </c>
      <c r="J443" s="80">
        <f>J408</f>
        <v>0</v>
      </c>
      <c r="K443" s="80">
        <f>K408</f>
        <v>0</v>
      </c>
      <c r="L443" s="339"/>
      <c r="N443" s="277">
        <f t="shared" si="94"/>
        <v>6848</v>
      </c>
    </row>
    <row r="444" spans="1:19" ht="99.75" customHeight="1" x14ac:dyDescent="0.5">
      <c r="A444" s="378"/>
      <c r="B444" s="379"/>
      <c r="C444" s="379"/>
      <c r="D444" s="379"/>
      <c r="E444" s="379"/>
      <c r="F444" s="380"/>
      <c r="G444" s="269" t="s">
        <v>81</v>
      </c>
      <c r="H444" s="80">
        <f t="shared" ref="H444:K445" si="95">H400</f>
        <v>19376.800000000003</v>
      </c>
      <c r="I444" s="80">
        <f t="shared" si="95"/>
        <v>14714.7</v>
      </c>
      <c r="J444" s="80">
        <f t="shared" si="95"/>
        <v>4662.1000000000004</v>
      </c>
      <c r="K444" s="80">
        <f t="shared" si="95"/>
        <v>0</v>
      </c>
      <c r="L444" s="339"/>
      <c r="N444" s="277">
        <f t="shared" si="94"/>
        <v>19376.800000000003</v>
      </c>
    </row>
    <row r="445" spans="1:19" ht="75" customHeight="1" x14ac:dyDescent="0.5">
      <c r="A445" s="378"/>
      <c r="B445" s="379"/>
      <c r="C445" s="379"/>
      <c r="D445" s="379"/>
      <c r="E445" s="379"/>
      <c r="F445" s="380"/>
      <c r="G445" s="269" t="s">
        <v>82</v>
      </c>
      <c r="H445" s="80">
        <f t="shared" si="95"/>
        <v>885</v>
      </c>
      <c r="I445" s="80">
        <f t="shared" si="95"/>
        <v>885</v>
      </c>
      <c r="J445" s="80">
        <f t="shared" si="95"/>
        <v>0</v>
      </c>
      <c r="K445" s="80">
        <f t="shared" si="95"/>
        <v>0</v>
      </c>
      <c r="L445" s="339"/>
      <c r="N445" s="277">
        <f t="shared" si="94"/>
        <v>885</v>
      </c>
    </row>
    <row r="446" spans="1:19" ht="75" customHeight="1" x14ac:dyDescent="0.5">
      <c r="A446" s="378"/>
      <c r="B446" s="379"/>
      <c r="C446" s="379"/>
      <c r="D446" s="379"/>
      <c r="E446" s="379"/>
      <c r="F446" s="380"/>
      <c r="G446" s="269" t="s">
        <v>102</v>
      </c>
      <c r="H446" s="80">
        <f t="shared" ref="H446:I446" si="96">H405+H406</f>
        <v>34103.300000000003</v>
      </c>
      <c r="I446" s="80">
        <f t="shared" si="96"/>
        <v>6238.8</v>
      </c>
      <c r="J446" s="80">
        <f>J405+J406</f>
        <v>27864.5</v>
      </c>
      <c r="K446" s="80">
        <f>K405+K406</f>
        <v>0</v>
      </c>
      <c r="L446" s="339"/>
      <c r="N446" s="277">
        <f t="shared" si="94"/>
        <v>34103.300000000003</v>
      </c>
    </row>
    <row r="447" spans="1:19" ht="75" customHeight="1" x14ac:dyDescent="0.5">
      <c r="A447" s="378"/>
      <c r="B447" s="379"/>
      <c r="C447" s="379"/>
      <c r="D447" s="379"/>
      <c r="E447" s="379"/>
      <c r="F447" s="380"/>
      <c r="G447" s="251" t="s">
        <v>85</v>
      </c>
      <c r="H447" s="80">
        <f>H416</f>
        <v>2050865.2859000002</v>
      </c>
      <c r="I447" s="80">
        <f>I416</f>
        <v>500635.6</v>
      </c>
      <c r="J447" s="80">
        <f>J416</f>
        <v>755840.9</v>
      </c>
      <c r="K447" s="80">
        <f>K416</f>
        <v>794388.7858999999</v>
      </c>
      <c r="L447" s="339"/>
      <c r="N447" s="277">
        <f t="shared" si="94"/>
        <v>2050865.2859</v>
      </c>
    </row>
    <row r="448" spans="1:19" ht="91.5" customHeight="1" x14ac:dyDescent="0.5">
      <c r="A448" s="378"/>
      <c r="B448" s="379"/>
      <c r="C448" s="379"/>
      <c r="D448" s="379"/>
      <c r="E448" s="379"/>
      <c r="F448" s="380"/>
      <c r="G448" s="251" t="s">
        <v>89</v>
      </c>
      <c r="H448" s="80">
        <f>H427</f>
        <v>96176.843199999988</v>
      </c>
      <c r="I448" s="80">
        <f>I427</f>
        <v>22375.3</v>
      </c>
      <c r="J448" s="80">
        <f>J427</f>
        <v>35983.199999999997</v>
      </c>
      <c r="K448" s="80">
        <f>K427</f>
        <v>37818.343199999996</v>
      </c>
      <c r="L448" s="339"/>
      <c r="N448" s="277">
        <f t="shared" si="94"/>
        <v>96176.843200000003</v>
      </c>
    </row>
    <row r="449" spans="1:15" ht="228.75" customHeight="1" x14ac:dyDescent="0.5">
      <c r="A449" s="378"/>
      <c r="B449" s="379"/>
      <c r="C449" s="379"/>
      <c r="D449" s="379"/>
      <c r="E449" s="379"/>
      <c r="F449" s="380"/>
      <c r="G449" s="235" t="s">
        <v>480</v>
      </c>
      <c r="H449" s="80">
        <f>H327</f>
        <v>1530.6</v>
      </c>
      <c r="I449" s="80">
        <f t="shared" ref="I449:K449" si="97">I327</f>
        <v>0</v>
      </c>
      <c r="J449" s="80">
        <f t="shared" si="97"/>
        <v>1530.6</v>
      </c>
      <c r="K449" s="80">
        <f t="shared" si="97"/>
        <v>0</v>
      </c>
      <c r="L449" s="339"/>
      <c r="N449" s="277">
        <f t="shared" si="94"/>
        <v>1530.6</v>
      </c>
    </row>
    <row r="450" spans="1:15" ht="228.75" customHeight="1" x14ac:dyDescent="0.5">
      <c r="A450" s="381"/>
      <c r="B450" s="382"/>
      <c r="C450" s="382"/>
      <c r="D450" s="382"/>
      <c r="E450" s="382"/>
      <c r="F450" s="383"/>
      <c r="G450" s="251" t="s">
        <v>484</v>
      </c>
      <c r="H450" s="80">
        <f t="shared" ref="H450:I450" si="98">H328</f>
        <v>5000</v>
      </c>
      <c r="I450" s="80">
        <f t="shared" si="98"/>
        <v>0</v>
      </c>
      <c r="J450" s="80">
        <f>J328</f>
        <v>5000</v>
      </c>
      <c r="K450" s="80">
        <f>K328</f>
        <v>0</v>
      </c>
      <c r="L450" s="339"/>
      <c r="N450" s="277">
        <f t="shared" si="94"/>
        <v>5000</v>
      </c>
    </row>
    <row r="451" spans="1:15" ht="75" customHeight="1" x14ac:dyDescent="0.55000000000000004">
      <c r="A451" s="365" t="s">
        <v>93</v>
      </c>
      <c r="B451" s="366"/>
      <c r="C451" s="366"/>
      <c r="D451" s="367"/>
      <c r="E451" s="302" t="s">
        <v>80</v>
      </c>
      <c r="F451" s="374"/>
      <c r="G451" s="251" t="s">
        <v>88</v>
      </c>
      <c r="H451" s="79">
        <f>SUM(H452:H461)</f>
        <v>600146.01500000013</v>
      </c>
      <c r="I451" s="79">
        <f>SUM(I452:I461)</f>
        <v>150906.01999999999</v>
      </c>
      <c r="J451" s="79">
        <f t="shared" ref="J451:K451" si="99">SUM(J452:J461)</f>
        <v>224448.75</v>
      </c>
      <c r="K451" s="79">
        <f t="shared" si="99"/>
        <v>224791.245</v>
      </c>
      <c r="L451" s="339"/>
      <c r="O451" s="276">
        <f>H451+H462+H469+H476+H488+H497+H504+H510+H515+H518+H519+H520</f>
        <v>2886360.1254500002</v>
      </c>
    </row>
    <row r="452" spans="1:15" ht="75" customHeight="1" x14ac:dyDescent="0.35">
      <c r="A452" s="368"/>
      <c r="B452" s="369"/>
      <c r="C452" s="369"/>
      <c r="D452" s="370"/>
      <c r="E452" s="303"/>
      <c r="F452" s="374"/>
      <c r="G452" s="251" t="s">
        <v>398</v>
      </c>
      <c r="H452" s="80">
        <f>H330+H388+H394</f>
        <v>32476.42</v>
      </c>
      <c r="I452" s="80">
        <f t="shared" ref="I452:K452" si="100">I330+I388+I394</f>
        <v>16188.239999999998</v>
      </c>
      <c r="J452" s="80">
        <f t="shared" si="100"/>
        <v>10764.04</v>
      </c>
      <c r="K452" s="80">
        <f t="shared" si="100"/>
        <v>5524.14</v>
      </c>
      <c r="L452" s="339"/>
    </row>
    <row r="453" spans="1:15" ht="75" customHeight="1" x14ac:dyDescent="0.35">
      <c r="A453" s="368"/>
      <c r="B453" s="369"/>
      <c r="C453" s="369"/>
      <c r="D453" s="370"/>
      <c r="E453" s="303"/>
      <c r="F453" s="374"/>
      <c r="G453" s="235" t="s">
        <v>94</v>
      </c>
      <c r="H453" s="80">
        <f t="shared" ref="H453:K456" si="101">H331</f>
        <v>12485.6</v>
      </c>
      <c r="I453" s="80">
        <f t="shared" si="101"/>
        <v>12485.6</v>
      </c>
      <c r="J453" s="80">
        <f t="shared" si="101"/>
        <v>0</v>
      </c>
      <c r="K453" s="80">
        <f t="shared" si="101"/>
        <v>0</v>
      </c>
      <c r="L453" s="339"/>
    </row>
    <row r="454" spans="1:15" ht="174.75" customHeight="1" x14ac:dyDescent="0.35">
      <c r="A454" s="368"/>
      <c r="B454" s="369"/>
      <c r="C454" s="369"/>
      <c r="D454" s="370"/>
      <c r="E454" s="303"/>
      <c r="F454" s="374"/>
      <c r="G454" s="235" t="s">
        <v>97</v>
      </c>
      <c r="H454" s="80">
        <f>H332</f>
        <v>147.79999999999998</v>
      </c>
      <c r="I454" s="80">
        <f t="shared" si="101"/>
        <v>147.79999999999998</v>
      </c>
      <c r="J454" s="80">
        <f t="shared" si="101"/>
        <v>0</v>
      </c>
      <c r="K454" s="80">
        <f t="shared" si="101"/>
        <v>0</v>
      </c>
      <c r="L454" s="339"/>
    </row>
    <row r="455" spans="1:15" ht="150" customHeight="1" x14ac:dyDescent="0.35">
      <c r="A455" s="368"/>
      <c r="B455" s="369"/>
      <c r="C455" s="369"/>
      <c r="D455" s="370"/>
      <c r="E455" s="303"/>
      <c r="F455" s="374"/>
      <c r="G455" s="235" t="s">
        <v>196</v>
      </c>
      <c r="H455" s="80">
        <f>H333</f>
        <v>249.81</v>
      </c>
      <c r="I455" s="80">
        <f t="shared" si="101"/>
        <v>249.81</v>
      </c>
      <c r="J455" s="80">
        <f t="shared" si="101"/>
        <v>0</v>
      </c>
      <c r="K455" s="80">
        <f t="shared" si="101"/>
        <v>0</v>
      </c>
      <c r="L455" s="339"/>
    </row>
    <row r="456" spans="1:15" ht="75" customHeight="1" x14ac:dyDescent="0.35">
      <c r="A456" s="368"/>
      <c r="B456" s="369"/>
      <c r="C456" s="369"/>
      <c r="D456" s="370"/>
      <c r="E456" s="303"/>
      <c r="F456" s="374"/>
      <c r="G456" s="251" t="s">
        <v>311</v>
      </c>
      <c r="H456" s="80">
        <f t="shared" si="101"/>
        <v>60</v>
      </c>
      <c r="I456" s="80">
        <f t="shared" si="101"/>
        <v>60</v>
      </c>
      <c r="J456" s="80">
        <f t="shared" si="101"/>
        <v>0</v>
      </c>
      <c r="K456" s="80">
        <f t="shared" si="101"/>
        <v>0</v>
      </c>
      <c r="L456" s="339"/>
    </row>
    <row r="457" spans="1:15" ht="75" customHeight="1" x14ac:dyDescent="0.35">
      <c r="A457" s="368"/>
      <c r="B457" s="369"/>
      <c r="C457" s="369"/>
      <c r="D457" s="370"/>
      <c r="E457" s="303"/>
      <c r="F457" s="374"/>
      <c r="G457" s="251" t="s">
        <v>85</v>
      </c>
      <c r="H457" s="80">
        <f>H417</f>
        <v>482587.92810000002</v>
      </c>
      <c r="I457" s="80">
        <f>I417</f>
        <v>97670.399999999994</v>
      </c>
      <c r="J457" s="80">
        <f>J417</f>
        <v>187673.1</v>
      </c>
      <c r="K457" s="80">
        <f>K417</f>
        <v>197244.42809999999</v>
      </c>
      <c r="L457" s="339"/>
    </row>
    <row r="458" spans="1:15" ht="75" customHeight="1" x14ac:dyDescent="0.35">
      <c r="A458" s="368"/>
      <c r="B458" s="369"/>
      <c r="C458" s="369"/>
      <c r="D458" s="370"/>
      <c r="E458" s="303"/>
      <c r="F458" s="374"/>
      <c r="G458" s="251" t="s">
        <v>402</v>
      </c>
      <c r="H458" s="80">
        <f>H335+H395</f>
        <v>45002.68</v>
      </c>
      <c r="I458" s="80">
        <f t="shared" ref="I458:K458" si="102">I335+I395</f>
        <v>13172.97</v>
      </c>
      <c r="J458" s="80">
        <f t="shared" si="102"/>
        <v>16829.71</v>
      </c>
      <c r="K458" s="80">
        <f t="shared" si="102"/>
        <v>15000</v>
      </c>
      <c r="L458" s="339"/>
    </row>
    <row r="459" spans="1:15" ht="95.25" customHeight="1" x14ac:dyDescent="0.35">
      <c r="A459" s="368"/>
      <c r="B459" s="369"/>
      <c r="C459" s="369"/>
      <c r="D459" s="370"/>
      <c r="E459" s="303"/>
      <c r="F459" s="374"/>
      <c r="G459" s="251" t="s">
        <v>378</v>
      </c>
      <c r="H459" s="80">
        <f>H408</f>
        <v>6848</v>
      </c>
      <c r="I459" s="80">
        <f t="shared" ref="I459:K459" si="103">I408</f>
        <v>6848</v>
      </c>
      <c r="J459" s="80">
        <f t="shared" si="103"/>
        <v>0</v>
      </c>
      <c r="K459" s="80">
        <f t="shared" si="103"/>
        <v>0</v>
      </c>
      <c r="L459" s="339"/>
    </row>
    <row r="460" spans="1:15" ht="87.75" customHeight="1" x14ac:dyDescent="0.35">
      <c r="A460" s="368"/>
      <c r="B460" s="369"/>
      <c r="C460" s="369"/>
      <c r="D460" s="370"/>
      <c r="E460" s="303"/>
      <c r="F460" s="374"/>
      <c r="G460" s="251" t="s">
        <v>89</v>
      </c>
      <c r="H460" s="80">
        <f>H428</f>
        <v>17787.776899999997</v>
      </c>
      <c r="I460" s="80">
        <f>I428</f>
        <v>4083.2</v>
      </c>
      <c r="J460" s="80">
        <f>J428</f>
        <v>6681.9</v>
      </c>
      <c r="K460" s="80">
        <f>K428</f>
        <v>7022.6768999999995</v>
      </c>
      <c r="L460" s="339"/>
    </row>
    <row r="461" spans="1:15" ht="202.5" customHeight="1" x14ac:dyDescent="0.35">
      <c r="A461" s="368"/>
      <c r="B461" s="369"/>
      <c r="C461" s="369"/>
      <c r="D461" s="370"/>
      <c r="E461" s="304"/>
      <c r="F461" s="374"/>
      <c r="G461" s="251" t="s">
        <v>484</v>
      </c>
      <c r="H461" s="80">
        <f t="shared" ref="H461:I461" si="104">H336</f>
        <v>2500</v>
      </c>
      <c r="I461" s="80">
        <f t="shared" si="104"/>
        <v>0</v>
      </c>
      <c r="J461" s="80">
        <f>J336</f>
        <v>2500</v>
      </c>
      <c r="K461" s="80">
        <f>K336</f>
        <v>0</v>
      </c>
      <c r="L461" s="339"/>
    </row>
    <row r="462" spans="1:15" ht="75" customHeight="1" x14ac:dyDescent="0.35">
      <c r="A462" s="368"/>
      <c r="B462" s="369"/>
      <c r="C462" s="369"/>
      <c r="D462" s="370"/>
      <c r="E462" s="315" t="s">
        <v>74</v>
      </c>
      <c r="F462" s="374"/>
      <c r="G462" s="251" t="s">
        <v>88</v>
      </c>
      <c r="H462" s="79">
        <f>SUM(H463:H468)</f>
        <v>298090.03320000001</v>
      </c>
      <c r="I462" s="79">
        <f t="shared" ref="I462:K462" si="105">SUM(I463:I468)</f>
        <v>80727.12999999999</v>
      </c>
      <c r="J462" s="79">
        <f>SUM(J463:J468)</f>
        <v>114058.39</v>
      </c>
      <c r="K462" s="79">
        <f t="shared" si="105"/>
        <v>103304.51319999997</v>
      </c>
      <c r="L462" s="339"/>
    </row>
    <row r="463" spans="1:15" ht="75" customHeight="1" x14ac:dyDescent="0.35">
      <c r="A463" s="368"/>
      <c r="B463" s="369"/>
      <c r="C463" s="369"/>
      <c r="D463" s="370"/>
      <c r="E463" s="315"/>
      <c r="F463" s="374"/>
      <c r="G463" s="251" t="s">
        <v>398</v>
      </c>
      <c r="H463" s="80">
        <f>H338+H389</f>
        <v>36002.570000000007</v>
      </c>
      <c r="I463" s="80">
        <f>I338+I389</f>
        <v>13363.099999999997</v>
      </c>
      <c r="J463" s="80">
        <f>J338+J389</f>
        <v>11834.07</v>
      </c>
      <c r="K463" s="80">
        <f>K338+K389</f>
        <v>10805.399999999998</v>
      </c>
      <c r="L463" s="339"/>
    </row>
    <row r="464" spans="1:15" ht="75" customHeight="1" x14ac:dyDescent="0.35">
      <c r="A464" s="368"/>
      <c r="B464" s="369"/>
      <c r="C464" s="369"/>
      <c r="D464" s="370"/>
      <c r="E464" s="315"/>
      <c r="F464" s="374"/>
      <c r="G464" s="235" t="s">
        <v>94</v>
      </c>
      <c r="H464" s="80">
        <f>H339</f>
        <v>8160.1</v>
      </c>
      <c r="I464" s="80">
        <f>I339</f>
        <v>8160.1</v>
      </c>
      <c r="J464" s="80">
        <f>J339</f>
        <v>0</v>
      </c>
      <c r="K464" s="80">
        <f>K339</f>
        <v>0</v>
      </c>
      <c r="L464" s="339"/>
    </row>
    <row r="465" spans="1:12" ht="75" customHeight="1" x14ac:dyDescent="0.35">
      <c r="A465" s="368"/>
      <c r="B465" s="369"/>
      <c r="C465" s="369"/>
      <c r="D465" s="370"/>
      <c r="E465" s="315"/>
      <c r="F465" s="374"/>
      <c r="G465" s="269" t="s">
        <v>85</v>
      </c>
      <c r="H465" s="80">
        <f>H418</f>
        <v>183991.1409</v>
      </c>
      <c r="I465" s="80">
        <f>I418</f>
        <v>37455.599999999999</v>
      </c>
      <c r="J465" s="80">
        <f>J418</f>
        <v>71445.899999999994</v>
      </c>
      <c r="K465" s="80">
        <f>K418</f>
        <v>75089.640899999984</v>
      </c>
      <c r="L465" s="339"/>
    </row>
    <row r="466" spans="1:12" ht="75" customHeight="1" x14ac:dyDescent="0.35">
      <c r="A466" s="368"/>
      <c r="B466" s="369"/>
      <c r="C466" s="369"/>
      <c r="D466" s="370"/>
      <c r="E466" s="315"/>
      <c r="F466" s="374"/>
      <c r="G466" s="251" t="s">
        <v>402</v>
      </c>
      <c r="H466" s="80">
        <f>H340+H411</f>
        <v>34785.550000000003</v>
      </c>
      <c r="I466" s="80">
        <f>I340+I411</f>
        <v>12314.429999999998</v>
      </c>
      <c r="J466" s="80">
        <f>J340+J411</f>
        <v>17471.12</v>
      </c>
      <c r="K466" s="80">
        <f>K340+K411</f>
        <v>5000</v>
      </c>
      <c r="L466" s="339"/>
    </row>
    <row r="467" spans="1:12" ht="155.25" customHeight="1" x14ac:dyDescent="0.35">
      <c r="A467" s="368"/>
      <c r="B467" s="369"/>
      <c r="C467" s="369"/>
      <c r="D467" s="370"/>
      <c r="E467" s="315"/>
      <c r="F467" s="374"/>
      <c r="G467" s="235" t="s">
        <v>196</v>
      </c>
      <c r="H467" s="80">
        <f>I467+J467+K467</f>
        <v>1500</v>
      </c>
      <c r="I467" s="80">
        <f>I341</f>
        <v>0</v>
      </c>
      <c r="J467" s="80">
        <f>J341</f>
        <v>1500</v>
      </c>
      <c r="K467" s="80">
        <f>K341</f>
        <v>0</v>
      </c>
      <c r="L467" s="339"/>
    </row>
    <row r="468" spans="1:12" ht="75" customHeight="1" x14ac:dyDescent="0.35">
      <c r="A468" s="368"/>
      <c r="B468" s="369"/>
      <c r="C468" s="369"/>
      <c r="D468" s="370"/>
      <c r="E468" s="315"/>
      <c r="F468" s="374"/>
      <c r="G468" s="251" t="s">
        <v>89</v>
      </c>
      <c r="H468" s="80">
        <f>H429</f>
        <v>33650.672299999991</v>
      </c>
      <c r="I468" s="80">
        <f>I429</f>
        <v>9433.9</v>
      </c>
      <c r="J468" s="80">
        <f>J429</f>
        <v>11807.3</v>
      </c>
      <c r="K468" s="80">
        <f>K429</f>
        <v>12409.472299999998</v>
      </c>
      <c r="L468" s="339"/>
    </row>
    <row r="469" spans="1:12" ht="75" customHeight="1" x14ac:dyDescent="0.35">
      <c r="A469" s="368"/>
      <c r="B469" s="369"/>
      <c r="C469" s="369"/>
      <c r="D469" s="370"/>
      <c r="E469" s="315" t="s">
        <v>75</v>
      </c>
      <c r="F469" s="374"/>
      <c r="G469" s="251" t="s">
        <v>88</v>
      </c>
      <c r="H469" s="79">
        <f>SUM(H470:H475)</f>
        <v>660817.38955000008</v>
      </c>
      <c r="I469" s="79">
        <f>SUM(I470:I475)</f>
        <v>175417.25400000002</v>
      </c>
      <c r="J469" s="79">
        <f>SUM(J470:J475)</f>
        <v>247772.62999999998</v>
      </c>
      <c r="K469" s="79">
        <f>SUM(K470:K475)</f>
        <v>237627.50554999997</v>
      </c>
      <c r="L469" s="339"/>
    </row>
    <row r="470" spans="1:12" ht="75" customHeight="1" x14ac:dyDescent="0.35">
      <c r="A470" s="368"/>
      <c r="B470" s="369"/>
      <c r="C470" s="369"/>
      <c r="D470" s="370"/>
      <c r="E470" s="315"/>
      <c r="F470" s="374"/>
      <c r="G470" s="251" t="s">
        <v>398</v>
      </c>
      <c r="H470" s="80">
        <f>H343+H390</f>
        <v>42482.370449999995</v>
      </c>
      <c r="I470" s="80">
        <f>I343+I390</f>
        <v>23086.199999999997</v>
      </c>
      <c r="J470" s="80">
        <f>J343+J390</f>
        <v>11535.630000000001</v>
      </c>
      <c r="K470" s="80">
        <f>K343+K390</f>
        <v>7860.5404500000004</v>
      </c>
      <c r="L470" s="339"/>
    </row>
    <row r="471" spans="1:12" ht="75" customHeight="1" x14ac:dyDescent="0.35">
      <c r="A471" s="368"/>
      <c r="B471" s="369"/>
      <c r="C471" s="369"/>
      <c r="D471" s="370"/>
      <c r="E471" s="315"/>
      <c r="F471" s="374"/>
      <c r="G471" s="235" t="s">
        <v>94</v>
      </c>
      <c r="H471" s="80">
        <f t="shared" ref="H471:K472" si="106">H344</f>
        <v>12866.2</v>
      </c>
      <c r="I471" s="80">
        <f t="shared" si="106"/>
        <v>12866.2</v>
      </c>
      <c r="J471" s="80">
        <f t="shared" si="106"/>
        <v>0</v>
      </c>
      <c r="K471" s="80">
        <f t="shared" si="106"/>
        <v>0</v>
      </c>
      <c r="L471" s="339"/>
    </row>
    <row r="472" spans="1:12" ht="171" customHeight="1" x14ac:dyDescent="0.35">
      <c r="A472" s="368"/>
      <c r="B472" s="369"/>
      <c r="C472" s="369"/>
      <c r="D472" s="370"/>
      <c r="E472" s="315"/>
      <c r="F472" s="374"/>
      <c r="G472" s="235" t="s">
        <v>97</v>
      </c>
      <c r="H472" s="80">
        <f t="shared" si="106"/>
        <v>2680.3</v>
      </c>
      <c r="I472" s="80">
        <f t="shared" si="106"/>
        <v>2680.3</v>
      </c>
      <c r="J472" s="80">
        <f t="shared" si="106"/>
        <v>0</v>
      </c>
      <c r="K472" s="80">
        <f t="shared" si="106"/>
        <v>0</v>
      </c>
      <c r="L472" s="339"/>
    </row>
    <row r="473" spans="1:12" ht="75" customHeight="1" x14ac:dyDescent="0.35">
      <c r="A473" s="368"/>
      <c r="B473" s="369"/>
      <c r="C473" s="369"/>
      <c r="D473" s="370"/>
      <c r="E473" s="315"/>
      <c r="F473" s="374"/>
      <c r="G473" s="269" t="s">
        <v>85</v>
      </c>
      <c r="H473" s="80">
        <f>H419</f>
        <v>548780.87829999998</v>
      </c>
      <c r="I473" s="80">
        <f>I419</f>
        <v>117838.5</v>
      </c>
      <c r="J473" s="80">
        <f>J419</f>
        <v>210113.3</v>
      </c>
      <c r="K473" s="80">
        <f>K419</f>
        <v>220829.07829999996</v>
      </c>
      <c r="L473" s="339"/>
    </row>
    <row r="474" spans="1:12" ht="75" customHeight="1" x14ac:dyDescent="0.35">
      <c r="A474" s="368"/>
      <c r="B474" s="369"/>
      <c r="C474" s="369"/>
      <c r="D474" s="370"/>
      <c r="E474" s="315"/>
      <c r="F474" s="374"/>
      <c r="G474" s="251" t="s">
        <v>402</v>
      </c>
      <c r="H474" s="80">
        <f>H346+H412</f>
        <v>45304.854000000007</v>
      </c>
      <c r="I474" s="80">
        <f>I346+I412</f>
        <v>17927.954000000002</v>
      </c>
      <c r="J474" s="80">
        <f>J346+J412</f>
        <v>22376.9</v>
      </c>
      <c r="K474" s="80">
        <f>K346+K412</f>
        <v>5000</v>
      </c>
      <c r="L474" s="339"/>
    </row>
    <row r="475" spans="1:12" ht="75" customHeight="1" x14ac:dyDescent="0.35">
      <c r="A475" s="368"/>
      <c r="B475" s="369"/>
      <c r="C475" s="369"/>
      <c r="D475" s="370"/>
      <c r="E475" s="315"/>
      <c r="F475" s="374"/>
      <c r="G475" s="251" t="s">
        <v>89</v>
      </c>
      <c r="H475" s="80">
        <f>H430</f>
        <v>8702.7867999999999</v>
      </c>
      <c r="I475" s="80">
        <f>I430</f>
        <v>1018.1</v>
      </c>
      <c r="J475" s="80">
        <f>J430</f>
        <v>3746.8</v>
      </c>
      <c r="K475" s="80">
        <f>K430</f>
        <v>3937.8867999999998</v>
      </c>
      <c r="L475" s="339"/>
    </row>
    <row r="476" spans="1:12" ht="75" customHeight="1" x14ac:dyDescent="0.35">
      <c r="A476" s="368"/>
      <c r="B476" s="369"/>
      <c r="C476" s="369"/>
      <c r="D476" s="370"/>
      <c r="E476" s="350" t="s">
        <v>73</v>
      </c>
      <c r="F476" s="374"/>
      <c r="G476" s="251" t="s">
        <v>88</v>
      </c>
      <c r="H476" s="79">
        <f>SUM(H477:H487)</f>
        <v>396624.71150000003</v>
      </c>
      <c r="I476" s="79">
        <f t="shared" ref="I476:K476" si="107">SUM(I477:I487)</f>
        <v>161094.32500000001</v>
      </c>
      <c r="J476" s="79">
        <f>SUM(J477:J487)</f>
        <v>138350.93</v>
      </c>
      <c r="K476" s="79">
        <f t="shared" si="107"/>
        <v>97179.456499999986</v>
      </c>
      <c r="L476" s="339"/>
    </row>
    <row r="477" spans="1:12" ht="75" customHeight="1" x14ac:dyDescent="0.35">
      <c r="A477" s="368"/>
      <c r="B477" s="369"/>
      <c r="C477" s="369"/>
      <c r="D477" s="370"/>
      <c r="E477" s="351"/>
      <c r="F477" s="374"/>
      <c r="G477" s="269" t="s">
        <v>398</v>
      </c>
      <c r="H477" s="80">
        <f>H348+H398</f>
        <v>46503.205000000009</v>
      </c>
      <c r="I477" s="80">
        <f>I348+I398</f>
        <v>23201.383000000002</v>
      </c>
      <c r="J477" s="80">
        <f>J348+J398</f>
        <v>14067.63</v>
      </c>
      <c r="K477" s="80">
        <f>K348+K398</f>
        <v>9234.1920000000009</v>
      </c>
      <c r="L477" s="339"/>
    </row>
    <row r="478" spans="1:12" ht="75" customHeight="1" x14ac:dyDescent="0.35">
      <c r="A478" s="368"/>
      <c r="B478" s="369"/>
      <c r="C478" s="369"/>
      <c r="D478" s="370"/>
      <c r="E478" s="351"/>
      <c r="F478" s="374"/>
      <c r="G478" s="235" t="s">
        <v>94</v>
      </c>
      <c r="H478" s="80">
        <f t="shared" ref="H478:K479" si="108">H349</f>
        <v>11698</v>
      </c>
      <c r="I478" s="80">
        <f t="shared" si="108"/>
        <v>11698</v>
      </c>
      <c r="J478" s="80">
        <f t="shared" si="108"/>
        <v>0</v>
      </c>
      <c r="K478" s="80">
        <f t="shared" si="108"/>
        <v>0</v>
      </c>
      <c r="L478" s="339"/>
    </row>
    <row r="479" spans="1:12" ht="162.75" customHeight="1" x14ac:dyDescent="0.35">
      <c r="A479" s="368"/>
      <c r="B479" s="369"/>
      <c r="C479" s="369"/>
      <c r="D479" s="370"/>
      <c r="E479" s="351"/>
      <c r="F479" s="374"/>
      <c r="G479" s="235" t="s">
        <v>196</v>
      </c>
      <c r="H479" s="80">
        <f t="shared" si="108"/>
        <v>1284.2530000000004</v>
      </c>
      <c r="I479" s="80">
        <f t="shared" si="108"/>
        <v>1187.9530000000004</v>
      </c>
      <c r="J479" s="80">
        <f>J350</f>
        <v>96.3</v>
      </c>
      <c r="K479" s="80">
        <f t="shared" si="108"/>
        <v>0</v>
      </c>
      <c r="L479" s="339"/>
    </row>
    <row r="480" spans="1:12" ht="162.75" customHeight="1" x14ac:dyDescent="0.35">
      <c r="A480" s="368"/>
      <c r="B480" s="369"/>
      <c r="C480" s="369"/>
      <c r="D480" s="370"/>
      <c r="E480" s="351"/>
      <c r="F480" s="374"/>
      <c r="G480" s="235" t="s">
        <v>97</v>
      </c>
      <c r="H480" s="80">
        <f>H352</f>
        <v>150</v>
      </c>
      <c r="I480" s="80">
        <f>I352</f>
        <v>150</v>
      </c>
      <c r="J480" s="80">
        <f>J352</f>
        <v>0</v>
      </c>
      <c r="K480" s="80">
        <f>K352</f>
        <v>0</v>
      </c>
      <c r="L480" s="339"/>
    </row>
    <row r="481" spans="1:12" ht="75" customHeight="1" x14ac:dyDescent="0.35">
      <c r="A481" s="368"/>
      <c r="B481" s="369"/>
      <c r="C481" s="369"/>
      <c r="D481" s="370"/>
      <c r="E481" s="351"/>
      <c r="F481" s="374"/>
      <c r="G481" s="269" t="s">
        <v>85</v>
      </c>
      <c r="H481" s="80">
        <f>H420</f>
        <v>223118.1214</v>
      </c>
      <c r="I481" s="80">
        <f>I420</f>
        <v>70008.100000000006</v>
      </c>
      <c r="J481" s="80">
        <f>J420</f>
        <v>74651.399999999994</v>
      </c>
      <c r="K481" s="80">
        <f>K420</f>
        <v>78458.621399999989</v>
      </c>
      <c r="L481" s="339"/>
    </row>
    <row r="482" spans="1:12" ht="75" customHeight="1" x14ac:dyDescent="0.35">
      <c r="A482" s="368"/>
      <c r="B482" s="369"/>
      <c r="C482" s="369"/>
      <c r="D482" s="370"/>
      <c r="E482" s="351"/>
      <c r="F482" s="374"/>
      <c r="G482" s="251" t="s">
        <v>89</v>
      </c>
      <c r="H482" s="80">
        <f t="shared" ref="H482:I482" si="109">H433</f>
        <v>283.24309999999997</v>
      </c>
      <c r="I482" s="80">
        <f t="shared" si="109"/>
        <v>0</v>
      </c>
      <c r="J482" s="80">
        <f>J433</f>
        <v>138.1</v>
      </c>
      <c r="K482" s="80">
        <f>K433</f>
        <v>145.14309999999998</v>
      </c>
      <c r="L482" s="339"/>
    </row>
    <row r="483" spans="1:12" ht="75" customHeight="1" x14ac:dyDescent="0.35">
      <c r="A483" s="368"/>
      <c r="B483" s="369"/>
      <c r="C483" s="369"/>
      <c r="D483" s="370"/>
      <c r="E483" s="351"/>
      <c r="F483" s="374"/>
      <c r="G483" s="251" t="s">
        <v>402</v>
      </c>
      <c r="H483" s="80">
        <f>H351+H399</f>
        <v>70817.38900000001</v>
      </c>
      <c r="I483" s="80">
        <f>I351+I399</f>
        <v>33010.389000000003</v>
      </c>
      <c r="J483" s="80">
        <f>J351+J399</f>
        <v>28465.5</v>
      </c>
      <c r="K483" s="80">
        <f>K351+K399</f>
        <v>9341.5</v>
      </c>
      <c r="L483" s="339"/>
    </row>
    <row r="484" spans="1:12" ht="75" customHeight="1" x14ac:dyDescent="0.35">
      <c r="A484" s="368"/>
      <c r="B484" s="369"/>
      <c r="C484" s="369"/>
      <c r="D484" s="370"/>
      <c r="E484" s="351"/>
      <c r="F484" s="374"/>
      <c r="G484" s="269" t="s">
        <v>362</v>
      </c>
      <c r="H484" s="80">
        <f t="shared" ref="H484:K485" si="110">H400</f>
        <v>19376.800000000003</v>
      </c>
      <c r="I484" s="80">
        <f t="shared" si="110"/>
        <v>14714.7</v>
      </c>
      <c r="J484" s="80">
        <f t="shared" si="110"/>
        <v>4662.1000000000004</v>
      </c>
      <c r="K484" s="80">
        <f t="shared" si="110"/>
        <v>0</v>
      </c>
      <c r="L484" s="339"/>
    </row>
    <row r="485" spans="1:12" ht="75" customHeight="1" x14ac:dyDescent="0.35">
      <c r="A485" s="368"/>
      <c r="B485" s="369"/>
      <c r="C485" s="369"/>
      <c r="D485" s="370"/>
      <c r="E485" s="351"/>
      <c r="F485" s="374"/>
      <c r="G485" s="269" t="s">
        <v>82</v>
      </c>
      <c r="H485" s="80">
        <f t="shared" si="110"/>
        <v>885</v>
      </c>
      <c r="I485" s="80">
        <f t="shared" si="110"/>
        <v>885</v>
      </c>
      <c r="J485" s="80">
        <f t="shared" si="110"/>
        <v>0</v>
      </c>
      <c r="K485" s="80">
        <f t="shared" si="110"/>
        <v>0</v>
      </c>
      <c r="L485" s="339"/>
    </row>
    <row r="486" spans="1:12" ht="75" customHeight="1" x14ac:dyDescent="0.35">
      <c r="A486" s="368"/>
      <c r="B486" s="369"/>
      <c r="C486" s="369"/>
      <c r="D486" s="370"/>
      <c r="E486" s="351"/>
      <c r="F486" s="374"/>
      <c r="G486" s="269" t="s">
        <v>102</v>
      </c>
      <c r="H486" s="80">
        <f>H405</f>
        <v>21743.4</v>
      </c>
      <c r="I486" s="80">
        <f>I405</f>
        <v>6238.8</v>
      </c>
      <c r="J486" s="80">
        <f>J405</f>
        <v>15504.6</v>
      </c>
      <c r="K486" s="80">
        <f>K405</f>
        <v>0</v>
      </c>
      <c r="L486" s="339"/>
    </row>
    <row r="487" spans="1:12" ht="230.25" customHeight="1" x14ac:dyDescent="0.35">
      <c r="A487" s="368"/>
      <c r="B487" s="369"/>
      <c r="C487" s="369"/>
      <c r="D487" s="370"/>
      <c r="E487" s="352"/>
      <c r="F487" s="374"/>
      <c r="G487" s="235" t="s">
        <v>480</v>
      </c>
      <c r="H487" s="80">
        <f>H353</f>
        <v>765.3</v>
      </c>
      <c r="I487" s="80">
        <f t="shared" ref="I487:K487" si="111">I353</f>
        <v>0</v>
      </c>
      <c r="J487" s="80">
        <f t="shared" si="111"/>
        <v>765.3</v>
      </c>
      <c r="K487" s="80">
        <f t="shared" si="111"/>
        <v>0</v>
      </c>
      <c r="L487" s="339"/>
    </row>
    <row r="488" spans="1:12" ht="75" customHeight="1" x14ac:dyDescent="0.35">
      <c r="A488" s="368"/>
      <c r="B488" s="369"/>
      <c r="C488" s="369"/>
      <c r="D488" s="370"/>
      <c r="E488" s="350" t="s">
        <v>440</v>
      </c>
      <c r="F488" s="374"/>
      <c r="G488" s="251" t="s">
        <v>88</v>
      </c>
      <c r="H488" s="79">
        <f>SUM(H489:H496)</f>
        <v>33180.550000000003</v>
      </c>
      <c r="I488" s="79">
        <f t="shared" ref="I488:K488" si="112">SUM(I489:I496)</f>
        <v>0</v>
      </c>
      <c r="J488" s="79">
        <f t="shared" si="112"/>
        <v>33180.550000000003</v>
      </c>
      <c r="K488" s="79">
        <f t="shared" si="112"/>
        <v>0</v>
      </c>
      <c r="L488" s="339"/>
    </row>
    <row r="489" spans="1:12" ht="75" customHeight="1" x14ac:dyDescent="0.35">
      <c r="A489" s="368"/>
      <c r="B489" s="369"/>
      <c r="C489" s="369"/>
      <c r="D489" s="370"/>
      <c r="E489" s="351"/>
      <c r="F489" s="374"/>
      <c r="G489" s="269" t="s">
        <v>398</v>
      </c>
      <c r="H489" s="80">
        <f t="shared" ref="H489:I489" si="113">H355</f>
        <v>2270.5499999999997</v>
      </c>
      <c r="I489" s="80">
        <f t="shared" si="113"/>
        <v>0</v>
      </c>
      <c r="J489" s="80">
        <f>J355</f>
        <v>2270.5499999999997</v>
      </c>
      <c r="K489" s="80">
        <f t="shared" ref="K489" si="114">K355</f>
        <v>0</v>
      </c>
      <c r="L489" s="339"/>
    </row>
    <row r="490" spans="1:12" ht="75" customHeight="1" x14ac:dyDescent="0.35">
      <c r="A490" s="368"/>
      <c r="B490" s="369"/>
      <c r="C490" s="369"/>
      <c r="D490" s="370"/>
      <c r="E490" s="351"/>
      <c r="F490" s="374"/>
      <c r="G490" s="251" t="s">
        <v>402</v>
      </c>
      <c r="H490" s="80">
        <f>H356+H403</f>
        <v>9398.2999999999993</v>
      </c>
      <c r="I490" s="80">
        <f>I356+I403</f>
        <v>0</v>
      </c>
      <c r="J490" s="80">
        <f>J356+J403</f>
        <v>9398.2999999999993</v>
      </c>
      <c r="K490" s="80">
        <f>K356+K403</f>
        <v>0</v>
      </c>
      <c r="L490" s="339"/>
    </row>
    <row r="491" spans="1:12" ht="157.5" customHeight="1" x14ac:dyDescent="0.35">
      <c r="A491" s="368"/>
      <c r="B491" s="369"/>
      <c r="C491" s="369"/>
      <c r="D491" s="370"/>
      <c r="E491" s="351"/>
      <c r="F491" s="374"/>
      <c r="G491" s="235" t="s">
        <v>196</v>
      </c>
      <c r="H491" s="80">
        <f t="shared" ref="H491:I491" si="115">H402</f>
        <v>0</v>
      </c>
      <c r="I491" s="80">
        <f t="shared" si="115"/>
        <v>0</v>
      </c>
      <c r="J491" s="80">
        <f>J402</f>
        <v>0</v>
      </c>
      <c r="K491" s="80">
        <f>K402</f>
        <v>0</v>
      </c>
      <c r="L491" s="339"/>
    </row>
    <row r="492" spans="1:12" ht="75" customHeight="1" x14ac:dyDescent="0.35">
      <c r="A492" s="368"/>
      <c r="B492" s="369"/>
      <c r="C492" s="369"/>
      <c r="D492" s="370"/>
      <c r="E492" s="351"/>
      <c r="F492" s="374"/>
      <c r="G492" s="251" t="s">
        <v>311</v>
      </c>
      <c r="H492" s="80">
        <f t="shared" ref="H492:I492" si="116">H358</f>
        <v>136.5</v>
      </c>
      <c r="I492" s="80">
        <f t="shared" si="116"/>
        <v>0</v>
      </c>
      <c r="J492" s="80">
        <f>J358</f>
        <v>136.5</v>
      </c>
      <c r="K492" s="80">
        <f>K358</f>
        <v>0</v>
      </c>
      <c r="L492" s="339"/>
    </row>
    <row r="493" spans="1:12" ht="75" customHeight="1" x14ac:dyDescent="0.35">
      <c r="A493" s="368"/>
      <c r="B493" s="369"/>
      <c r="C493" s="369"/>
      <c r="D493" s="370"/>
      <c r="E493" s="351"/>
      <c r="F493" s="374"/>
      <c r="G493" s="269" t="s">
        <v>102</v>
      </c>
      <c r="H493" s="80">
        <f>I493+J493+K493</f>
        <v>12359.9</v>
      </c>
      <c r="I493" s="80">
        <v>0</v>
      </c>
      <c r="J493" s="80">
        <f>J406</f>
        <v>12359.9</v>
      </c>
      <c r="K493" s="80">
        <v>0</v>
      </c>
      <c r="L493" s="339"/>
    </row>
    <row r="494" spans="1:12" ht="157.5" customHeight="1" x14ac:dyDescent="0.35">
      <c r="A494" s="368"/>
      <c r="B494" s="369"/>
      <c r="C494" s="369"/>
      <c r="D494" s="370"/>
      <c r="E494" s="351"/>
      <c r="F494" s="374"/>
      <c r="G494" s="199" t="s">
        <v>376</v>
      </c>
      <c r="H494" s="80">
        <f t="shared" ref="H494:I494" si="117">H359</f>
        <v>5750</v>
      </c>
      <c r="I494" s="80">
        <f t="shared" si="117"/>
        <v>0</v>
      </c>
      <c r="J494" s="80">
        <f>J359</f>
        <v>5750</v>
      </c>
      <c r="K494" s="80">
        <f>K359</f>
        <v>0</v>
      </c>
      <c r="L494" s="339"/>
    </row>
    <row r="495" spans="1:12" ht="219.75" customHeight="1" x14ac:dyDescent="0.35">
      <c r="A495" s="368"/>
      <c r="B495" s="369"/>
      <c r="C495" s="369"/>
      <c r="D495" s="370"/>
      <c r="E495" s="351"/>
      <c r="F495" s="374"/>
      <c r="G495" s="235" t="s">
        <v>480</v>
      </c>
      <c r="H495" s="80">
        <f>H360</f>
        <v>765.3</v>
      </c>
      <c r="I495" s="80">
        <f t="shared" ref="I495:K495" si="118">I360</f>
        <v>0</v>
      </c>
      <c r="J495" s="80">
        <f t="shared" si="118"/>
        <v>765.3</v>
      </c>
      <c r="K495" s="80">
        <f t="shared" si="118"/>
        <v>0</v>
      </c>
      <c r="L495" s="339"/>
    </row>
    <row r="496" spans="1:12" ht="219.75" customHeight="1" x14ac:dyDescent="0.35">
      <c r="A496" s="368"/>
      <c r="B496" s="369"/>
      <c r="C496" s="369"/>
      <c r="D496" s="370"/>
      <c r="E496" s="352"/>
      <c r="F496" s="374"/>
      <c r="G496" s="251" t="s">
        <v>484</v>
      </c>
      <c r="H496" s="80">
        <f t="shared" ref="H496:I496" si="119">H361</f>
        <v>2500</v>
      </c>
      <c r="I496" s="80">
        <f t="shared" si="119"/>
        <v>0</v>
      </c>
      <c r="J496" s="80">
        <f>J361</f>
        <v>2500</v>
      </c>
      <c r="K496" s="80">
        <f>K361</f>
        <v>0</v>
      </c>
      <c r="L496" s="339"/>
    </row>
    <row r="497" spans="1:12" ht="75" customHeight="1" x14ac:dyDescent="0.35">
      <c r="A497" s="368"/>
      <c r="B497" s="369"/>
      <c r="C497" s="369"/>
      <c r="D497" s="370"/>
      <c r="E497" s="315" t="s">
        <v>77</v>
      </c>
      <c r="F497" s="374"/>
      <c r="G497" s="251" t="s">
        <v>88</v>
      </c>
      <c r="H497" s="79">
        <f>SUM(H498:H503)</f>
        <v>217668.26490000004</v>
      </c>
      <c r="I497" s="79">
        <f>SUM(I498:I503)</f>
        <v>69132.47</v>
      </c>
      <c r="J497" s="79">
        <f>SUM(J498:J503)</f>
        <v>79092.75</v>
      </c>
      <c r="K497" s="79">
        <f>SUM(K498:K503)</f>
        <v>69443.044899999994</v>
      </c>
      <c r="L497" s="339"/>
    </row>
    <row r="498" spans="1:12" ht="75" customHeight="1" x14ac:dyDescent="0.35">
      <c r="A498" s="368"/>
      <c r="B498" s="369"/>
      <c r="C498" s="369"/>
      <c r="D498" s="370"/>
      <c r="E498" s="315"/>
      <c r="F498" s="374"/>
      <c r="G498" s="269" t="s">
        <v>398</v>
      </c>
      <c r="H498" s="80">
        <f>H363+H391+H396</f>
        <v>14296.97</v>
      </c>
      <c r="I498" s="80">
        <f>I363+I391+I396</f>
        <v>6272.9000000000005</v>
      </c>
      <c r="J498" s="80">
        <f>J363+J391+J396</f>
        <v>4510.1500000000005</v>
      </c>
      <c r="K498" s="80">
        <f>K363+K391+K396</f>
        <v>3513.92</v>
      </c>
      <c r="L498" s="339"/>
    </row>
    <row r="499" spans="1:12" ht="154.5" customHeight="1" x14ac:dyDescent="0.35">
      <c r="A499" s="368"/>
      <c r="B499" s="369"/>
      <c r="C499" s="369"/>
      <c r="D499" s="370"/>
      <c r="E499" s="315"/>
      <c r="F499" s="374"/>
      <c r="G499" s="235" t="s">
        <v>196</v>
      </c>
      <c r="H499" s="80">
        <f>H365</f>
        <v>926</v>
      </c>
      <c r="I499" s="80">
        <f>I365</f>
        <v>926</v>
      </c>
      <c r="J499" s="80">
        <f>J365</f>
        <v>0</v>
      </c>
      <c r="K499" s="80">
        <f>K365</f>
        <v>0</v>
      </c>
      <c r="L499" s="339"/>
    </row>
    <row r="500" spans="1:12" ht="75" customHeight="1" x14ac:dyDescent="0.35">
      <c r="A500" s="368"/>
      <c r="B500" s="369"/>
      <c r="C500" s="369"/>
      <c r="D500" s="370"/>
      <c r="E500" s="315"/>
      <c r="F500" s="374"/>
      <c r="G500" s="235" t="s">
        <v>94</v>
      </c>
      <c r="H500" s="80">
        <f>H364</f>
        <v>6347.6</v>
      </c>
      <c r="I500" s="80">
        <f>I364</f>
        <v>6347.6</v>
      </c>
      <c r="J500" s="80">
        <f>J364</f>
        <v>0</v>
      </c>
      <c r="K500" s="80">
        <f>K364</f>
        <v>0</v>
      </c>
      <c r="L500" s="339"/>
    </row>
    <row r="501" spans="1:12" ht="75" customHeight="1" x14ac:dyDescent="0.35">
      <c r="A501" s="368"/>
      <c r="B501" s="369"/>
      <c r="C501" s="369"/>
      <c r="D501" s="370"/>
      <c r="E501" s="315"/>
      <c r="F501" s="374"/>
      <c r="G501" s="269" t="s">
        <v>85</v>
      </c>
      <c r="H501" s="80">
        <f>H421</f>
        <v>155817.28590000002</v>
      </c>
      <c r="I501" s="80">
        <f>I421</f>
        <v>36775.4</v>
      </c>
      <c r="J501" s="80">
        <f>J421</f>
        <v>58040.9</v>
      </c>
      <c r="K501" s="80">
        <f>K421</f>
        <v>61000.9859</v>
      </c>
      <c r="L501" s="339"/>
    </row>
    <row r="502" spans="1:12" ht="75" customHeight="1" x14ac:dyDescent="0.35">
      <c r="A502" s="368"/>
      <c r="B502" s="369"/>
      <c r="C502" s="369"/>
      <c r="D502" s="370"/>
      <c r="E502" s="315"/>
      <c r="F502" s="374"/>
      <c r="G502" s="251" t="s">
        <v>402</v>
      </c>
      <c r="H502" s="80">
        <f>H366+H413+H397</f>
        <v>29809.57</v>
      </c>
      <c r="I502" s="80">
        <f>I366+I413+I397</f>
        <v>17956.87</v>
      </c>
      <c r="J502" s="80">
        <f>J366+J413+J397</f>
        <v>11852.7</v>
      </c>
      <c r="K502" s="80">
        <f>K366+K413</f>
        <v>0</v>
      </c>
      <c r="L502" s="339"/>
    </row>
    <row r="503" spans="1:12" ht="75" customHeight="1" x14ac:dyDescent="0.35">
      <c r="A503" s="368"/>
      <c r="B503" s="369"/>
      <c r="C503" s="369"/>
      <c r="D503" s="370"/>
      <c r="E503" s="315"/>
      <c r="F503" s="374"/>
      <c r="G503" s="251" t="s">
        <v>89</v>
      </c>
      <c r="H503" s="80">
        <f>H431</f>
        <v>10470.839</v>
      </c>
      <c r="I503" s="80">
        <f>I431</f>
        <v>853.7</v>
      </c>
      <c r="J503" s="80">
        <f>J431</f>
        <v>4689</v>
      </c>
      <c r="K503" s="80">
        <f>K431</f>
        <v>4928.1390000000001</v>
      </c>
      <c r="L503" s="339"/>
    </row>
    <row r="504" spans="1:12" ht="75" customHeight="1" x14ac:dyDescent="0.35">
      <c r="A504" s="368"/>
      <c r="B504" s="369"/>
      <c r="C504" s="369"/>
      <c r="D504" s="370"/>
      <c r="E504" s="315" t="s">
        <v>76</v>
      </c>
      <c r="F504" s="374"/>
      <c r="G504" s="251" t="s">
        <v>88</v>
      </c>
      <c r="H504" s="79">
        <f>SUM(H505:H509)</f>
        <v>58694.483</v>
      </c>
      <c r="I504" s="79">
        <f>SUM(I505:I509)</f>
        <v>18568.599999999999</v>
      </c>
      <c r="J504" s="79">
        <f>SUM(J505:J509)</f>
        <v>19585.599999999999</v>
      </c>
      <c r="K504" s="79">
        <f>SUM(K505:K509)</f>
        <v>20540.282999999999</v>
      </c>
      <c r="L504" s="339"/>
    </row>
    <row r="505" spans="1:12" ht="75" customHeight="1" x14ac:dyDescent="0.35">
      <c r="A505" s="368"/>
      <c r="B505" s="369"/>
      <c r="C505" s="369"/>
      <c r="D505" s="370"/>
      <c r="E505" s="315"/>
      <c r="F505" s="374"/>
      <c r="G505" s="269" t="s">
        <v>398</v>
      </c>
      <c r="H505" s="80">
        <f>H368+H392</f>
        <v>26931.200000000001</v>
      </c>
      <c r="I505" s="80">
        <f>I368+I392</f>
        <v>7383</v>
      </c>
      <c r="J505" s="80">
        <f>J368+J392</f>
        <v>9552.6</v>
      </c>
      <c r="K505" s="80">
        <f>K368+K392</f>
        <v>9995.6</v>
      </c>
      <c r="L505" s="339"/>
    </row>
    <row r="506" spans="1:12" ht="75" customHeight="1" x14ac:dyDescent="0.35">
      <c r="A506" s="368"/>
      <c r="B506" s="369"/>
      <c r="C506" s="369"/>
      <c r="D506" s="370"/>
      <c r="E506" s="315"/>
      <c r="F506" s="374"/>
      <c r="G506" s="235" t="s">
        <v>94</v>
      </c>
      <c r="H506" s="80">
        <f>H369</f>
        <v>1132.2</v>
      </c>
      <c r="I506" s="80">
        <f>I369</f>
        <v>1132.2</v>
      </c>
      <c r="J506" s="80">
        <f>J369</f>
        <v>0</v>
      </c>
      <c r="K506" s="80">
        <f>K369</f>
        <v>0</v>
      </c>
      <c r="L506" s="339"/>
    </row>
    <row r="507" spans="1:12" ht="75" customHeight="1" x14ac:dyDescent="0.35">
      <c r="A507" s="368"/>
      <c r="B507" s="369"/>
      <c r="C507" s="369"/>
      <c r="D507" s="370"/>
      <c r="E507" s="315"/>
      <c r="F507" s="374"/>
      <c r="G507" s="269" t="s">
        <v>85</v>
      </c>
      <c r="H507" s="80">
        <f>H422</f>
        <v>4099.5578999999998</v>
      </c>
      <c r="I507" s="80">
        <f>I422</f>
        <v>1817</v>
      </c>
      <c r="J507" s="80">
        <f>J422</f>
        <v>1112.9000000000001</v>
      </c>
      <c r="K507" s="80">
        <f>K422</f>
        <v>1169.6578999999999</v>
      </c>
      <c r="L507" s="339"/>
    </row>
    <row r="508" spans="1:12" ht="75" customHeight="1" x14ac:dyDescent="0.35">
      <c r="A508" s="368"/>
      <c r="B508" s="369"/>
      <c r="C508" s="369"/>
      <c r="D508" s="370"/>
      <c r="E508" s="315"/>
      <c r="F508" s="374"/>
      <c r="G508" s="251" t="s">
        <v>402</v>
      </c>
      <c r="H508" s="80">
        <f>H370</f>
        <v>1250</v>
      </c>
      <c r="I508" s="80">
        <f>I370</f>
        <v>1250</v>
      </c>
      <c r="J508" s="80">
        <f>J370</f>
        <v>0</v>
      </c>
      <c r="K508" s="80">
        <f>K370</f>
        <v>0</v>
      </c>
      <c r="L508" s="339"/>
    </row>
    <row r="509" spans="1:12" ht="75" customHeight="1" x14ac:dyDescent="0.35">
      <c r="A509" s="368"/>
      <c r="B509" s="369"/>
      <c r="C509" s="369"/>
      <c r="D509" s="370"/>
      <c r="E509" s="315"/>
      <c r="F509" s="374"/>
      <c r="G509" s="251" t="s">
        <v>89</v>
      </c>
      <c r="H509" s="80">
        <f>H432</f>
        <v>25281.525099999999</v>
      </c>
      <c r="I509" s="80">
        <f>I432</f>
        <v>6986.4</v>
      </c>
      <c r="J509" s="80">
        <f>J432</f>
        <v>8920.1</v>
      </c>
      <c r="K509" s="80">
        <f>K432</f>
        <v>9375.0250999999989</v>
      </c>
      <c r="L509" s="339"/>
    </row>
    <row r="510" spans="1:12" ht="75" customHeight="1" x14ac:dyDescent="0.35">
      <c r="A510" s="368"/>
      <c r="B510" s="369"/>
      <c r="C510" s="369"/>
      <c r="D510" s="370"/>
      <c r="E510" s="350" t="s">
        <v>78</v>
      </c>
      <c r="F510" s="374"/>
      <c r="G510" s="251" t="s">
        <v>88</v>
      </c>
      <c r="H510" s="79">
        <f>SUM(H511:H514)</f>
        <v>257247.96590000001</v>
      </c>
      <c r="I510" s="79">
        <f>SUM(I511:I514)</f>
        <v>77268.91</v>
      </c>
      <c r="J510" s="79">
        <f>SUM(J511:J514)</f>
        <v>88357.293600000005</v>
      </c>
      <c r="K510" s="79">
        <f>SUM(K511:K514)</f>
        <v>91621.762300000002</v>
      </c>
      <c r="L510" s="339"/>
    </row>
    <row r="511" spans="1:12" ht="75" customHeight="1" x14ac:dyDescent="0.35">
      <c r="A511" s="368"/>
      <c r="B511" s="369"/>
      <c r="C511" s="369"/>
      <c r="D511" s="370"/>
      <c r="E511" s="351"/>
      <c r="F511" s="374"/>
      <c r="G511" s="269" t="s">
        <v>398</v>
      </c>
      <c r="H511" s="80">
        <f t="shared" ref="H511:K512" si="120">H372</f>
        <v>25775.703599999997</v>
      </c>
      <c r="I511" s="80">
        <f t="shared" si="120"/>
        <v>7604.91</v>
      </c>
      <c r="J511" s="80">
        <f t="shared" si="120"/>
        <v>9364.9935999999998</v>
      </c>
      <c r="K511" s="80">
        <f t="shared" si="120"/>
        <v>8805.7999999999993</v>
      </c>
      <c r="L511" s="339"/>
    </row>
    <row r="512" spans="1:12" ht="204" customHeight="1" x14ac:dyDescent="0.35">
      <c r="A512" s="368"/>
      <c r="B512" s="369"/>
      <c r="C512" s="369"/>
      <c r="D512" s="370"/>
      <c r="E512" s="351"/>
      <c r="F512" s="374"/>
      <c r="G512" s="139" t="s">
        <v>98</v>
      </c>
      <c r="H512" s="80">
        <f t="shared" si="120"/>
        <v>2.5</v>
      </c>
      <c r="I512" s="80">
        <f t="shared" si="120"/>
        <v>2.5</v>
      </c>
      <c r="J512" s="80">
        <f t="shared" si="120"/>
        <v>0</v>
      </c>
      <c r="K512" s="80">
        <f t="shared" si="120"/>
        <v>0</v>
      </c>
      <c r="L512" s="339"/>
    </row>
    <row r="513" spans="1:12" ht="204" customHeight="1" x14ac:dyDescent="0.35">
      <c r="A513" s="368"/>
      <c r="B513" s="369"/>
      <c r="C513" s="369"/>
      <c r="D513" s="370"/>
      <c r="E513" s="351"/>
      <c r="F513" s="374"/>
      <c r="G513" s="235" t="s">
        <v>196</v>
      </c>
      <c r="H513" s="80">
        <f>I513+J513+K513</f>
        <v>195</v>
      </c>
      <c r="I513" s="80">
        <v>0</v>
      </c>
      <c r="J513" s="80">
        <f>J374</f>
        <v>195</v>
      </c>
      <c r="K513" s="80">
        <v>0</v>
      </c>
      <c r="L513" s="339"/>
    </row>
    <row r="514" spans="1:12" ht="75" customHeight="1" x14ac:dyDescent="0.4">
      <c r="A514" s="368"/>
      <c r="B514" s="369"/>
      <c r="C514" s="369"/>
      <c r="D514" s="370"/>
      <c r="E514" s="352"/>
      <c r="F514" s="374"/>
      <c r="G514" s="121" t="s">
        <v>85</v>
      </c>
      <c r="H514" s="80">
        <f>H423+H425</f>
        <v>231274.7623</v>
      </c>
      <c r="I514" s="80">
        <f>I423+I425</f>
        <v>69661.5</v>
      </c>
      <c r="J514" s="80">
        <f>J423+J425</f>
        <v>78797.3</v>
      </c>
      <c r="K514" s="80">
        <f>K423+K425</f>
        <v>82815.962299999999</v>
      </c>
      <c r="L514" s="339"/>
    </row>
    <row r="515" spans="1:12" ht="75" customHeight="1" x14ac:dyDescent="0.35">
      <c r="A515" s="368"/>
      <c r="B515" s="369"/>
      <c r="C515" s="369"/>
      <c r="D515" s="370"/>
      <c r="E515" s="315" t="s">
        <v>79</v>
      </c>
      <c r="F515" s="374"/>
      <c r="G515" s="251" t="s">
        <v>88</v>
      </c>
      <c r="H515" s="79">
        <f>SUM(H516:H517)</f>
        <v>249626.5534</v>
      </c>
      <c r="I515" s="79">
        <f>SUM(I516:I517)</f>
        <v>77851.790000000008</v>
      </c>
      <c r="J515" s="79">
        <f>SUM(J516:J517)</f>
        <v>83945.1</v>
      </c>
      <c r="K515" s="79">
        <f>SUM(K516:K517)</f>
        <v>87829.663400000019</v>
      </c>
      <c r="L515" s="339"/>
    </row>
    <row r="516" spans="1:12" ht="75" customHeight="1" x14ac:dyDescent="0.35">
      <c r="A516" s="368"/>
      <c r="B516" s="369"/>
      <c r="C516" s="369"/>
      <c r="D516" s="370"/>
      <c r="E516" s="315"/>
      <c r="F516" s="374"/>
      <c r="G516" s="269" t="s">
        <v>398</v>
      </c>
      <c r="H516" s="80">
        <f>H376</f>
        <v>28430.942300000002</v>
      </c>
      <c r="I516" s="80">
        <f>I376</f>
        <v>8442.69</v>
      </c>
      <c r="J516" s="80">
        <f>J376</f>
        <v>9939</v>
      </c>
      <c r="K516" s="80">
        <f>K376</f>
        <v>10049.2523</v>
      </c>
      <c r="L516" s="339"/>
    </row>
    <row r="517" spans="1:12" ht="75" customHeight="1" x14ac:dyDescent="0.4">
      <c r="A517" s="368"/>
      <c r="B517" s="369"/>
      <c r="C517" s="369"/>
      <c r="D517" s="370"/>
      <c r="E517" s="315"/>
      <c r="F517" s="374"/>
      <c r="G517" s="121" t="s">
        <v>85</v>
      </c>
      <c r="H517" s="80">
        <f>H424+H426</f>
        <v>221195.61110000001</v>
      </c>
      <c r="I517" s="80">
        <f>I424+I426</f>
        <v>69409.100000000006</v>
      </c>
      <c r="J517" s="80">
        <f>J424+J426</f>
        <v>74006.100000000006</v>
      </c>
      <c r="K517" s="80">
        <f>K424+K426</f>
        <v>77780.411100000012</v>
      </c>
      <c r="L517" s="339"/>
    </row>
    <row r="518" spans="1:12" ht="75" customHeight="1" x14ac:dyDescent="0.35">
      <c r="A518" s="368"/>
      <c r="B518" s="369"/>
      <c r="C518" s="369"/>
      <c r="D518" s="370"/>
      <c r="E518" s="254" t="s">
        <v>385</v>
      </c>
      <c r="F518" s="374"/>
      <c r="G518" s="269" t="s">
        <v>398</v>
      </c>
      <c r="H518" s="79">
        <f>H377</f>
        <v>3000</v>
      </c>
      <c r="I518" s="79">
        <f>I377</f>
        <v>3000</v>
      </c>
      <c r="J518" s="79">
        <f>J377</f>
        <v>0</v>
      </c>
      <c r="K518" s="79">
        <f>K377</f>
        <v>0</v>
      </c>
      <c r="L518" s="339"/>
    </row>
    <row r="519" spans="1:12" ht="122.25" customHeight="1" x14ac:dyDescent="0.35">
      <c r="A519" s="368"/>
      <c r="B519" s="369"/>
      <c r="C519" s="369"/>
      <c r="D519" s="370"/>
      <c r="E519" s="254" t="s">
        <v>446</v>
      </c>
      <c r="F519" s="374"/>
      <c r="G519" s="269" t="s">
        <v>398</v>
      </c>
      <c r="H519" s="79">
        <f>H378</f>
        <v>90</v>
      </c>
      <c r="I519" s="79">
        <f>I378</f>
        <v>0</v>
      </c>
      <c r="J519" s="79">
        <f t="shared" ref="J519:K519" si="121">J378</f>
        <v>90</v>
      </c>
      <c r="K519" s="79">
        <f t="shared" si="121"/>
        <v>0</v>
      </c>
      <c r="L519" s="339"/>
    </row>
    <row r="520" spans="1:12" ht="75" customHeight="1" x14ac:dyDescent="0.35">
      <c r="A520" s="368"/>
      <c r="B520" s="369"/>
      <c r="C520" s="369"/>
      <c r="D520" s="370"/>
      <c r="E520" s="315" t="s">
        <v>423</v>
      </c>
      <c r="F520" s="374"/>
      <c r="G520" s="251" t="s">
        <v>88</v>
      </c>
      <c r="H520" s="79">
        <f>SUM(H521:H526)</f>
        <v>111174.15900000001</v>
      </c>
      <c r="I520" s="79">
        <f>SUM(I521:I526)</f>
        <v>48304.919000000002</v>
      </c>
      <c r="J520" s="79">
        <f>SUM(J521:J526)</f>
        <v>59881.540000000008</v>
      </c>
      <c r="K520" s="79">
        <f>SUM(K521:K526)</f>
        <v>2987.7</v>
      </c>
      <c r="L520" s="339"/>
    </row>
    <row r="521" spans="1:12" ht="75" customHeight="1" x14ac:dyDescent="0.35">
      <c r="A521" s="368"/>
      <c r="B521" s="369"/>
      <c r="C521" s="369"/>
      <c r="D521" s="370"/>
      <c r="E521" s="315"/>
      <c r="F521" s="374"/>
      <c r="G521" s="269" t="s">
        <v>398</v>
      </c>
      <c r="H521" s="80">
        <f>H380</f>
        <v>24246.68</v>
      </c>
      <c r="I521" s="80">
        <f>I380</f>
        <v>17282.2</v>
      </c>
      <c r="J521" s="80">
        <f>J380</f>
        <v>3976.78</v>
      </c>
      <c r="K521" s="80">
        <f>K380</f>
        <v>2987.7</v>
      </c>
      <c r="L521" s="339"/>
    </row>
    <row r="522" spans="1:12" ht="227.25" customHeight="1" x14ac:dyDescent="0.35">
      <c r="A522" s="368"/>
      <c r="B522" s="369"/>
      <c r="C522" s="369"/>
      <c r="D522" s="370"/>
      <c r="E522" s="315"/>
      <c r="F522" s="374"/>
      <c r="G522" s="235" t="s">
        <v>97</v>
      </c>
      <c r="H522" s="80">
        <f>H383</f>
        <v>1490.1</v>
      </c>
      <c r="I522" s="80">
        <f>I383</f>
        <v>1490.1</v>
      </c>
      <c r="J522" s="80">
        <f>J383</f>
        <v>0</v>
      </c>
      <c r="K522" s="80">
        <f>K383</f>
        <v>0</v>
      </c>
      <c r="L522" s="339"/>
    </row>
    <row r="523" spans="1:12" ht="260.25" customHeight="1" x14ac:dyDescent="0.35">
      <c r="A523" s="368"/>
      <c r="B523" s="369"/>
      <c r="C523" s="369"/>
      <c r="D523" s="370"/>
      <c r="E523" s="315"/>
      <c r="F523" s="374"/>
      <c r="G523" s="139" t="s">
        <v>98</v>
      </c>
      <c r="H523" s="80">
        <f>H381</f>
        <v>18013.319000000003</v>
      </c>
      <c r="I523" s="80">
        <f>I381</f>
        <v>6609.6190000000006</v>
      </c>
      <c r="J523" s="80">
        <f>J381</f>
        <v>11403.7</v>
      </c>
      <c r="K523" s="80">
        <f>K381</f>
        <v>0</v>
      </c>
      <c r="L523" s="339"/>
    </row>
    <row r="524" spans="1:12" ht="75" customHeight="1" x14ac:dyDescent="0.35">
      <c r="A524" s="368"/>
      <c r="B524" s="369"/>
      <c r="C524" s="369"/>
      <c r="D524" s="370"/>
      <c r="E524" s="315"/>
      <c r="F524" s="374"/>
      <c r="G524" s="236" t="s">
        <v>376</v>
      </c>
      <c r="H524" s="80">
        <f>H315</f>
        <v>3619.8999999999996</v>
      </c>
      <c r="I524" s="80">
        <f>I315</f>
        <v>799.7</v>
      </c>
      <c r="J524" s="80">
        <f>J315</f>
        <v>2820.2</v>
      </c>
      <c r="K524" s="80">
        <f>K315</f>
        <v>0</v>
      </c>
      <c r="L524" s="339"/>
    </row>
    <row r="525" spans="1:12" ht="167.25" customHeight="1" x14ac:dyDescent="0.35">
      <c r="A525" s="368"/>
      <c r="B525" s="369"/>
      <c r="C525" s="369"/>
      <c r="D525" s="370"/>
      <c r="E525" s="315"/>
      <c r="F525" s="374"/>
      <c r="G525" s="235" t="s">
        <v>196</v>
      </c>
      <c r="H525" s="80">
        <f>H382</f>
        <v>4189.5599999999995</v>
      </c>
      <c r="I525" s="80">
        <f t="shared" ref="I525:K525" si="122">I382</f>
        <v>2400</v>
      </c>
      <c r="J525" s="80">
        <f t="shared" si="122"/>
        <v>1789.56</v>
      </c>
      <c r="K525" s="80">
        <f t="shared" si="122"/>
        <v>0</v>
      </c>
      <c r="L525" s="339"/>
    </row>
    <row r="526" spans="1:12" ht="75" customHeight="1" x14ac:dyDescent="0.35">
      <c r="A526" s="371"/>
      <c r="B526" s="372"/>
      <c r="C526" s="372"/>
      <c r="D526" s="373"/>
      <c r="E526" s="315"/>
      <c r="F526" s="374"/>
      <c r="G526" s="251" t="s">
        <v>402</v>
      </c>
      <c r="H526" s="80">
        <f>H385</f>
        <v>59614.600000000006</v>
      </c>
      <c r="I526" s="80">
        <f>I385</f>
        <v>19723.3</v>
      </c>
      <c r="J526" s="80">
        <f>J385</f>
        <v>39891.300000000003</v>
      </c>
      <c r="K526" s="80">
        <f>K385</f>
        <v>0</v>
      </c>
      <c r="L526" s="364"/>
    </row>
    <row r="527" spans="1:12" s="188" customFormat="1" ht="75" customHeight="1" x14ac:dyDescent="0.8">
      <c r="A527" s="187"/>
      <c r="B527" s="188" t="s">
        <v>466</v>
      </c>
      <c r="C527" s="189"/>
      <c r="D527" s="190"/>
      <c r="E527" s="190"/>
      <c r="F527" s="187"/>
      <c r="G527" s="191"/>
      <c r="H527" s="191"/>
      <c r="I527" s="187" t="s">
        <v>467</v>
      </c>
      <c r="J527" s="191"/>
      <c r="K527" s="191"/>
      <c r="L527" s="192"/>
    </row>
    <row r="528" spans="1:12" s="188" customFormat="1" ht="75" customHeight="1" x14ac:dyDescent="0.8">
      <c r="A528" s="187"/>
      <c r="C528" s="189"/>
      <c r="D528" s="190"/>
      <c r="E528" s="190"/>
      <c r="F528" s="187"/>
      <c r="G528" s="191"/>
      <c r="H528" s="191"/>
      <c r="I528" s="187"/>
      <c r="J528" s="191"/>
      <c r="K528" s="191"/>
      <c r="L528" s="192"/>
    </row>
    <row r="529" spans="1:12" ht="75" customHeight="1" x14ac:dyDescent="1.05">
      <c r="A529" s="194" t="s">
        <v>487</v>
      </c>
      <c r="B529" s="193"/>
    </row>
    <row r="531" spans="1:12" s="73" customFormat="1" ht="75" customHeight="1" x14ac:dyDescent="0.6">
      <c r="C531" s="74"/>
      <c r="D531" s="75"/>
      <c r="F531" s="76"/>
      <c r="G531" s="76"/>
      <c r="H531" s="76"/>
      <c r="I531" s="77"/>
      <c r="J531" s="76"/>
      <c r="K531" s="102"/>
      <c r="L531" s="148"/>
    </row>
    <row r="532" spans="1:12" ht="75" customHeight="1" x14ac:dyDescent="0.5">
      <c r="A532" s="24"/>
      <c r="B532" s="24"/>
      <c r="C532" s="30"/>
      <c r="D532" s="25"/>
      <c r="E532" s="31"/>
      <c r="F532" s="26"/>
      <c r="G532" s="23"/>
      <c r="H532" s="26"/>
      <c r="I532" s="27"/>
      <c r="J532" s="26"/>
    </row>
    <row r="533" spans="1:12" ht="75" customHeight="1" x14ac:dyDescent="0.5">
      <c r="A533" s="24"/>
      <c r="B533" s="24"/>
      <c r="C533" s="30"/>
      <c r="D533" s="25"/>
      <c r="E533" s="31"/>
      <c r="F533" s="26"/>
      <c r="G533" s="23"/>
      <c r="H533" s="26"/>
      <c r="I533" s="27"/>
      <c r="J533" s="26"/>
    </row>
    <row r="534" spans="1:12" ht="75" customHeight="1" x14ac:dyDescent="0.5">
      <c r="A534" s="24"/>
      <c r="B534" s="24"/>
      <c r="C534" s="30"/>
      <c r="D534" s="25"/>
      <c r="E534" s="31"/>
      <c r="F534" s="26"/>
      <c r="G534" s="23"/>
      <c r="H534" s="26"/>
      <c r="I534" s="27"/>
      <c r="J534" s="26"/>
    </row>
    <row r="535" spans="1:12" ht="75" customHeight="1" x14ac:dyDescent="0.5">
      <c r="A535" s="78"/>
      <c r="B535" s="24"/>
      <c r="D535" s="25"/>
      <c r="E535" s="31"/>
      <c r="F535" s="26"/>
      <c r="G535" s="23"/>
      <c r="H535" s="26"/>
      <c r="I535" s="26"/>
      <c r="J535" s="26"/>
    </row>
  </sheetData>
  <autoFilter ref="A6:L527" xr:uid="{00000000-0009-0000-0000-000001000000}">
    <filterColumn colId="7" showButton="0"/>
    <filterColumn colId="8" showButton="0"/>
    <filterColumn colId="9" showButton="0"/>
  </autoFilter>
  <mergeCells count="302">
    <mergeCell ref="A136:D138"/>
    <mergeCell ref="E136:E138"/>
    <mergeCell ref="D178:G178"/>
    <mergeCell ref="D174:G174"/>
    <mergeCell ref="C178:C180"/>
    <mergeCell ref="E205:F207"/>
    <mergeCell ref="D251:G251"/>
    <mergeCell ref="G243:G248"/>
    <mergeCell ref="D250:G250"/>
    <mergeCell ref="A250:A284"/>
    <mergeCell ref="B250:B284"/>
    <mergeCell ref="C283:C284"/>
    <mergeCell ref="D283:D284"/>
    <mergeCell ref="E283:E284"/>
    <mergeCell ref="C225:C233"/>
    <mergeCell ref="A219:L219"/>
    <mergeCell ref="A201:F201"/>
    <mergeCell ref="G252:G259"/>
    <mergeCell ref="D225:G225"/>
    <mergeCell ref="L250:L282"/>
    <mergeCell ref="L237:L248"/>
    <mergeCell ref="A238:B238"/>
    <mergeCell ref="G264:G270"/>
    <mergeCell ref="D271:G271"/>
    <mergeCell ref="C250:C270"/>
    <mergeCell ref="A408:D408"/>
    <mergeCell ref="E295:E297"/>
    <mergeCell ref="B393:F393"/>
    <mergeCell ref="E398:E401"/>
    <mergeCell ref="G283:G284"/>
    <mergeCell ref="L234:L236"/>
    <mergeCell ref="C271:C281"/>
    <mergeCell ref="G273:G279"/>
    <mergeCell ref="G280:G281"/>
    <mergeCell ref="D263:G263"/>
    <mergeCell ref="A240:D248"/>
    <mergeCell ref="E240:E242"/>
    <mergeCell ref="F240:F248"/>
    <mergeCell ref="A249:L249"/>
    <mergeCell ref="A237:F237"/>
    <mergeCell ref="F329:F385"/>
    <mergeCell ref="E342:E346"/>
    <mergeCell ref="E309:E311"/>
    <mergeCell ref="D272:G272"/>
    <mergeCell ref="A235:F236"/>
    <mergeCell ref="A286:F290"/>
    <mergeCell ref="E291:E294"/>
    <mergeCell ref="A319:F328"/>
    <mergeCell ref="L225:L233"/>
    <mergeCell ref="L201:L218"/>
    <mergeCell ref="F136:F138"/>
    <mergeCell ref="L139:L171"/>
    <mergeCell ref="L136:L138"/>
    <mergeCell ref="D195:G195"/>
    <mergeCell ref="E156:E159"/>
    <mergeCell ref="A139:G139"/>
    <mergeCell ref="A202:B202"/>
    <mergeCell ref="E214:F214"/>
    <mergeCell ref="E215:F218"/>
    <mergeCell ref="G228:G233"/>
    <mergeCell ref="E208:F208"/>
    <mergeCell ref="G208:G214"/>
    <mergeCell ref="E210:F210"/>
    <mergeCell ref="F183:F186"/>
    <mergeCell ref="B222:D222"/>
    <mergeCell ref="E212:F212"/>
    <mergeCell ref="E213:F213"/>
    <mergeCell ref="A220:A221"/>
    <mergeCell ref="F228:F233"/>
    <mergeCell ref="E211:F211"/>
    <mergeCell ref="C182:C185"/>
    <mergeCell ref="D227:G227"/>
    <mergeCell ref="B224:B233"/>
    <mergeCell ref="A205:D218"/>
    <mergeCell ref="B220:B221"/>
    <mergeCell ref="E209:F209"/>
    <mergeCell ref="A224:A234"/>
    <mergeCell ref="B234:D234"/>
    <mergeCell ref="A174:A200"/>
    <mergeCell ref="G198:G200"/>
    <mergeCell ref="C191:C194"/>
    <mergeCell ref="D188:D189"/>
    <mergeCell ref="C187:C189"/>
    <mergeCell ref="D79:G79"/>
    <mergeCell ref="F69:F73"/>
    <mergeCell ref="G69:G73"/>
    <mergeCell ref="L45:L50"/>
    <mergeCell ref="F65:F67"/>
    <mergeCell ref="G46:G50"/>
    <mergeCell ref="L122:L127"/>
    <mergeCell ref="L191:L194"/>
    <mergeCell ref="D192:D194"/>
    <mergeCell ref="E192:E194"/>
    <mergeCell ref="G179:G180"/>
    <mergeCell ref="L187:L189"/>
    <mergeCell ref="L181:L186"/>
    <mergeCell ref="L178:L180"/>
    <mergeCell ref="G183:G186"/>
    <mergeCell ref="L132:L135"/>
    <mergeCell ref="F129:F131"/>
    <mergeCell ref="E163:E165"/>
    <mergeCell ref="E149:E151"/>
    <mergeCell ref="E152:E155"/>
    <mergeCell ref="D191:G191"/>
    <mergeCell ref="A129:D131"/>
    <mergeCell ref="C132:C134"/>
    <mergeCell ref="A140:F143"/>
    <mergeCell ref="F144:F172"/>
    <mergeCell ref="C174:C177"/>
    <mergeCell ref="F175:F177"/>
    <mergeCell ref="G175:G177"/>
    <mergeCell ref="E160:E162"/>
    <mergeCell ref="F188:F189"/>
    <mergeCell ref="A173:L173"/>
    <mergeCell ref="G188:G189"/>
    <mergeCell ref="D182:G182"/>
    <mergeCell ref="F179:F180"/>
    <mergeCell ref="D187:G187"/>
    <mergeCell ref="B174:B200"/>
    <mergeCell ref="F196:F200"/>
    <mergeCell ref="F192:F194"/>
    <mergeCell ref="E196:E197"/>
    <mergeCell ref="D196:D197"/>
    <mergeCell ref="E166:E168"/>
    <mergeCell ref="A144:D172"/>
    <mergeCell ref="L195:L200"/>
    <mergeCell ref="C195:C200"/>
    <mergeCell ref="E144:E148"/>
    <mergeCell ref="D132:G132"/>
    <mergeCell ref="E133:E134"/>
    <mergeCell ref="D133:D134"/>
    <mergeCell ref="A132:A135"/>
    <mergeCell ref="F133:F135"/>
    <mergeCell ref="A122:A127"/>
    <mergeCell ref="B132:B135"/>
    <mergeCell ref="C122:C124"/>
    <mergeCell ref="D122:G122"/>
    <mergeCell ref="F123:F128"/>
    <mergeCell ref="B122:B128"/>
    <mergeCell ref="E101:F105"/>
    <mergeCell ref="E52:E53"/>
    <mergeCell ref="D52:D53"/>
    <mergeCell ref="L129:L131"/>
    <mergeCell ref="E129:E131"/>
    <mergeCell ref="D61:G61"/>
    <mergeCell ref="L79:L83"/>
    <mergeCell ref="L85:L92"/>
    <mergeCell ref="D123:D124"/>
    <mergeCell ref="E123:E124"/>
    <mergeCell ref="E120:F120"/>
    <mergeCell ref="D85:E85"/>
    <mergeCell ref="F80:F92"/>
    <mergeCell ref="L64:L67"/>
    <mergeCell ref="L95:L115"/>
    <mergeCell ref="E109:F112"/>
    <mergeCell ref="E106:F108"/>
    <mergeCell ref="E113:F116"/>
    <mergeCell ref="A95:D121"/>
    <mergeCell ref="E121:F121"/>
    <mergeCell ref="E117:F119"/>
    <mergeCell ref="E95:F99"/>
    <mergeCell ref="E100:F100"/>
    <mergeCell ref="B29:B94"/>
    <mergeCell ref="A4:L4"/>
    <mergeCell ref="A6:A8"/>
    <mergeCell ref="B6:B8"/>
    <mergeCell ref="C6:C8"/>
    <mergeCell ref="D6:D8"/>
    <mergeCell ref="E6:E8"/>
    <mergeCell ref="F6:F8"/>
    <mergeCell ref="G6:G8"/>
    <mergeCell ref="H6:K6"/>
    <mergeCell ref="L6:L8"/>
    <mergeCell ref="H7:H8"/>
    <mergeCell ref="I7:K7"/>
    <mergeCell ref="A10:L10"/>
    <mergeCell ref="F12:F13"/>
    <mergeCell ref="G12:G13"/>
    <mergeCell ref="F18:F19"/>
    <mergeCell ref="G18:G19"/>
    <mergeCell ref="L11:L16"/>
    <mergeCell ref="L51:L57"/>
    <mergeCell ref="B11:B25"/>
    <mergeCell ref="C11:C13"/>
    <mergeCell ref="C14:C16"/>
    <mergeCell ref="C17:C19"/>
    <mergeCell ref="D11:G11"/>
    <mergeCell ref="D14:G14"/>
    <mergeCell ref="D17:G17"/>
    <mergeCell ref="G15:G16"/>
    <mergeCell ref="F15:F16"/>
    <mergeCell ref="F24:F25"/>
    <mergeCell ref="G24:G25"/>
    <mergeCell ref="D23:G23"/>
    <mergeCell ref="F21:F22"/>
    <mergeCell ref="G21:G22"/>
    <mergeCell ref="L26:L28"/>
    <mergeCell ref="G27:G28"/>
    <mergeCell ref="L17:L19"/>
    <mergeCell ref="D20:G20"/>
    <mergeCell ref="C20:C22"/>
    <mergeCell ref="A11:A25"/>
    <mergeCell ref="C23:C25"/>
    <mergeCell ref="A29:A94"/>
    <mergeCell ref="D51:G51"/>
    <mergeCell ref="F46:F50"/>
    <mergeCell ref="D68:G68"/>
    <mergeCell ref="A26:D28"/>
    <mergeCell ref="E26:G26"/>
    <mergeCell ref="F27:F28"/>
    <mergeCell ref="C61:C63"/>
    <mergeCell ref="C64:C67"/>
    <mergeCell ref="D62:D63"/>
    <mergeCell ref="D29:G29"/>
    <mergeCell ref="G40:G44"/>
    <mergeCell ref="D45:G45"/>
    <mergeCell ref="F52:F57"/>
    <mergeCell ref="G54:G57"/>
    <mergeCell ref="G65:G67"/>
    <mergeCell ref="C79:C83"/>
    <mergeCell ref="C68:C73"/>
    <mergeCell ref="G80:G82"/>
    <mergeCell ref="G84:G94"/>
    <mergeCell ref="L29:L44"/>
    <mergeCell ref="L68:L72"/>
    <mergeCell ref="L62:L63"/>
    <mergeCell ref="G36:G37"/>
    <mergeCell ref="G31:G35"/>
    <mergeCell ref="L427:L432"/>
    <mergeCell ref="L416:L426"/>
    <mergeCell ref="L404:L405"/>
    <mergeCell ref="A394:D403"/>
    <mergeCell ref="E402:E403"/>
    <mergeCell ref="C29:C44"/>
    <mergeCell ref="F62:F63"/>
    <mergeCell ref="D64:G64"/>
    <mergeCell ref="E62:E63"/>
    <mergeCell ref="C85:C89"/>
    <mergeCell ref="C45:C50"/>
    <mergeCell ref="C51:C57"/>
    <mergeCell ref="D40:E40"/>
    <mergeCell ref="G38:G39"/>
    <mergeCell ref="F31:F44"/>
    <mergeCell ref="L409:L413"/>
    <mergeCell ref="G410:G414"/>
    <mergeCell ref="B407:F407"/>
    <mergeCell ref="L407:L408"/>
    <mergeCell ref="G417:G426"/>
    <mergeCell ref="B416:E416"/>
    <mergeCell ref="A417:D426"/>
    <mergeCell ref="L398:L401"/>
    <mergeCell ref="L434:L526"/>
    <mergeCell ref="A451:D526"/>
    <mergeCell ref="F451:F526"/>
    <mergeCell ref="E462:E468"/>
    <mergeCell ref="E469:E475"/>
    <mergeCell ref="E497:E503"/>
    <mergeCell ref="E504:E509"/>
    <mergeCell ref="E510:E514"/>
    <mergeCell ref="E515:E517"/>
    <mergeCell ref="E520:E526"/>
    <mergeCell ref="A434:F434"/>
    <mergeCell ref="E476:E487"/>
    <mergeCell ref="E488:E496"/>
    <mergeCell ref="G428:G433"/>
    <mergeCell ref="A435:F450"/>
    <mergeCell ref="E451:E461"/>
    <mergeCell ref="A428:D433"/>
    <mergeCell ref="F428:F433"/>
    <mergeCell ref="E362:E366"/>
    <mergeCell ref="E367:E370"/>
    <mergeCell ref="E379:E385"/>
    <mergeCell ref="F388:F392"/>
    <mergeCell ref="E375:E376"/>
    <mergeCell ref="E337:E341"/>
    <mergeCell ref="E371:E374"/>
    <mergeCell ref="E347:E353"/>
    <mergeCell ref="E329:E336"/>
    <mergeCell ref="F252:F262"/>
    <mergeCell ref="E303:E308"/>
    <mergeCell ref="E354:E361"/>
    <mergeCell ref="F398:F401"/>
    <mergeCell ref="F264:F270"/>
    <mergeCell ref="E299:E302"/>
    <mergeCell ref="A411:D413"/>
    <mergeCell ref="A405:D405"/>
    <mergeCell ref="B409:F409"/>
    <mergeCell ref="A410:D410"/>
    <mergeCell ref="A291:D317"/>
    <mergeCell ref="E314:E317"/>
    <mergeCell ref="F291:F317"/>
    <mergeCell ref="B404:F404"/>
    <mergeCell ref="A386:L386"/>
    <mergeCell ref="B387:F387"/>
    <mergeCell ref="L387:L392"/>
    <mergeCell ref="A285:G285"/>
    <mergeCell ref="A318:F318"/>
    <mergeCell ref="G388:G392"/>
    <mergeCell ref="L318:L326"/>
    <mergeCell ref="L285:L316"/>
    <mergeCell ref="A329:D385"/>
    <mergeCell ref="A388:D392"/>
  </mergeCells>
  <pageMargins left="0.78740157480314965" right="0.19685039370078741" top="0.19685039370078741" bottom="0.19685039370078741" header="0.31496062992125984" footer="0.31496062992125984"/>
  <pageSetup paperSize="9" scale="31" fitToHeight="25" orientation="landscape" r:id="rId1"/>
  <rowBreaks count="24" manualBreakCount="24">
    <brk id="22" max="11" man="1"/>
    <brk id="37" max="11" man="1"/>
    <brk id="57" max="11" man="1"/>
    <brk id="71" max="11" man="1"/>
    <brk id="83" max="11" man="1"/>
    <brk id="102" max="11" man="1"/>
    <brk id="119" max="11" man="1"/>
    <brk id="137" max="11" man="1"/>
    <brk id="153" max="11" man="1"/>
    <brk id="171" max="11" man="1"/>
    <brk id="184" max="11" man="1"/>
    <brk id="197" max="11" man="1"/>
    <brk id="214" max="11" man="1"/>
    <brk id="228" max="11" man="1"/>
    <brk id="241" max="11" man="1"/>
    <brk id="260" max="11" man="1"/>
    <brk id="277" max="11" man="1"/>
    <brk id="289" max="11" man="1"/>
    <brk id="301" max="11" man="1"/>
    <brk id="312" max="11" man="1"/>
    <brk id="352" max="11" man="1"/>
    <brk id="364" max="11" man="1"/>
    <brk id="379" max="11" man="1"/>
    <brk id="394"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83"/>
  <sheetViews>
    <sheetView view="pageBreakPreview" zoomScale="40" zoomScaleNormal="61" zoomScaleSheetLayoutView="40" workbookViewId="0">
      <pane ySplit="10" topLeftCell="A369" activePane="bottomLeft" state="frozen"/>
      <selection pane="bottomLeft" activeCell="A382" sqref="A382"/>
    </sheetView>
  </sheetViews>
  <sheetFormatPr defaultColWidth="9.109375" defaultRowHeight="21" x14ac:dyDescent="0.4"/>
  <cols>
    <col min="1" max="1" width="87.109375" style="43" customWidth="1"/>
    <col min="2" max="2" width="23.44140625" style="43" customWidth="1"/>
    <col min="3" max="3" width="23.5546875" style="43" customWidth="1"/>
    <col min="4" max="4" width="20.5546875" style="43" customWidth="1"/>
    <col min="5" max="5" width="21.109375" style="43" customWidth="1"/>
    <col min="6" max="6" width="22.33203125" style="43" customWidth="1"/>
    <col min="7" max="7" width="19.6640625" style="43" customWidth="1"/>
    <col min="8" max="8" width="20.44140625" style="43" customWidth="1"/>
    <col min="9" max="9" width="19.109375" style="43" customWidth="1"/>
    <col min="10" max="10" width="21.109375" style="43" customWidth="1"/>
    <col min="11" max="11" width="20" style="43" customWidth="1"/>
    <col min="12" max="12" width="9.109375" style="43"/>
    <col min="13" max="13" width="20.5546875" style="43" bestFit="1" customWidth="1"/>
    <col min="14" max="14" width="18.6640625" style="43" customWidth="1"/>
    <col min="15" max="16384" width="9.109375" style="43"/>
  </cols>
  <sheetData>
    <row r="1" spans="1:14" ht="52.5" customHeight="1" x14ac:dyDescent="0.5">
      <c r="H1" s="71" t="s">
        <v>442</v>
      </c>
    </row>
    <row r="2" spans="1:14" ht="202.5" customHeight="1" x14ac:dyDescent="0.5">
      <c r="H2" s="564" t="s">
        <v>441</v>
      </c>
      <c r="I2" s="564"/>
      <c r="J2" s="564"/>
      <c r="K2" s="564"/>
    </row>
    <row r="3" spans="1:14" ht="54" customHeight="1" x14ac:dyDescent="0.5">
      <c r="A3" s="44"/>
      <c r="H3" s="568" t="s">
        <v>486</v>
      </c>
      <c r="I3" s="568"/>
      <c r="J3" s="568"/>
      <c r="K3" s="568"/>
    </row>
    <row r="4" spans="1:14" ht="43.5" customHeight="1" x14ac:dyDescent="0.5">
      <c r="H4" s="71"/>
      <c r="I4" s="71"/>
      <c r="J4" s="71"/>
      <c r="K4" s="72"/>
    </row>
    <row r="5" spans="1:14" ht="36" customHeight="1" x14ac:dyDescent="0.4">
      <c r="A5" s="569" t="s">
        <v>390</v>
      </c>
      <c r="B5" s="569"/>
      <c r="C5" s="569"/>
      <c r="D5" s="569"/>
      <c r="E5" s="569"/>
      <c r="F5" s="569"/>
      <c r="G5" s="569"/>
      <c r="H5" s="569"/>
      <c r="I5" s="569"/>
      <c r="J5" s="569"/>
      <c r="K5" s="569"/>
    </row>
    <row r="6" spans="1:14" ht="47.25" customHeight="1" x14ac:dyDescent="0.4">
      <c r="A6" s="45"/>
    </row>
    <row r="7" spans="1:14" x14ac:dyDescent="0.4">
      <c r="A7" s="570" t="s">
        <v>108</v>
      </c>
      <c r="B7" s="570" t="s">
        <v>88</v>
      </c>
      <c r="C7" s="570" t="s">
        <v>109</v>
      </c>
      <c r="D7" s="570"/>
      <c r="E7" s="570"/>
      <c r="F7" s="570" t="s">
        <v>404</v>
      </c>
      <c r="G7" s="570"/>
      <c r="H7" s="570"/>
      <c r="I7" s="570" t="s">
        <v>110</v>
      </c>
      <c r="J7" s="570"/>
      <c r="K7" s="570"/>
    </row>
    <row r="8" spans="1:14" x14ac:dyDescent="0.4">
      <c r="A8" s="570"/>
      <c r="B8" s="570"/>
      <c r="C8" s="570"/>
      <c r="D8" s="570"/>
      <c r="E8" s="570"/>
      <c r="F8" s="570"/>
      <c r="G8" s="570"/>
      <c r="H8" s="570"/>
      <c r="I8" s="570"/>
      <c r="J8" s="570"/>
      <c r="K8" s="570"/>
    </row>
    <row r="9" spans="1:14" x14ac:dyDescent="0.4">
      <c r="A9" s="570"/>
      <c r="B9" s="570"/>
      <c r="C9" s="571" t="s">
        <v>96</v>
      </c>
      <c r="D9" s="571" t="s">
        <v>111</v>
      </c>
      <c r="E9" s="571"/>
      <c r="F9" s="571" t="s">
        <v>96</v>
      </c>
      <c r="G9" s="571" t="s">
        <v>111</v>
      </c>
      <c r="H9" s="571"/>
      <c r="I9" s="571" t="s">
        <v>96</v>
      </c>
      <c r="J9" s="571" t="s">
        <v>111</v>
      </c>
      <c r="K9" s="571"/>
    </row>
    <row r="10" spans="1:14" ht="41.4" x14ac:dyDescent="0.4">
      <c r="A10" s="570"/>
      <c r="B10" s="570"/>
      <c r="C10" s="571"/>
      <c r="D10" s="216" t="s">
        <v>112</v>
      </c>
      <c r="E10" s="216" t="s">
        <v>113</v>
      </c>
      <c r="F10" s="571"/>
      <c r="G10" s="216" t="s">
        <v>112</v>
      </c>
      <c r="H10" s="216" t="s">
        <v>113</v>
      </c>
      <c r="I10" s="571"/>
      <c r="J10" s="216" t="s">
        <v>112</v>
      </c>
      <c r="K10" s="216" t="s">
        <v>113</v>
      </c>
    </row>
    <row r="11" spans="1:14" x14ac:dyDescent="0.4">
      <c r="A11" s="215">
        <v>1</v>
      </c>
      <c r="B11" s="46">
        <v>2</v>
      </c>
      <c r="C11" s="216">
        <v>3</v>
      </c>
      <c r="D11" s="216">
        <v>4</v>
      </c>
      <c r="E11" s="216">
        <v>5</v>
      </c>
      <c r="F11" s="216">
        <v>6</v>
      </c>
      <c r="G11" s="216">
        <v>7</v>
      </c>
      <c r="H11" s="216">
        <v>8</v>
      </c>
      <c r="I11" s="216">
        <v>9</v>
      </c>
      <c r="J11" s="216">
        <v>10</v>
      </c>
      <c r="K11" s="216">
        <v>11</v>
      </c>
    </row>
    <row r="12" spans="1:14" ht="44.4" x14ac:dyDescent="0.4">
      <c r="A12" s="47" t="s">
        <v>309</v>
      </c>
      <c r="B12" s="38">
        <f>B15+B210+B296+B338</f>
        <v>633288044.35000002</v>
      </c>
      <c r="C12" s="38">
        <f t="shared" ref="C12:K12" si="0">C15+C210+C296+C338</f>
        <v>291091831</v>
      </c>
      <c r="D12" s="38">
        <f t="shared" si="0"/>
        <v>188696142</v>
      </c>
      <c r="E12" s="38">
        <f t="shared" si="0"/>
        <v>102395689</v>
      </c>
      <c r="F12" s="38">
        <f t="shared" si="0"/>
        <v>249883233.59999999</v>
      </c>
      <c r="G12" s="38">
        <f>G15+G210+G296+G338</f>
        <v>98708243.599999994</v>
      </c>
      <c r="H12" s="38">
        <f t="shared" si="0"/>
        <v>151174990</v>
      </c>
      <c r="I12" s="38">
        <f t="shared" si="0"/>
        <v>92312979.75</v>
      </c>
      <c r="J12" s="38">
        <f t="shared" si="0"/>
        <v>67971479.75</v>
      </c>
      <c r="K12" s="38">
        <f t="shared" si="0"/>
        <v>24341500</v>
      </c>
    </row>
    <row r="13" spans="1:14" ht="45.75" customHeight="1" x14ac:dyDescent="0.4">
      <c r="A13" s="562" t="s">
        <v>147</v>
      </c>
      <c r="B13" s="562"/>
      <c r="C13" s="562"/>
      <c r="D13" s="562"/>
      <c r="E13" s="562"/>
      <c r="F13" s="562"/>
      <c r="G13" s="562"/>
      <c r="H13" s="562"/>
      <c r="I13" s="562"/>
      <c r="J13" s="562"/>
      <c r="K13" s="562"/>
    </row>
    <row r="14" spans="1:14" ht="22.8" x14ac:dyDescent="0.4">
      <c r="A14" s="561" t="s">
        <v>251</v>
      </c>
      <c r="B14" s="561"/>
      <c r="C14" s="561"/>
      <c r="D14" s="561"/>
      <c r="E14" s="561"/>
      <c r="F14" s="561"/>
      <c r="G14" s="561"/>
      <c r="H14" s="561"/>
      <c r="I14" s="561"/>
      <c r="J14" s="561"/>
      <c r="K14" s="561"/>
    </row>
    <row r="15" spans="1:14" ht="22.8" x14ac:dyDescent="0.4">
      <c r="A15" s="48" t="s">
        <v>286</v>
      </c>
      <c r="B15" s="38">
        <f>B19+B24+B29+B55+B60+B65+B70+B79+B94+B103+B111+B122+B129+B147+B159+B169+B193+B206+B136+B38+B176+B185+B198+B47+B141</f>
        <v>247519910</v>
      </c>
      <c r="C15" s="38">
        <f>C19+C24+C29+C55+C60+C65+C70+C79+C94+C103+C111+C122+C129+C147+C159+C169+C193+C206+C136+C38</f>
        <v>136386123</v>
      </c>
      <c r="D15" s="38">
        <f>D19+D24+D29+D55+D60+D65+D70+D79+D94+D103+D111+D122+D129+D147+D159+D169+D193+D206+D136</f>
        <v>136386123</v>
      </c>
      <c r="E15" s="38">
        <f>E19+E24+E29+E55+E60+E65+E70+E79+E94+E103+E111+E122+E129+E147+E159+E169+E193+E206+E136</f>
        <v>0</v>
      </c>
      <c r="F15" s="38">
        <f>F19+F24+F29+F55+F60+F65+F70+F79+F94+F103+F111+F122+F129+F147+F159+F169+F193+F206+F136+F38+F176+F185+F47+F198+F141</f>
        <v>65118760</v>
      </c>
      <c r="G15" s="38">
        <f>G19+G24+G29+G55+G60+G65+G70+G79+G94+G103+G111+G122+G129+G147+G159+G169+G193+G206+G141+G38+G176+G185+G47+G198+G136</f>
        <v>65118760</v>
      </c>
      <c r="H15" s="38">
        <f>H19+H24+H29+H55+H60+H65+H70+H79+H94+H103+H111+H122+H129+H147+H159+H169+H193+H206+H141+H38+H176+H185+H47+H198</f>
        <v>0</v>
      </c>
      <c r="I15" s="38">
        <f>I19+I24+I29+I55+I60+I65+I70+I79+I94+I103+I111+I122+I129+I147+I159+I169+I193+I206+I136+I38</f>
        <v>46015027</v>
      </c>
      <c r="J15" s="38">
        <f>J19+J24+J29+J55+J60+J65+J70+J79+J94+J103+J111+J122+J129+J147+J159+J169+J193+J206+J136+J38</f>
        <v>46015027</v>
      </c>
      <c r="K15" s="38">
        <f>K19+K24+K29+K55+K60+K65+K70+K79+K94+K103+K111+K122+K129+K147+K159+K169+K193+K206+K136</f>
        <v>0</v>
      </c>
      <c r="M15" s="43">
        <f>C15+F15+I15</f>
        <v>247519910</v>
      </c>
      <c r="N15" s="43">
        <f>M15-B15</f>
        <v>0</v>
      </c>
    </row>
    <row r="16" spans="1:14" ht="22.8" x14ac:dyDescent="0.4">
      <c r="A16" s="48" t="s">
        <v>116</v>
      </c>
      <c r="B16" s="565"/>
      <c r="C16" s="566"/>
      <c r="D16" s="566"/>
      <c r="E16" s="566"/>
      <c r="F16" s="566"/>
      <c r="G16" s="566"/>
      <c r="H16" s="566"/>
      <c r="I16" s="566"/>
      <c r="J16" s="566"/>
      <c r="K16" s="567"/>
    </row>
    <row r="17" spans="1:11" ht="22.8" x14ac:dyDescent="0.4">
      <c r="A17" s="49" t="s">
        <v>114</v>
      </c>
      <c r="B17" s="563" t="s">
        <v>269</v>
      </c>
      <c r="C17" s="563"/>
      <c r="D17" s="563"/>
      <c r="E17" s="563"/>
      <c r="F17" s="563"/>
      <c r="G17" s="563"/>
      <c r="H17" s="563"/>
      <c r="I17" s="563"/>
      <c r="J17" s="563"/>
      <c r="K17" s="563"/>
    </row>
    <row r="18" spans="1:11" ht="20.25" customHeight="1" x14ac:dyDescent="0.4">
      <c r="A18" s="149" t="s">
        <v>156</v>
      </c>
      <c r="B18" s="558" t="s">
        <v>157</v>
      </c>
      <c r="C18" s="559"/>
      <c r="D18" s="559"/>
      <c r="E18" s="559"/>
      <c r="F18" s="559"/>
      <c r="G18" s="559"/>
      <c r="H18" s="559"/>
      <c r="I18" s="559"/>
      <c r="J18" s="559"/>
      <c r="K18" s="560"/>
    </row>
    <row r="19" spans="1:11" ht="22.8" x14ac:dyDescent="0.4">
      <c r="A19" s="213" t="s">
        <v>119</v>
      </c>
      <c r="B19" s="38">
        <f>C19+F19+I19</f>
        <v>342000</v>
      </c>
      <c r="C19" s="39">
        <f>D19+E19</f>
        <v>240000</v>
      </c>
      <c r="D19" s="39">
        <f>'Додаток 3'!I11*1000</f>
        <v>240000</v>
      </c>
      <c r="E19" s="39">
        <v>0</v>
      </c>
      <c r="F19" s="39">
        <f>G19+H19</f>
        <v>102000</v>
      </c>
      <c r="G19" s="39">
        <f>'Додаток 3'!J11*1000</f>
        <v>102000</v>
      </c>
      <c r="H19" s="39">
        <v>0</v>
      </c>
      <c r="I19" s="39">
        <f>J19+K19</f>
        <v>0</v>
      </c>
      <c r="J19" s="39">
        <v>0</v>
      </c>
      <c r="K19" s="39">
        <v>0</v>
      </c>
    </row>
    <row r="20" spans="1:11" ht="22.8" x14ac:dyDescent="0.4">
      <c r="A20" s="213" t="s">
        <v>346</v>
      </c>
      <c r="B20" s="38"/>
      <c r="C20" s="40">
        <v>2</v>
      </c>
      <c r="D20" s="40">
        <v>2</v>
      </c>
      <c r="E20" s="39"/>
      <c r="F20" s="40">
        <v>2</v>
      </c>
      <c r="G20" s="40">
        <v>2</v>
      </c>
      <c r="H20" s="40"/>
      <c r="I20" s="40"/>
      <c r="J20" s="39"/>
      <c r="K20" s="39"/>
    </row>
    <row r="21" spans="1:11" ht="45.6" x14ac:dyDescent="0.4">
      <c r="A21" s="213" t="s">
        <v>347</v>
      </c>
      <c r="B21" s="42"/>
      <c r="C21" s="40">
        <f>C19/C20</f>
        <v>120000</v>
      </c>
      <c r="D21" s="40">
        <f>D19/D20</f>
        <v>120000</v>
      </c>
      <c r="E21" s="40"/>
      <c r="F21" s="40">
        <f>F19/F20</f>
        <v>51000</v>
      </c>
      <c r="G21" s="40">
        <f>G19/G20</f>
        <v>51000</v>
      </c>
      <c r="H21" s="40"/>
      <c r="I21" s="40"/>
      <c r="J21" s="40"/>
      <c r="K21" s="39"/>
    </row>
    <row r="22" spans="1:11" ht="22.8" x14ac:dyDescent="0.4">
      <c r="A22" s="49" t="s">
        <v>114</v>
      </c>
      <c r="B22" s="563" t="s">
        <v>464</v>
      </c>
      <c r="C22" s="563"/>
      <c r="D22" s="563"/>
      <c r="E22" s="563"/>
      <c r="F22" s="563"/>
      <c r="G22" s="563"/>
      <c r="H22" s="563"/>
      <c r="I22" s="563"/>
      <c r="J22" s="563"/>
      <c r="K22" s="563"/>
    </row>
    <row r="23" spans="1:11" ht="20.25" customHeight="1" x14ac:dyDescent="0.4">
      <c r="A23" s="149" t="s">
        <v>156</v>
      </c>
      <c r="B23" s="558" t="s">
        <v>157</v>
      </c>
      <c r="C23" s="559"/>
      <c r="D23" s="559"/>
      <c r="E23" s="559"/>
      <c r="F23" s="559"/>
      <c r="G23" s="559"/>
      <c r="H23" s="559"/>
      <c r="I23" s="559"/>
      <c r="J23" s="559"/>
      <c r="K23" s="560"/>
    </row>
    <row r="24" spans="1:11" ht="22.8" x14ac:dyDescent="0.4">
      <c r="A24" s="213" t="s">
        <v>119</v>
      </c>
      <c r="B24" s="38">
        <f>C24+F24+I24</f>
        <v>7931250</v>
      </c>
      <c r="C24" s="39">
        <f>D24+E24</f>
        <v>1577810</v>
      </c>
      <c r="D24" s="39">
        <f>'Додаток 3'!I14*1000</f>
        <v>1577810</v>
      </c>
      <c r="E24" s="39">
        <v>0</v>
      </c>
      <c r="F24" s="39">
        <f>G24+H24</f>
        <v>3529540</v>
      </c>
      <c r="G24" s="39">
        <f>'Додаток 3'!J14*1000</f>
        <v>3529540</v>
      </c>
      <c r="H24" s="39">
        <v>0</v>
      </c>
      <c r="I24" s="39">
        <f>J24+K24</f>
        <v>2823899.9999999995</v>
      </c>
      <c r="J24" s="39">
        <f>'Додаток 3'!K14*1000</f>
        <v>2823899.9999999995</v>
      </c>
      <c r="K24" s="39">
        <v>0</v>
      </c>
    </row>
    <row r="25" spans="1:11" ht="22.8" x14ac:dyDescent="0.4">
      <c r="A25" s="213" t="s">
        <v>346</v>
      </c>
      <c r="B25" s="38"/>
      <c r="C25" s="40">
        <v>2</v>
      </c>
      <c r="D25" s="40">
        <v>2</v>
      </c>
      <c r="E25" s="39"/>
      <c r="F25" s="40">
        <v>2</v>
      </c>
      <c r="G25" s="40">
        <v>2</v>
      </c>
      <c r="H25" s="40"/>
      <c r="I25" s="40">
        <v>2</v>
      </c>
      <c r="J25" s="40">
        <v>2</v>
      </c>
      <c r="K25" s="39"/>
    </row>
    <row r="26" spans="1:11" ht="45.6" x14ac:dyDescent="0.4">
      <c r="A26" s="213" t="s">
        <v>347</v>
      </c>
      <c r="B26" s="42"/>
      <c r="C26" s="40">
        <f>C24/C25</f>
        <v>788905</v>
      </c>
      <c r="D26" s="40">
        <f>D24/D25</f>
        <v>788905</v>
      </c>
      <c r="E26" s="40"/>
      <c r="F26" s="40">
        <f>F24/F25</f>
        <v>1764770</v>
      </c>
      <c r="G26" s="40">
        <f>G24/G25</f>
        <v>1764770</v>
      </c>
      <c r="H26" s="40"/>
      <c r="I26" s="40">
        <f>I24/I25</f>
        <v>1411949.9999999998</v>
      </c>
      <c r="J26" s="40">
        <f>J24/J25</f>
        <v>1411949.9999999998</v>
      </c>
      <c r="K26" s="39"/>
    </row>
    <row r="27" spans="1:11" ht="22.8" x14ac:dyDescent="0.4">
      <c r="A27" s="49" t="s">
        <v>114</v>
      </c>
      <c r="B27" s="563" t="s">
        <v>363</v>
      </c>
      <c r="C27" s="563"/>
      <c r="D27" s="563"/>
      <c r="E27" s="563"/>
      <c r="F27" s="563"/>
      <c r="G27" s="563"/>
      <c r="H27" s="563"/>
      <c r="I27" s="563"/>
      <c r="J27" s="563"/>
      <c r="K27" s="563"/>
    </row>
    <row r="28" spans="1:11" ht="22.5" customHeight="1" x14ac:dyDescent="0.4">
      <c r="A28" s="149" t="s">
        <v>145</v>
      </c>
      <c r="B28" s="562" t="s">
        <v>391</v>
      </c>
      <c r="C28" s="562"/>
      <c r="D28" s="562"/>
      <c r="E28" s="562"/>
      <c r="F28" s="562"/>
      <c r="G28" s="562"/>
      <c r="H28" s="562"/>
      <c r="I28" s="562"/>
      <c r="J28" s="562"/>
      <c r="K28" s="562"/>
    </row>
    <row r="29" spans="1:11" ht="22.8" x14ac:dyDescent="0.4">
      <c r="A29" s="213" t="s">
        <v>119</v>
      </c>
      <c r="B29" s="39">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2.8" x14ac:dyDescent="0.4">
      <c r="A30" s="213" t="s">
        <v>271</v>
      </c>
      <c r="B30" s="39"/>
      <c r="C30" s="40"/>
      <c r="D30" s="39"/>
      <c r="E30" s="39"/>
      <c r="F30" s="40"/>
      <c r="G30" s="40"/>
      <c r="H30" s="40"/>
      <c r="I30" s="40"/>
      <c r="J30" s="39"/>
      <c r="K30" s="39"/>
    </row>
    <row r="31" spans="1:11" ht="26.25" customHeight="1" x14ac:dyDescent="0.4">
      <c r="A31" s="50" t="s">
        <v>272</v>
      </c>
      <c r="B31" s="39"/>
      <c r="C31" s="40">
        <v>30486</v>
      </c>
      <c r="D31" s="40">
        <v>30486</v>
      </c>
      <c r="E31" s="39"/>
      <c r="F31" s="40">
        <v>36796</v>
      </c>
      <c r="G31" s="40">
        <v>36796</v>
      </c>
      <c r="H31" s="40"/>
      <c r="I31" s="40">
        <v>42186</v>
      </c>
      <c r="J31" s="40">
        <v>42186</v>
      </c>
      <c r="K31" s="39"/>
    </row>
    <row r="32" spans="1:11" ht="22.8" x14ac:dyDescent="0.4">
      <c r="A32" s="50" t="s">
        <v>273</v>
      </c>
      <c r="B32" s="39"/>
      <c r="C32" s="40">
        <v>30486</v>
      </c>
      <c r="D32" s="40">
        <v>30486</v>
      </c>
      <c r="E32" s="39"/>
      <c r="F32" s="40">
        <v>36796</v>
      </c>
      <c r="G32" s="40">
        <v>36796</v>
      </c>
      <c r="H32" s="40"/>
      <c r="I32" s="40">
        <v>42186</v>
      </c>
      <c r="J32" s="40">
        <v>42186</v>
      </c>
      <c r="K32" s="39"/>
    </row>
    <row r="33" spans="1:11" ht="22.8" x14ac:dyDescent="0.4">
      <c r="A33" s="213" t="s">
        <v>270</v>
      </c>
      <c r="B33" s="39"/>
      <c r="C33" s="40"/>
      <c r="D33" s="40"/>
      <c r="E33" s="40"/>
      <c r="F33" s="40"/>
      <c r="G33" s="40"/>
      <c r="H33" s="40"/>
      <c r="I33" s="40"/>
      <c r="J33" s="40"/>
      <c r="K33" s="39"/>
    </row>
    <row r="34" spans="1:11" ht="22.8" x14ac:dyDescent="0.4">
      <c r="A34" s="50" t="s">
        <v>274</v>
      </c>
      <c r="B34" s="39"/>
      <c r="C34" s="40">
        <v>30.73</v>
      </c>
      <c r="D34" s="40">
        <v>30.73</v>
      </c>
      <c r="E34" s="40"/>
      <c r="F34" s="40">
        <v>31.78</v>
      </c>
      <c r="G34" s="40">
        <v>31.78</v>
      </c>
      <c r="H34" s="40"/>
      <c r="I34" s="40">
        <f>J29/I31</f>
        <v>29.488455885838903</v>
      </c>
      <c r="J34" s="40">
        <f>K29/J31</f>
        <v>0</v>
      </c>
      <c r="K34" s="39"/>
    </row>
    <row r="35" spans="1:11" ht="23.25" customHeight="1" x14ac:dyDescent="0.4">
      <c r="A35" s="50" t="s">
        <v>177</v>
      </c>
      <c r="B35" s="40"/>
      <c r="C35" s="40">
        <f>C32/C31*100</f>
        <v>100</v>
      </c>
      <c r="D35" s="40">
        <f>D32/D31*100</f>
        <v>100</v>
      </c>
      <c r="E35" s="40"/>
      <c r="F35" s="40">
        <f>F32/F31*100</f>
        <v>100</v>
      </c>
      <c r="G35" s="40">
        <f>G32/G31*100</f>
        <v>100</v>
      </c>
      <c r="H35" s="40"/>
      <c r="I35" s="40">
        <f>I32/I31*100</f>
        <v>100</v>
      </c>
      <c r="J35" s="40">
        <f>J32/J31*100</f>
        <v>100</v>
      </c>
      <c r="K35" s="39"/>
    </row>
    <row r="36" spans="1:11" ht="23.25" customHeight="1" x14ac:dyDescent="0.4">
      <c r="A36" s="157" t="s">
        <v>405</v>
      </c>
      <c r="B36" s="555" t="s">
        <v>406</v>
      </c>
      <c r="C36" s="556"/>
      <c r="D36" s="556"/>
      <c r="E36" s="556"/>
      <c r="F36" s="556"/>
      <c r="G36" s="556"/>
      <c r="H36" s="556"/>
      <c r="I36" s="556"/>
      <c r="J36" s="556"/>
      <c r="K36" s="557"/>
    </row>
    <row r="37" spans="1:11" ht="23.25" customHeight="1" x14ac:dyDescent="0.4">
      <c r="A37" s="149" t="s">
        <v>145</v>
      </c>
      <c r="B37" s="562" t="s">
        <v>391</v>
      </c>
      <c r="C37" s="562"/>
      <c r="D37" s="562"/>
      <c r="E37" s="562"/>
      <c r="F37" s="562"/>
      <c r="G37" s="562"/>
      <c r="H37" s="562"/>
      <c r="I37" s="562"/>
      <c r="J37" s="562"/>
      <c r="K37" s="562"/>
    </row>
    <row r="38" spans="1:11" ht="23.25" customHeight="1" x14ac:dyDescent="0.4">
      <c r="A38" s="213" t="s">
        <v>119</v>
      </c>
      <c r="B38" s="40">
        <f>C38+F38+I38</f>
        <v>1522000</v>
      </c>
      <c r="C38" s="40">
        <f>D38+E38</f>
        <v>0</v>
      </c>
      <c r="D38" s="40"/>
      <c r="E38" s="40">
        <v>0</v>
      </c>
      <c r="F38" s="40">
        <f>G38+H38</f>
        <v>813800.00000000012</v>
      </c>
      <c r="G38" s="58">
        <f>'Додаток 3'!J20*1000</f>
        <v>813800.00000000012</v>
      </c>
      <c r="H38" s="40">
        <v>0</v>
      </c>
      <c r="I38" s="40">
        <f>J38+K38</f>
        <v>708200</v>
      </c>
      <c r="J38" s="58">
        <f>'Додаток 3'!K20*1000</f>
        <v>708200</v>
      </c>
      <c r="K38" s="39">
        <v>0</v>
      </c>
    </row>
    <row r="39" spans="1:11" ht="23.25" customHeight="1" x14ac:dyDescent="0.4">
      <c r="A39" s="213" t="s">
        <v>271</v>
      </c>
      <c r="B39" s="40"/>
      <c r="C39" s="40"/>
      <c r="D39" s="40"/>
      <c r="E39" s="40"/>
      <c r="F39" s="58"/>
      <c r="G39" s="58"/>
      <c r="H39" s="40"/>
      <c r="I39" s="58"/>
      <c r="J39" s="58"/>
      <c r="K39" s="39"/>
    </row>
    <row r="40" spans="1:11" ht="44.25" customHeight="1" x14ac:dyDescent="0.4">
      <c r="A40" s="165" t="s">
        <v>407</v>
      </c>
      <c r="B40" s="40"/>
      <c r="C40" s="40"/>
      <c r="D40" s="40"/>
      <c r="E40" s="40"/>
      <c r="F40" s="58">
        <v>4</v>
      </c>
      <c r="G40" s="58">
        <v>4</v>
      </c>
      <c r="H40" s="40"/>
      <c r="I40" s="58">
        <v>4</v>
      </c>
      <c r="J40" s="58">
        <v>4</v>
      </c>
      <c r="K40" s="39"/>
    </row>
    <row r="41" spans="1:11" ht="56.25" customHeight="1" x14ac:dyDescent="0.4">
      <c r="A41" s="165" t="s">
        <v>408</v>
      </c>
      <c r="B41" s="40"/>
      <c r="C41" s="40"/>
      <c r="D41" s="40"/>
      <c r="E41" s="40"/>
      <c r="F41" s="58">
        <v>26</v>
      </c>
      <c r="G41" s="58">
        <v>26</v>
      </c>
      <c r="H41" s="40"/>
      <c r="I41" s="58">
        <v>26</v>
      </c>
      <c r="J41" s="58">
        <v>26</v>
      </c>
      <c r="K41" s="39"/>
    </row>
    <row r="42" spans="1:11" ht="23.25" customHeight="1" x14ac:dyDescent="0.4">
      <c r="A42" s="213" t="s">
        <v>270</v>
      </c>
      <c r="B42" s="40"/>
      <c r="C42" s="40"/>
      <c r="D42" s="40"/>
      <c r="E42" s="40"/>
      <c r="F42" s="58"/>
      <c r="G42" s="58"/>
      <c r="H42" s="40"/>
      <c r="I42" s="58"/>
      <c r="J42" s="58"/>
      <c r="K42" s="39"/>
    </row>
    <row r="43" spans="1:11" ht="23.25" customHeight="1" x14ac:dyDescent="0.4">
      <c r="A43" s="170" t="s">
        <v>409</v>
      </c>
      <c r="B43" s="40"/>
      <c r="C43" s="40"/>
      <c r="D43" s="40"/>
      <c r="E43" s="40"/>
      <c r="F43" s="166">
        <v>142500</v>
      </c>
      <c r="G43" s="58">
        <v>142500</v>
      </c>
      <c r="H43" s="40"/>
      <c r="I43" s="58">
        <v>116000</v>
      </c>
      <c r="J43" s="58">
        <v>116000</v>
      </c>
      <c r="K43" s="39"/>
    </row>
    <row r="44" spans="1:11" ht="23.25" customHeight="1" x14ac:dyDescent="0.4">
      <c r="A44" s="170" t="s">
        <v>410</v>
      </c>
      <c r="B44" s="40"/>
      <c r="C44" s="40"/>
      <c r="D44" s="40"/>
      <c r="E44" s="40"/>
      <c r="F44" s="58">
        <v>7838.4615384615381</v>
      </c>
      <c r="G44" s="58">
        <v>7838</v>
      </c>
      <c r="H44" s="40"/>
      <c r="I44" s="58">
        <v>7838.4615384615381</v>
      </c>
      <c r="J44" s="58">
        <v>7838</v>
      </c>
      <c r="K44" s="39"/>
    </row>
    <row r="45" spans="1:11" ht="23.25" customHeight="1" x14ac:dyDescent="0.4">
      <c r="A45" s="157" t="s">
        <v>405</v>
      </c>
      <c r="B45" s="555" t="s">
        <v>425</v>
      </c>
      <c r="C45" s="556"/>
      <c r="D45" s="556"/>
      <c r="E45" s="556"/>
      <c r="F45" s="556"/>
      <c r="G45" s="556"/>
      <c r="H45" s="556"/>
      <c r="I45" s="556"/>
      <c r="J45" s="556"/>
      <c r="K45" s="557"/>
    </row>
    <row r="46" spans="1:11" ht="23.25" customHeight="1" x14ac:dyDescent="0.4">
      <c r="A46" s="149" t="s">
        <v>156</v>
      </c>
      <c r="B46" s="558" t="s">
        <v>157</v>
      </c>
      <c r="C46" s="559"/>
      <c r="D46" s="559"/>
      <c r="E46" s="559"/>
      <c r="F46" s="559"/>
      <c r="G46" s="559"/>
      <c r="H46" s="559"/>
      <c r="I46" s="559"/>
      <c r="J46" s="559"/>
      <c r="K46" s="560"/>
    </row>
    <row r="47" spans="1:11" ht="23.25" customHeight="1" x14ac:dyDescent="0.4">
      <c r="A47" s="213" t="s">
        <v>119</v>
      </c>
      <c r="B47" s="160">
        <f>C47+F47+I47</f>
        <v>101300</v>
      </c>
      <c r="C47" s="160">
        <f>D47</f>
        <v>0</v>
      </c>
      <c r="D47" s="160"/>
      <c r="E47" s="160"/>
      <c r="F47" s="160">
        <f>G47</f>
        <v>101300</v>
      </c>
      <c r="G47" s="160">
        <f>'Додаток 3'!J23*1000</f>
        <v>101300</v>
      </c>
      <c r="H47" s="160"/>
      <c r="I47" s="160">
        <f>J47</f>
        <v>0</v>
      </c>
      <c r="J47" s="160"/>
      <c r="K47" s="214"/>
    </row>
    <row r="48" spans="1:11" ht="23.25" customHeight="1" x14ac:dyDescent="0.4">
      <c r="A48" s="167" t="s">
        <v>121</v>
      </c>
      <c r="B48" s="160"/>
      <c r="C48" s="40"/>
      <c r="D48" s="40"/>
      <c r="E48" s="40"/>
      <c r="F48" s="160"/>
      <c r="G48" s="58"/>
      <c r="H48" s="40"/>
      <c r="I48" s="58"/>
      <c r="J48" s="58"/>
      <c r="K48" s="39"/>
    </row>
    <row r="49" spans="1:11" ht="23.25" customHeight="1" x14ac:dyDescent="0.45">
      <c r="A49" s="172" t="s">
        <v>427</v>
      </c>
      <c r="B49" s="160"/>
      <c r="C49" s="40"/>
      <c r="D49" s="40"/>
      <c r="E49" s="40"/>
      <c r="F49" s="160">
        <f t="shared" ref="F49:F52" si="1">G49</f>
        <v>5064</v>
      </c>
      <c r="G49" s="174">
        <v>5064</v>
      </c>
      <c r="H49" s="40"/>
      <c r="I49" s="58"/>
      <c r="J49" s="58"/>
      <c r="K49" s="39"/>
    </row>
    <row r="50" spans="1:11" ht="23.25" customHeight="1" x14ac:dyDescent="0.45">
      <c r="A50" s="172" t="s">
        <v>415</v>
      </c>
      <c r="B50" s="160"/>
      <c r="C50" s="40"/>
      <c r="D50" s="40"/>
      <c r="E50" s="40"/>
      <c r="F50" s="160">
        <f t="shared" si="1"/>
        <v>1688</v>
      </c>
      <c r="G50" s="171">
        <v>1688</v>
      </c>
      <c r="H50" s="40"/>
      <c r="I50" s="58"/>
      <c r="J50" s="58"/>
      <c r="K50" s="39"/>
    </row>
    <row r="51" spans="1:11" ht="23.25" customHeight="1" x14ac:dyDescent="0.4">
      <c r="A51" s="167" t="s">
        <v>122</v>
      </c>
      <c r="B51" s="160"/>
      <c r="C51" s="40"/>
      <c r="D51" s="40"/>
      <c r="E51" s="40"/>
      <c r="F51" s="160"/>
      <c r="G51" s="58"/>
      <c r="H51" s="40"/>
      <c r="I51" s="58"/>
      <c r="J51" s="58"/>
      <c r="K51" s="39"/>
    </row>
    <row r="52" spans="1:11" ht="23.25" customHeight="1" x14ac:dyDescent="0.4">
      <c r="A52" s="175" t="s">
        <v>416</v>
      </c>
      <c r="B52" s="160"/>
      <c r="C52" s="40"/>
      <c r="D52" s="40"/>
      <c r="E52" s="40"/>
      <c r="F52" s="160">
        <f t="shared" si="1"/>
        <v>60.011848341232231</v>
      </c>
      <c r="G52" s="58">
        <f>G47/G50</f>
        <v>60.011848341232231</v>
      </c>
      <c r="H52" s="40"/>
      <c r="I52" s="58"/>
      <c r="J52" s="58"/>
      <c r="K52" s="39"/>
    </row>
    <row r="53" spans="1:11" ht="22.8" x14ac:dyDescent="0.4">
      <c r="A53" s="49" t="s">
        <v>114</v>
      </c>
      <c r="B53" s="563" t="s">
        <v>275</v>
      </c>
      <c r="C53" s="563"/>
      <c r="D53" s="563"/>
      <c r="E53" s="563"/>
      <c r="F53" s="563"/>
      <c r="G53" s="563"/>
      <c r="H53" s="563"/>
      <c r="I53" s="563"/>
      <c r="J53" s="563"/>
      <c r="K53" s="563"/>
    </row>
    <row r="54" spans="1:11" ht="22.8" x14ac:dyDescent="0.4">
      <c r="A54" s="149" t="s">
        <v>117</v>
      </c>
      <c r="B54" s="562" t="s">
        <v>118</v>
      </c>
      <c r="C54" s="562"/>
      <c r="D54" s="562"/>
      <c r="E54" s="562"/>
      <c r="F54" s="562"/>
      <c r="G54" s="562"/>
      <c r="H54" s="562"/>
      <c r="I54" s="562"/>
      <c r="J54" s="562"/>
      <c r="K54" s="562"/>
    </row>
    <row r="55" spans="1:11" ht="22.8" x14ac:dyDescent="0.4">
      <c r="A55" s="213" t="s">
        <v>119</v>
      </c>
      <c r="B55" s="38">
        <f>C55+F55+I55</f>
        <v>79676230</v>
      </c>
      <c r="C55" s="39">
        <f>D55+E55</f>
        <v>72386530</v>
      </c>
      <c r="D55" s="39">
        <f>'Додаток 3'!I29*1000</f>
        <v>72386530</v>
      </c>
      <c r="E55" s="39">
        <v>0</v>
      </c>
      <c r="F55" s="39">
        <f>G55+H55</f>
        <v>7289700</v>
      </c>
      <c r="G55" s="39">
        <f>'Додаток 3'!J29*1000</f>
        <v>7289700</v>
      </c>
      <c r="H55" s="39">
        <v>0</v>
      </c>
      <c r="I55" s="39">
        <v>0</v>
      </c>
      <c r="J55" s="39">
        <v>0</v>
      </c>
      <c r="K55" s="39">
        <v>0</v>
      </c>
    </row>
    <row r="56" spans="1:11" ht="22.8" x14ac:dyDescent="0.4">
      <c r="A56" s="213" t="s">
        <v>346</v>
      </c>
      <c r="B56" s="38"/>
      <c r="C56" s="40">
        <v>4</v>
      </c>
      <c r="D56" s="40">
        <v>4</v>
      </c>
      <c r="E56" s="39"/>
      <c r="F56" s="40">
        <v>4</v>
      </c>
      <c r="G56" s="40">
        <v>4</v>
      </c>
      <c r="H56" s="40"/>
      <c r="I56" s="40"/>
      <c r="J56" s="39"/>
      <c r="K56" s="39"/>
    </row>
    <row r="57" spans="1:11" ht="45.6" x14ac:dyDescent="0.4">
      <c r="A57" s="213" t="s">
        <v>347</v>
      </c>
      <c r="B57" s="42"/>
      <c r="C57" s="40">
        <f>C55/C56</f>
        <v>18096632.5</v>
      </c>
      <c r="D57" s="40">
        <f>D55/D56</f>
        <v>18096632.5</v>
      </c>
      <c r="E57" s="40"/>
      <c r="F57" s="40">
        <f>F55/F56</f>
        <v>1822425</v>
      </c>
      <c r="G57" s="40">
        <f>G55/G56</f>
        <v>1822425</v>
      </c>
      <c r="H57" s="40"/>
      <c r="I57" s="40"/>
      <c r="J57" s="40"/>
      <c r="K57" s="39"/>
    </row>
    <row r="58" spans="1:11" ht="22.8" x14ac:dyDescent="0.4">
      <c r="A58" s="49" t="s">
        <v>114</v>
      </c>
      <c r="B58" s="563" t="s">
        <v>276</v>
      </c>
      <c r="C58" s="563"/>
      <c r="D58" s="563"/>
      <c r="E58" s="563"/>
      <c r="F58" s="563"/>
      <c r="G58" s="563"/>
      <c r="H58" s="563"/>
      <c r="I58" s="563"/>
      <c r="J58" s="563"/>
      <c r="K58" s="563"/>
    </row>
    <row r="59" spans="1:11" ht="22.8" x14ac:dyDescent="0.4">
      <c r="A59" s="149" t="s">
        <v>117</v>
      </c>
      <c r="B59" s="562" t="s">
        <v>118</v>
      </c>
      <c r="C59" s="562"/>
      <c r="D59" s="562"/>
      <c r="E59" s="562"/>
      <c r="F59" s="562"/>
      <c r="G59" s="562"/>
      <c r="H59" s="562"/>
      <c r="I59" s="562"/>
      <c r="J59" s="562"/>
      <c r="K59" s="562"/>
    </row>
    <row r="60" spans="1:11" ht="22.8" x14ac:dyDescent="0.4">
      <c r="A60" s="213" t="s">
        <v>119</v>
      </c>
      <c r="B60" s="38">
        <f>C60+F60+I60</f>
        <v>65576702</v>
      </c>
      <c r="C60" s="39">
        <f>D60+E60</f>
        <v>18275899.999999996</v>
      </c>
      <c r="D60" s="39">
        <f>'Додаток 3'!I45*1000</f>
        <v>18275899.999999996</v>
      </c>
      <c r="E60" s="39">
        <v>0</v>
      </c>
      <c r="F60" s="39">
        <f>G60+H60</f>
        <v>28310670</v>
      </c>
      <c r="G60" s="39">
        <f>'Додаток 3'!J45*1000</f>
        <v>28310670</v>
      </c>
      <c r="H60" s="39">
        <v>0</v>
      </c>
      <c r="I60" s="39">
        <f>J60</f>
        <v>18990131.999999996</v>
      </c>
      <c r="J60" s="39">
        <f>'Додаток 3'!K45*1000</f>
        <v>18990131.999999996</v>
      </c>
      <c r="K60" s="39">
        <v>0</v>
      </c>
    </row>
    <row r="61" spans="1:11" ht="22.8" x14ac:dyDescent="0.4">
      <c r="A61" s="213" t="s">
        <v>346</v>
      </c>
      <c r="B61" s="38"/>
      <c r="C61" s="40">
        <v>4</v>
      </c>
      <c r="D61" s="40">
        <v>4</v>
      </c>
      <c r="E61" s="39"/>
      <c r="F61" s="40">
        <v>4</v>
      </c>
      <c r="G61" s="40">
        <v>4</v>
      </c>
      <c r="H61" s="40"/>
      <c r="I61" s="40">
        <v>4</v>
      </c>
      <c r="J61" s="40">
        <v>4</v>
      </c>
      <c r="K61" s="39"/>
    </row>
    <row r="62" spans="1:11" ht="45.6" x14ac:dyDescent="0.4">
      <c r="A62" s="213" t="s">
        <v>347</v>
      </c>
      <c r="B62" s="42"/>
      <c r="C62" s="40">
        <f>C60/C61</f>
        <v>4568974.9999999991</v>
      </c>
      <c r="D62" s="40">
        <f>D60/D61</f>
        <v>4568974.9999999991</v>
      </c>
      <c r="E62" s="40"/>
      <c r="F62" s="40">
        <f>G60/F61</f>
        <v>7077667.5</v>
      </c>
      <c r="G62" s="40">
        <f>H60/G61</f>
        <v>0</v>
      </c>
      <c r="H62" s="40"/>
      <c r="I62" s="40">
        <f>J60/I61</f>
        <v>4747532.9999999991</v>
      </c>
      <c r="J62" s="40">
        <f>K60/J61</f>
        <v>0</v>
      </c>
      <c r="K62" s="39"/>
    </row>
    <row r="63" spans="1:11" ht="22.8" x14ac:dyDescent="0.4">
      <c r="A63" s="49" t="s">
        <v>114</v>
      </c>
      <c r="B63" s="563" t="s">
        <v>277</v>
      </c>
      <c r="C63" s="563"/>
      <c r="D63" s="563"/>
      <c r="E63" s="563"/>
      <c r="F63" s="563"/>
      <c r="G63" s="563"/>
      <c r="H63" s="563"/>
      <c r="I63" s="563"/>
      <c r="J63" s="563"/>
      <c r="K63" s="563"/>
    </row>
    <row r="64" spans="1:11" ht="22.8" x14ac:dyDescent="0.4">
      <c r="A64" s="149" t="s">
        <v>117</v>
      </c>
      <c r="B64" s="562" t="s">
        <v>118</v>
      </c>
      <c r="C64" s="562"/>
      <c r="D64" s="562"/>
      <c r="E64" s="562"/>
      <c r="F64" s="562"/>
      <c r="G64" s="562"/>
      <c r="H64" s="562"/>
      <c r="I64" s="562"/>
      <c r="J64" s="562"/>
      <c r="K64" s="562"/>
    </row>
    <row r="65" spans="1:11" ht="22.8" x14ac:dyDescent="0.4">
      <c r="A65" s="213" t="s">
        <v>119</v>
      </c>
      <c r="B65" s="38">
        <f>C65+F65+I65</f>
        <v>9972655</v>
      </c>
      <c r="C65" s="39">
        <f>D65+E65</f>
        <v>4584213</v>
      </c>
      <c r="D65" s="39">
        <f>'Додаток 3'!I51*1000</f>
        <v>4584213</v>
      </c>
      <c r="E65" s="39">
        <v>0</v>
      </c>
      <c r="F65" s="39">
        <f>G65+H65</f>
        <v>2606900</v>
      </c>
      <c r="G65" s="39">
        <f>'Додаток 3'!J51*1000</f>
        <v>2606900</v>
      </c>
      <c r="H65" s="39">
        <v>0</v>
      </c>
      <c r="I65" s="39">
        <f>J65+K65</f>
        <v>2781542</v>
      </c>
      <c r="J65" s="39">
        <f>'Додаток 3'!K51*1000</f>
        <v>2781542</v>
      </c>
      <c r="K65" s="39">
        <v>0</v>
      </c>
    </row>
    <row r="66" spans="1:11" ht="51" customHeight="1" x14ac:dyDescent="0.4">
      <c r="A66" s="213" t="s">
        <v>429</v>
      </c>
      <c r="B66" s="38"/>
      <c r="C66" s="40">
        <v>439112</v>
      </c>
      <c r="D66" s="40">
        <v>439112</v>
      </c>
      <c r="E66" s="39"/>
      <c r="F66" s="40">
        <v>352641</v>
      </c>
      <c r="G66" s="40">
        <v>352641</v>
      </c>
      <c r="H66" s="40"/>
      <c r="I66" s="40">
        <v>352641</v>
      </c>
      <c r="J66" s="40">
        <v>352641</v>
      </c>
      <c r="K66" s="39"/>
    </row>
    <row r="67" spans="1:11" ht="51" customHeight="1" x14ac:dyDescent="0.4">
      <c r="A67" s="213" t="s">
        <v>373</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2.8" x14ac:dyDescent="0.4">
      <c r="A68" s="49" t="s">
        <v>114</v>
      </c>
      <c r="B68" s="563" t="s">
        <v>51</v>
      </c>
      <c r="C68" s="563"/>
      <c r="D68" s="563"/>
      <c r="E68" s="563"/>
      <c r="F68" s="563"/>
      <c r="G68" s="563"/>
      <c r="H68" s="563"/>
      <c r="I68" s="563"/>
      <c r="J68" s="563"/>
      <c r="K68" s="563"/>
    </row>
    <row r="69" spans="1:11" ht="22.8" x14ac:dyDescent="0.4">
      <c r="A69" s="149" t="s">
        <v>117</v>
      </c>
      <c r="B69" s="562" t="s">
        <v>118</v>
      </c>
      <c r="C69" s="562"/>
      <c r="D69" s="562"/>
      <c r="E69" s="562"/>
      <c r="F69" s="562"/>
      <c r="G69" s="562"/>
      <c r="H69" s="562"/>
      <c r="I69" s="562"/>
      <c r="J69" s="562"/>
      <c r="K69" s="562"/>
    </row>
    <row r="70" spans="1:11" ht="22.8" x14ac:dyDescent="0.4">
      <c r="A70" s="213" t="s">
        <v>119</v>
      </c>
      <c r="B70" s="39">
        <f>C70+F70+I70</f>
        <v>1307300</v>
      </c>
      <c r="C70" s="39">
        <f>D70+E70</f>
        <v>690000</v>
      </c>
      <c r="D70" s="39">
        <f>'Додаток 3'!I58*1000</f>
        <v>690000</v>
      </c>
      <c r="E70" s="39">
        <v>0</v>
      </c>
      <c r="F70" s="39">
        <f>G70+H70</f>
        <v>300000</v>
      </c>
      <c r="G70" s="39">
        <f>'Додаток 3'!J58*1000</f>
        <v>300000</v>
      </c>
      <c r="H70" s="39">
        <v>0</v>
      </c>
      <c r="I70" s="39">
        <f>J70+K70</f>
        <v>317300</v>
      </c>
      <c r="J70" s="39">
        <f>'Додаток 3'!K58*1000</f>
        <v>317300</v>
      </c>
      <c r="K70" s="39">
        <v>0</v>
      </c>
    </row>
    <row r="71" spans="1:11" ht="24" customHeight="1" x14ac:dyDescent="0.4">
      <c r="A71" s="213" t="s">
        <v>271</v>
      </c>
      <c r="B71" s="39"/>
      <c r="C71" s="40"/>
      <c r="D71" s="39"/>
      <c r="E71" s="39"/>
      <c r="F71" s="40"/>
      <c r="G71" s="40"/>
      <c r="H71" s="40"/>
      <c r="I71" s="40"/>
      <c r="J71" s="39"/>
      <c r="K71" s="39"/>
    </row>
    <row r="72" spans="1:11" ht="24" customHeight="1" x14ac:dyDescent="0.4">
      <c r="A72" s="50" t="s">
        <v>431</v>
      </c>
      <c r="B72" s="39"/>
      <c r="C72" s="40">
        <v>170</v>
      </c>
      <c r="D72" s="40">
        <v>170</v>
      </c>
      <c r="E72" s="39"/>
      <c r="F72" s="40">
        <v>170</v>
      </c>
      <c r="G72" s="40">
        <v>170</v>
      </c>
      <c r="H72" s="40"/>
      <c r="I72" s="40">
        <v>170</v>
      </c>
      <c r="J72" s="40">
        <v>170</v>
      </c>
      <c r="K72" s="39"/>
    </row>
    <row r="73" spans="1:11" ht="24" customHeight="1" x14ac:dyDescent="0.4">
      <c r="A73" s="50" t="s">
        <v>430</v>
      </c>
      <c r="B73" s="39"/>
      <c r="C73" s="40">
        <v>170</v>
      </c>
      <c r="D73" s="40">
        <v>170</v>
      </c>
      <c r="E73" s="39"/>
      <c r="F73" s="40">
        <v>170</v>
      </c>
      <c r="G73" s="40">
        <v>170</v>
      </c>
      <c r="H73" s="40"/>
      <c r="I73" s="40">
        <v>170</v>
      </c>
      <c r="J73" s="40">
        <v>170</v>
      </c>
      <c r="K73" s="39"/>
    </row>
    <row r="74" spans="1:11" ht="22.8" x14ac:dyDescent="0.4">
      <c r="A74" s="213" t="s">
        <v>270</v>
      </c>
      <c r="B74" s="40"/>
      <c r="C74" s="40"/>
      <c r="D74" s="40"/>
      <c r="E74" s="40"/>
      <c r="F74" s="40"/>
      <c r="G74" s="40"/>
      <c r="H74" s="40"/>
      <c r="I74" s="40"/>
      <c r="J74" s="40"/>
      <c r="K74" s="39"/>
    </row>
    <row r="75" spans="1:11" ht="45.6" x14ac:dyDescent="0.4">
      <c r="A75" s="50" t="s">
        <v>278</v>
      </c>
      <c r="B75" s="40"/>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x14ac:dyDescent="0.4">
      <c r="A76" s="50" t="s">
        <v>279</v>
      </c>
      <c r="B76" s="40"/>
      <c r="C76" s="40">
        <f>C73/C72*100</f>
        <v>100</v>
      </c>
      <c r="D76" s="40">
        <f>D73/D72*100</f>
        <v>100</v>
      </c>
      <c r="E76" s="40"/>
      <c r="F76" s="40">
        <f>F73/F72*100</f>
        <v>100</v>
      </c>
      <c r="G76" s="40">
        <f>G73/G72*100</f>
        <v>100</v>
      </c>
      <c r="H76" s="40"/>
      <c r="I76" s="40">
        <f>I73/I72*100</f>
        <v>100</v>
      </c>
      <c r="J76" s="40">
        <f>J73/J72*100</f>
        <v>100</v>
      </c>
      <c r="K76" s="39"/>
    </row>
    <row r="77" spans="1:11" ht="22.8" x14ac:dyDescent="0.4">
      <c r="A77" s="49" t="s">
        <v>114</v>
      </c>
      <c r="B77" s="563" t="s">
        <v>52</v>
      </c>
      <c r="C77" s="563"/>
      <c r="D77" s="563"/>
      <c r="E77" s="563"/>
      <c r="F77" s="563"/>
      <c r="G77" s="563"/>
      <c r="H77" s="563"/>
      <c r="I77" s="563"/>
      <c r="J77" s="563"/>
      <c r="K77" s="563"/>
    </row>
    <row r="78" spans="1:11" ht="22.8" x14ac:dyDescent="0.4">
      <c r="A78" s="149" t="s">
        <v>117</v>
      </c>
      <c r="B78" s="562" t="s">
        <v>118</v>
      </c>
      <c r="C78" s="562"/>
      <c r="D78" s="562"/>
      <c r="E78" s="562"/>
      <c r="F78" s="562"/>
      <c r="G78" s="562"/>
      <c r="H78" s="562"/>
      <c r="I78" s="562"/>
      <c r="J78" s="562"/>
      <c r="K78" s="562"/>
    </row>
    <row r="79" spans="1:11" ht="22.8" x14ac:dyDescent="0.4">
      <c r="A79" s="213" t="s">
        <v>119</v>
      </c>
      <c r="B79" s="38">
        <f>C79+F79+I79</f>
        <v>1200000</v>
      </c>
      <c r="C79" s="39">
        <f>D79+E79</f>
        <v>1200000</v>
      </c>
      <c r="D79" s="39">
        <f>'Додаток 3'!I59*1000</f>
        <v>1200000</v>
      </c>
      <c r="E79" s="39">
        <v>0</v>
      </c>
      <c r="F79" s="39">
        <f>G79+H79</f>
        <v>0</v>
      </c>
      <c r="G79" s="39">
        <f>'Додаток 3'!J59*1000</f>
        <v>0</v>
      </c>
      <c r="H79" s="39">
        <v>0</v>
      </c>
      <c r="I79" s="39">
        <f>J79+K79</f>
        <v>0</v>
      </c>
      <c r="J79" s="39">
        <f>'Додаток 3'!K59*1000</f>
        <v>0</v>
      </c>
      <c r="K79" s="39">
        <v>0</v>
      </c>
    </row>
    <row r="80" spans="1:11" ht="22.5" customHeight="1" x14ac:dyDescent="0.4">
      <c r="A80" s="51" t="s">
        <v>130</v>
      </c>
      <c r="B80" s="38"/>
      <c r="C80" s="39">
        <v>200000</v>
      </c>
      <c r="D80" s="39">
        <v>200000</v>
      </c>
      <c r="E80" s="39"/>
      <c r="F80" s="39"/>
      <c r="G80" s="39"/>
      <c r="H80" s="39"/>
      <c r="I80" s="39"/>
      <c r="J80" s="39"/>
      <c r="K80" s="39"/>
    </row>
    <row r="81" spans="1:11" ht="45.6" x14ac:dyDescent="0.4">
      <c r="A81" s="51" t="s">
        <v>131</v>
      </c>
      <c r="B81" s="38"/>
      <c r="C81" s="39">
        <v>1000000</v>
      </c>
      <c r="D81" s="39">
        <v>1000000</v>
      </c>
      <c r="E81" s="39"/>
      <c r="F81" s="39"/>
      <c r="G81" s="39"/>
      <c r="H81" s="39"/>
      <c r="I81" s="39"/>
      <c r="J81" s="39"/>
      <c r="K81" s="39"/>
    </row>
    <row r="82" spans="1:11" ht="24" customHeight="1" x14ac:dyDescent="0.4">
      <c r="A82" s="213" t="s">
        <v>271</v>
      </c>
      <c r="B82" s="38"/>
      <c r="C82" s="40"/>
      <c r="D82" s="39"/>
      <c r="E82" s="39"/>
      <c r="F82" s="40"/>
      <c r="G82" s="40"/>
      <c r="H82" s="40"/>
      <c r="I82" s="40"/>
      <c r="J82" s="39"/>
      <c r="K82" s="39"/>
    </row>
    <row r="83" spans="1:11" ht="45.6" x14ac:dyDescent="0.4">
      <c r="A83" s="51" t="s">
        <v>132</v>
      </c>
      <c r="B83" s="42"/>
      <c r="C83" s="150">
        <v>30</v>
      </c>
      <c r="D83" s="150">
        <v>30</v>
      </c>
      <c r="E83" s="40"/>
      <c r="F83" s="150"/>
      <c r="G83" s="40"/>
      <c r="H83" s="40"/>
      <c r="I83" s="150"/>
      <c r="J83" s="40"/>
      <c r="K83" s="39"/>
    </row>
    <row r="84" spans="1:11" ht="45.6" x14ac:dyDescent="0.4">
      <c r="A84" s="51" t="s">
        <v>133</v>
      </c>
      <c r="B84" s="42"/>
      <c r="C84" s="150">
        <v>170</v>
      </c>
      <c r="D84" s="150">
        <v>170</v>
      </c>
      <c r="E84" s="40"/>
      <c r="F84" s="150"/>
      <c r="G84" s="40"/>
      <c r="H84" s="40"/>
      <c r="I84" s="150"/>
      <c r="J84" s="40"/>
      <c r="K84" s="39"/>
    </row>
    <row r="85" spans="1:11" ht="23.25" customHeight="1" x14ac:dyDescent="0.4">
      <c r="A85" s="51" t="s">
        <v>134</v>
      </c>
      <c r="B85" s="42"/>
      <c r="C85" s="150">
        <v>30</v>
      </c>
      <c r="D85" s="150">
        <v>30</v>
      </c>
      <c r="E85" s="40"/>
      <c r="F85" s="150"/>
      <c r="G85" s="40"/>
      <c r="H85" s="40"/>
      <c r="I85" s="150"/>
      <c r="J85" s="40"/>
      <c r="K85" s="39"/>
    </row>
    <row r="86" spans="1:11" ht="45.6" x14ac:dyDescent="0.4">
      <c r="A86" s="51" t="s">
        <v>135</v>
      </c>
      <c r="B86" s="42"/>
      <c r="C86" s="150">
        <v>55</v>
      </c>
      <c r="D86" s="150">
        <v>55</v>
      </c>
      <c r="E86" s="40"/>
      <c r="F86" s="150"/>
      <c r="G86" s="40"/>
      <c r="H86" s="40"/>
      <c r="I86" s="150"/>
      <c r="J86" s="40"/>
      <c r="K86" s="39"/>
    </row>
    <row r="87" spans="1:11" ht="22.8" x14ac:dyDescent="0.4">
      <c r="A87" s="213" t="s">
        <v>122</v>
      </c>
      <c r="B87" s="42"/>
      <c r="C87" s="40"/>
      <c r="D87" s="40"/>
      <c r="E87" s="40"/>
      <c r="F87" s="40"/>
      <c r="G87" s="40"/>
      <c r="H87" s="40"/>
      <c r="I87" s="40"/>
      <c r="J87" s="40"/>
      <c r="K87" s="39"/>
    </row>
    <row r="88" spans="1:11" ht="22.8" x14ac:dyDescent="0.4">
      <c r="A88" s="51" t="s">
        <v>136</v>
      </c>
      <c r="B88" s="42"/>
      <c r="C88" s="40">
        <f>C80/C83</f>
        <v>6666.666666666667</v>
      </c>
      <c r="D88" s="40">
        <f>D80/D83</f>
        <v>6666.666666666667</v>
      </c>
      <c r="E88" s="40"/>
      <c r="F88" s="40"/>
      <c r="G88" s="40"/>
      <c r="H88" s="40"/>
      <c r="I88" s="40"/>
      <c r="J88" s="40"/>
      <c r="K88" s="39"/>
    </row>
    <row r="89" spans="1:11" ht="45.6" x14ac:dyDescent="0.4">
      <c r="A89" s="51" t="s">
        <v>137</v>
      </c>
      <c r="B89" s="42"/>
      <c r="C89" s="40">
        <f>C81/C86</f>
        <v>18181.81818181818</v>
      </c>
      <c r="D89" s="40">
        <f>D81/D86</f>
        <v>18181.81818181818</v>
      </c>
      <c r="E89" s="40"/>
      <c r="F89" s="40"/>
      <c r="G89" s="40"/>
      <c r="H89" s="40"/>
      <c r="I89" s="40"/>
      <c r="J89" s="40"/>
      <c r="K89" s="39"/>
    </row>
    <row r="90" spans="1:11" ht="45.6" x14ac:dyDescent="0.4">
      <c r="A90" s="51" t="s">
        <v>138</v>
      </c>
      <c r="B90" s="42"/>
      <c r="C90" s="40">
        <f>C85/C83*100</f>
        <v>100</v>
      </c>
      <c r="D90" s="40">
        <f>D85/D83*100</f>
        <v>100</v>
      </c>
      <c r="E90" s="40"/>
      <c r="F90" s="40"/>
      <c r="G90" s="40"/>
      <c r="H90" s="40"/>
      <c r="I90" s="40"/>
      <c r="J90" s="40"/>
      <c r="K90" s="39"/>
    </row>
    <row r="91" spans="1:11" ht="45.6" x14ac:dyDescent="0.4">
      <c r="A91" s="51" t="s">
        <v>139</v>
      </c>
      <c r="B91" s="42"/>
      <c r="C91" s="40">
        <f>C86/C84*100</f>
        <v>32.352941176470587</v>
      </c>
      <c r="D91" s="40">
        <f>D86/D84*100</f>
        <v>32.352941176470587</v>
      </c>
      <c r="E91" s="40"/>
      <c r="F91" s="40"/>
      <c r="G91" s="40"/>
      <c r="H91" s="40"/>
      <c r="I91" s="40"/>
      <c r="J91" s="40"/>
      <c r="K91" s="39"/>
    </row>
    <row r="92" spans="1:11" ht="22.8" x14ac:dyDescent="0.4">
      <c r="A92" s="49" t="s">
        <v>114</v>
      </c>
      <c r="B92" s="563" t="s">
        <v>348</v>
      </c>
      <c r="C92" s="563"/>
      <c r="D92" s="563"/>
      <c r="E92" s="563"/>
      <c r="F92" s="563"/>
      <c r="G92" s="563"/>
      <c r="H92" s="563"/>
      <c r="I92" s="563"/>
      <c r="J92" s="563"/>
      <c r="K92" s="563"/>
    </row>
    <row r="93" spans="1:11" ht="22.8" x14ac:dyDescent="0.4">
      <c r="A93" s="149" t="s">
        <v>117</v>
      </c>
      <c r="B93" s="562" t="s">
        <v>118</v>
      </c>
      <c r="C93" s="562"/>
      <c r="D93" s="562"/>
      <c r="E93" s="562"/>
      <c r="F93" s="562"/>
      <c r="G93" s="562"/>
      <c r="H93" s="562"/>
      <c r="I93" s="562"/>
      <c r="J93" s="562"/>
      <c r="K93" s="562"/>
    </row>
    <row r="94" spans="1:11" ht="22.8" x14ac:dyDescent="0.4">
      <c r="A94" s="213" t="s">
        <v>119</v>
      </c>
      <c r="B94" s="38">
        <f>C94+F94+I94</f>
        <v>1300000</v>
      </c>
      <c r="C94" s="39">
        <f>D94+E94</f>
        <v>1000000</v>
      </c>
      <c r="D94" s="39">
        <f>'Додаток 3'!I60*1000</f>
        <v>1000000</v>
      </c>
      <c r="E94" s="39">
        <v>0</v>
      </c>
      <c r="F94" s="39">
        <f>G94+H94</f>
        <v>300000</v>
      </c>
      <c r="G94" s="39">
        <f>'Додаток 3'!J60*1000</f>
        <v>300000</v>
      </c>
      <c r="H94" s="39">
        <v>0</v>
      </c>
      <c r="I94" s="39">
        <f>J94+K94</f>
        <v>0</v>
      </c>
      <c r="J94" s="39">
        <f>'Додаток 3'!K60*1000</f>
        <v>0</v>
      </c>
      <c r="K94" s="39">
        <v>0</v>
      </c>
    </row>
    <row r="95" spans="1:11" ht="24" customHeight="1" x14ac:dyDescent="0.4">
      <c r="A95" s="213" t="s">
        <v>271</v>
      </c>
      <c r="B95" s="38"/>
      <c r="C95" s="40"/>
      <c r="D95" s="39"/>
      <c r="E95" s="39"/>
      <c r="F95" s="40"/>
      <c r="G95" s="40"/>
      <c r="H95" s="40"/>
      <c r="I95" s="40"/>
      <c r="J95" s="39"/>
      <c r="K95" s="39"/>
    </row>
    <row r="96" spans="1:11" ht="45.6" x14ac:dyDescent="0.4">
      <c r="A96" s="51" t="s">
        <v>140</v>
      </c>
      <c r="B96" s="42"/>
      <c r="C96" s="150">
        <v>750</v>
      </c>
      <c r="D96" s="150">
        <v>750</v>
      </c>
      <c r="E96" s="40"/>
      <c r="F96" s="150">
        <v>750</v>
      </c>
      <c r="G96" s="150">
        <v>750</v>
      </c>
      <c r="H96" s="40"/>
      <c r="I96" s="150"/>
      <c r="J96" s="40"/>
      <c r="K96" s="39"/>
    </row>
    <row r="97" spans="1:11" ht="22.8" x14ac:dyDescent="0.4">
      <c r="A97" s="51" t="s">
        <v>141</v>
      </c>
      <c r="B97" s="42"/>
      <c r="C97" s="150">
        <v>37</v>
      </c>
      <c r="D97" s="150">
        <v>37</v>
      </c>
      <c r="E97" s="40"/>
      <c r="F97" s="150">
        <v>10</v>
      </c>
      <c r="G97" s="150">
        <v>10</v>
      </c>
      <c r="H97" s="40"/>
      <c r="I97" s="150"/>
      <c r="J97" s="40"/>
      <c r="K97" s="39"/>
    </row>
    <row r="98" spans="1:11" ht="22.8" x14ac:dyDescent="0.4">
      <c r="A98" s="213" t="s">
        <v>122</v>
      </c>
      <c r="B98" s="42"/>
      <c r="C98" s="40"/>
      <c r="D98" s="40"/>
      <c r="E98" s="40"/>
      <c r="F98" s="40"/>
      <c r="G98" s="40"/>
      <c r="H98" s="40"/>
      <c r="I98" s="40"/>
      <c r="J98" s="40"/>
      <c r="K98" s="39"/>
    </row>
    <row r="99" spans="1:11" ht="26.25" customHeight="1" x14ac:dyDescent="0.4">
      <c r="A99" s="51" t="s">
        <v>136</v>
      </c>
      <c r="B99" s="42"/>
      <c r="C99" s="40">
        <f>C94/C97</f>
        <v>27027.027027027027</v>
      </c>
      <c r="D99" s="40">
        <f>D94/D97</f>
        <v>27027.027027027027</v>
      </c>
      <c r="E99" s="40"/>
      <c r="F99" s="40">
        <f>F94/F97</f>
        <v>30000</v>
      </c>
      <c r="G99" s="40">
        <f>G94/G97</f>
        <v>30000</v>
      </c>
      <c r="H99" s="40"/>
      <c r="I99" s="40"/>
      <c r="J99" s="40"/>
      <c r="K99" s="39"/>
    </row>
    <row r="100" spans="1:11" ht="45.6" x14ac:dyDescent="0.4">
      <c r="A100" s="51" t="s">
        <v>142</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2.8" x14ac:dyDescent="0.4">
      <c r="A101" s="49" t="s">
        <v>114</v>
      </c>
      <c r="B101" s="563" t="s">
        <v>372</v>
      </c>
      <c r="C101" s="563"/>
      <c r="D101" s="563"/>
      <c r="E101" s="563"/>
      <c r="F101" s="563"/>
      <c r="G101" s="563"/>
      <c r="H101" s="563"/>
      <c r="I101" s="563"/>
      <c r="J101" s="563"/>
      <c r="K101" s="563"/>
    </row>
    <row r="102" spans="1:11" ht="22.8" x14ac:dyDescent="0.4">
      <c r="A102" s="149" t="s">
        <v>117</v>
      </c>
      <c r="B102" s="562" t="s">
        <v>118</v>
      </c>
      <c r="C102" s="562"/>
      <c r="D102" s="562"/>
      <c r="E102" s="562"/>
      <c r="F102" s="562"/>
      <c r="G102" s="562"/>
      <c r="H102" s="562"/>
      <c r="I102" s="562"/>
      <c r="J102" s="562"/>
      <c r="K102" s="562"/>
    </row>
    <row r="103" spans="1:11" ht="22.8" x14ac:dyDescent="0.4">
      <c r="A103" s="213" t="s">
        <v>119</v>
      </c>
      <c r="B103" s="213">
        <f>C103+F103+I103</f>
        <v>3883000</v>
      </c>
      <c r="C103" s="39">
        <f>D103+E103</f>
        <v>3883000</v>
      </c>
      <c r="D103" s="39">
        <f>'Додаток 3'!I61*1000</f>
        <v>3883000</v>
      </c>
      <c r="E103" s="39">
        <v>0</v>
      </c>
      <c r="F103" s="39">
        <f>G103+H103</f>
        <v>0</v>
      </c>
      <c r="G103" s="39">
        <f>'Додаток 3'!J61*1000</f>
        <v>0</v>
      </c>
      <c r="H103" s="39">
        <v>0</v>
      </c>
      <c r="I103" s="39">
        <f>J103+K103</f>
        <v>0</v>
      </c>
      <c r="J103" s="39">
        <f>'Додаток 3'!K61*1000</f>
        <v>0</v>
      </c>
      <c r="K103" s="39">
        <v>0</v>
      </c>
    </row>
    <row r="104" spans="1:11" ht="24" customHeight="1" x14ac:dyDescent="0.4">
      <c r="A104" s="213" t="s">
        <v>271</v>
      </c>
      <c r="B104" s="38"/>
      <c r="C104" s="40"/>
      <c r="D104" s="39"/>
      <c r="E104" s="39"/>
      <c r="F104" s="40"/>
      <c r="G104" s="40"/>
      <c r="H104" s="40"/>
      <c r="I104" s="40"/>
      <c r="J104" s="39"/>
      <c r="K104" s="39"/>
    </row>
    <row r="105" spans="1:11" ht="48.75" customHeight="1" x14ac:dyDescent="0.4">
      <c r="A105" s="51" t="s">
        <v>143</v>
      </c>
      <c r="B105" s="42"/>
      <c r="C105" s="40">
        <v>70</v>
      </c>
      <c r="D105" s="40">
        <v>70</v>
      </c>
      <c r="E105" s="40"/>
      <c r="F105" s="40"/>
      <c r="G105" s="40"/>
      <c r="H105" s="40"/>
      <c r="I105" s="40"/>
      <c r="J105" s="40"/>
      <c r="K105" s="39"/>
    </row>
    <row r="106" spans="1:11" ht="47.25" customHeight="1" x14ac:dyDescent="0.4">
      <c r="A106" s="51" t="s">
        <v>345</v>
      </c>
      <c r="B106" s="42"/>
      <c r="C106" s="150">
        <v>70</v>
      </c>
      <c r="D106" s="150">
        <v>70</v>
      </c>
      <c r="E106" s="40"/>
      <c r="F106" s="150"/>
      <c r="G106" s="40"/>
      <c r="H106" s="40"/>
      <c r="I106" s="150"/>
      <c r="J106" s="40"/>
      <c r="K106" s="39"/>
    </row>
    <row r="107" spans="1:11" ht="22.8" x14ac:dyDescent="0.4">
      <c r="A107" s="213" t="s">
        <v>122</v>
      </c>
      <c r="B107" s="42"/>
      <c r="C107" s="40"/>
      <c r="D107" s="40"/>
      <c r="E107" s="40"/>
      <c r="F107" s="40"/>
      <c r="G107" s="40"/>
      <c r="H107" s="40"/>
      <c r="I107" s="40"/>
      <c r="J107" s="40"/>
      <c r="K107" s="39"/>
    </row>
    <row r="108" spans="1:11" ht="68.400000000000006" x14ac:dyDescent="0.4">
      <c r="A108" s="51" t="s">
        <v>144</v>
      </c>
      <c r="B108" s="42"/>
      <c r="C108" s="40">
        <f>C103/C106</f>
        <v>55471.428571428572</v>
      </c>
      <c r="D108" s="40">
        <f>D103/D106</f>
        <v>55471.428571428572</v>
      </c>
      <c r="E108" s="40"/>
      <c r="F108" s="40"/>
      <c r="G108" s="40"/>
      <c r="H108" s="40"/>
      <c r="I108" s="40"/>
      <c r="J108" s="40"/>
      <c r="K108" s="39"/>
    </row>
    <row r="109" spans="1:11" ht="22.8" x14ac:dyDescent="0.4">
      <c r="A109" s="49" t="s">
        <v>114</v>
      </c>
      <c r="B109" s="579" t="s">
        <v>54</v>
      </c>
      <c r="C109" s="580"/>
      <c r="D109" s="580"/>
      <c r="E109" s="580"/>
      <c r="F109" s="580"/>
      <c r="G109" s="580"/>
      <c r="H109" s="580"/>
      <c r="I109" s="580"/>
      <c r="J109" s="580"/>
      <c r="K109" s="581"/>
    </row>
    <row r="110" spans="1:11" ht="22.8" x14ac:dyDescent="0.4">
      <c r="A110" s="149" t="s">
        <v>117</v>
      </c>
      <c r="B110" s="554" t="s">
        <v>118</v>
      </c>
      <c r="C110" s="554"/>
      <c r="D110" s="554"/>
      <c r="E110" s="554"/>
      <c r="F110" s="554"/>
      <c r="G110" s="554"/>
      <c r="H110" s="554"/>
      <c r="I110" s="554"/>
      <c r="J110" s="554"/>
      <c r="K110" s="554"/>
    </row>
    <row r="111" spans="1:11" ht="22.8" x14ac:dyDescent="0.4">
      <c r="A111" s="213" t="s">
        <v>119</v>
      </c>
      <c r="B111" s="213">
        <f>C111+F111+I111</f>
        <v>850000</v>
      </c>
      <c r="C111" s="39">
        <f>D111+E111</f>
        <v>850000</v>
      </c>
      <c r="D111" s="39">
        <f>'Додаток 3'!I64*1000</f>
        <v>850000</v>
      </c>
      <c r="E111" s="213"/>
      <c r="F111" s="151"/>
      <c r="G111" s="151">
        <f>'Додаток 3'!J64*1000</f>
        <v>0</v>
      </c>
      <c r="H111" s="151"/>
      <c r="I111" s="151"/>
      <c r="J111" s="151"/>
      <c r="K111" s="151"/>
    </row>
    <row r="112" spans="1:11" ht="22.8" x14ac:dyDescent="0.4">
      <c r="A112" s="213" t="s">
        <v>121</v>
      </c>
      <c r="B112" s="40"/>
      <c r="C112" s="40"/>
      <c r="D112" s="40"/>
      <c r="E112" s="40"/>
      <c r="F112" s="40"/>
      <c r="G112" s="40"/>
      <c r="H112" s="40"/>
      <c r="I112" s="40"/>
      <c r="J112" s="40"/>
      <c r="K112" s="39"/>
    </row>
    <row r="113" spans="1:11" ht="22.5" customHeight="1" x14ac:dyDescent="0.4">
      <c r="A113" s="51" t="s">
        <v>349</v>
      </c>
      <c r="B113" s="42"/>
      <c r="C113" s="40">
        <v>1200</v>
      </c>
      <c r="D113" s="40">
        <v>1200</v>
      </c>
      <c r="E113" s="40"/>
      <c r="F113" s="40"/>
      <c r="G113" s="40"/>
      <c r="H113" s="40"/>
      <c r="I113" s="40"/>
      <c r="J113" s="40"/>
      <c r="K113" s="39"/>
    </row>
    <row r="114" spans="1:11" ht="22.8" x14ac:dyDescent="0.4">
      <c r="A114" s="51" t="s">
        <v>198</v>
      </c>
      <c r="B114" s="42"/>
      <c r="C114" s="150">
        <v>845</v>
      </c>
      <c r="D114" s="150">
        <v>845</v>
      </c>
      <c r="E114" s="40"/>
      <c r="F114" s="150"/>
      <c r="G114" s="40"/>
      <c r="H114" s="40"/>
      <c r="I114" s="150"/>
      <c r="J114" s="40"/>
      <c r="K114" s="39"/>
    </row>
    <row r="115" spans="1:11" ht="22.8" x14ac:dyDescent="0.4">
      <c r="A115" s="213" t="s">
        <v>122</v>
      </c>
      <c r="B115" s="42"/>
      <c r="C115" s="40"/>
      <c r="D115" s="40"/>
      <c r="E115" s="40"/>
      <c r="F115" s="40"/>
      <c r="G115" s="40"/>
      <c r="H115" s="40"/>
      <c r="I115" s="40"/>
      <c r="J115" s="40"/>
      <c r="K115" s="39"/>
    </row>
    <row r="116" spans="1:11" ht="22.8" x14ac:dyDescent="0.4">
      <c r="A116" s="51" t="s">
        <v>371</v>
      </c>
      <c r="B116" s="42"/>
      <c r="C116" s="40">
        <f>C111/C114</f>
        <v>1005.9171597633136</v>
      </c>
      <c r="D116" s="40">
        <f>D111/D114</f>
        <v>1005.9171597633136</v>
      </c>
      <c r="E116" s="40"/>
      <c r="F116" s="40"/>
      <c r="G116" s="40"/>
      <c r="H116" s="40"/>
      <c r="I116" s="40"/>
      <c r="J116" s="40"/>
      <c r="K116" s="39"/>
    </row>
    <row r="117" spans="1:11" ht="22.8" x14ac:dyDescent="0.4">
      <c r="A117" s="59" t="s">
        <v>123</v>
      </c>
      <c r="B117" s="42"/>
      <c r="C117" s="40"/>
      <c r="D117" s="40"/>
      <c r="E117" s="40"/>
      <c r="F117" s="40"/>
      <c r="G117" s="40"/>
      <c r="H117" s="40"/>
      <c r="I117" s="40"/>
      <c r="J117" s="40"/>
      <c r="K117" s="39"/>
    </row>
    <row r="118" spans="1:11" ht="22.8" x14ac:dyDescent="0.4">
      <c r="A118" s="51" t="s">
        <v>350</v>
      </c>
      <c r="B118" s="42"/>
      <c r="C118" s="40">
        <f>C114/C113*100</f>
        <v>70.416666666666671</v>
      </c>
      <c r="D118" s="40">
        <f>D114/D113*100</f>
        <v>70.416666666666671</v>
      </c>
      <c r="E118" s="40"/>
      <c r="F118" s="40"/>
      <c r="G118" s="40"/>
      <c r="H118" s="40"/>
      <c r="I118" s="40"/>
      <c r="J118" s="40"/>
      <c r="K118" s="39"/>
    </row>
    <row r="119" spans="1:11" ht="22.8" x14ac:dyDescent="0.4">
      <c r="A119" s="52" t="s">
        <v>114</v>
      </c>
      <c r="B119" s="553" t="s">
        <v>280</v>
      </c>
      <c r="C119" s="553"/>
      <c r="D119" s="553"/>
      <c r="E119" s="553"/>
      <c r="F119" s="553"/>
      <c r="G119" s="553"/>
      <c r="H119" s="553"/>
      <c r="I119" s="553"/>
      <c r="J119" s="553"/>
      <c r="K119" s="553"/>
    </row>
    <row r="120" spans="1:11" ht="22.8" x14ac:dyDescent="0.4">
      <c r="A120" s="149" t="s">
        <v>117</v>
      </c>
      <c r="B120" s="554" t="s">
        <v>118</v>
      </c>
      <c r="C120" s="554"/>
      <c r="D120" s="554"/>
      <c r="E120" s="554"/>
      <c r="F120" s="554"/>
      <c r="G120" s="554"/>
      <c r="H120" s="554"/>
      <c r="I120" s="554"/>
      <c r="J120" s="554"/>
      <c r="K120" s="554"/>
    </row>
    <row r="121" spans="1:11" ht="22.8" x14ac:dyDescent="0.4">
      <c r="A121" s="149" t="s">
        <v>124</v>
      </c>
      <c r="B121" s="554" t="s">
        <v>125</v>
      </c>
      <c r="C121" s="554"/>
      <c r="D121" s="554"/>
      <c r="E121" s="554"/>
      <c r="F121" s="554"/>
      <c r="G121" s="554"/>
      <c r="H121" s="554"/>
      <c r="I121" s="554"/>
      <c r="J121" s="554"/>
      <c r="K121" s="554"/>
    </row>
    <row r="122" spans="1:11" ht="22.8" x14ac:dyDescent="0.4">
      <c r="A122" s="213" t="s">
        <v>119</v>
      </c>
      <c r="B122" s="39">
        <f>C122+F122+I122</f>
        <v>6398988.0000000009</v>
      </c>
      <c r="C122" s="39">
        <f>D122+E122</f>
        <v>2947900.0000000005</v>
      </c>
      <c r="D122" s="39">
        <f>('Додаток 3'!I68+'Додаток 3'!I127)*1000</f>
        <v>2947900.0000000005</v>
      </c>
      <c r="E122" s="39"/>
      <c r="F122" s="39">
        <f>G122+H122</f>
        <v>1673100.0000000002</v>
      </c>
      <c r="G122" s="39">
        <f>('Додаток 3'!J127+'Додаток 3'!J68)*1000</f>
        <v>1673100.0000000002</v>
      </c>
      <c r="H122" s="39"/>
      <c r="I122" s="39">
        <f>J122+K122</f>
        <v>1777987.9999999998</v>
      </c>
      <c r="J122" s="39">
        <f>('Додаток 3'!K68+'Додаток 3'!K127)*1000</f>
        <v>1777987.9999999998</v>
      </c>
      <c r="K122" s="151"/>
    </row>
    <row r="123" spans="1:11" ht="22.8" x14ac:dyDescent="0.4">
      <c r="A123" s="213" t="s">
        <v>121</v>
      </c>
      <c r="B123" s="40"/>
      <c r="C123" s="40"/>
      <c r="D123" s="40"/>
      <c r="E123" s="40"/>
      <c r="F123" s="40"/>
      <c r="G123" s="40"/>
      <c r="H123" s="40"/>
      <c r="I123" s="40"/>
      <c r="J123" s="40"/>
      <c r="K123" s="39"/>
    </row>
    <row r="124" spans="1:11" ht="22.8" x14ac:dyDescent="0.4">
      <c r="A124" s="53" t="s">
        <v>129</v>
      </c>
      <c r="B124" s="40"/>
      <c r="C124" s="40">
        <v>46</v>
      </c>
      <c r="D124" s="40">
        <v>46</v>
      </c>
      <c r="E124" s="40"/>
      <c r="F124" s="40">
        <f>20+3</f>
        <v>23</v>
      </c>
      <c r="G124" s="40">
        <f>20+3</f>
        <v>23</v>
      </c>
      <c r="H124" s="40"/>
      <c r="I124" s="40">
        <v>23</v>
      </c>
      <c r="J124" s="40">
        <v>23</v>
      </c>
      <c r="K124" s="39"/>
    </row>
    <row r="125" spans="1:11" ht="22.8" x14ac:dyDescent="0.4">
      <c r="A125" s="213" t="s">
        <v>122</v>
      </c>
      <c r="B125" s="40"/>
      <c r="C125" s="40"/>
      <c r="D125" s="40"/>
      <c r="E125" s="40"/>
      <c r="F125" s="40"/>
      <c r="G125" s="40"/>
      <c r="H125" s="40"/>
      <c r="I125" s="40"/>
      <c r="J125" s="40"/>
      <c r="K125" s="39"/>
    </row>
    <row r="126" spans="1:11" ht="45.75" customHeight="1" x14ac:dyDescent="0.4">
      <c r="A126" s="53" t="s">
        <v>352</v>
      </c>
      <c r="B126" s="40"/>
      <c r="C126" s="40">
        <f>C122/C124</f>
        <v>64084.782608695663</v>
      </c>
      <c r="D126" s="40">
        <f>D122/D124</f>
        <v>64084.782608695663</v>
      </c>
      <c r="E126" s="40"/>
      <c r="F126" s="40">
        <f>F122/F124</f>
        <v>72743.478260869582</v>
      </c>
      <c r="G126" s="40">
        <f>G122/G124</f>
        <v>72743.478260869582</v>
      </c>
      <c r="H126" s="40"/>
      <c r="I126" s="40">
        <f>I122/I124</f>
        <v>77303.826086956513</v>
      </c>
      <c r="J126" s="40">
        <f>J122/J124</f>
        <v>77303.826086956513</v>
      </c>
      <c r="K126" s="39"/>
    </row>
    <row r="127" spans="1:11" ht="21" customHeight="1" x14ac:dyDescent="0.4">
      <c r="A127" s="52" t="s">
        <v>114</v>
      </c>
      <c r="B127" s="553" t="s">
        <v>281</v>
      </c>
      <c r="C127" s="553"/>
      <c r="D127" s="553"/>
      <c r="E127" s="553"/>
      <c r="F127" s="553"/>
      <c r="G127" s="553"/>
      <c r="H127" s="553"/>
      <c r="I127" s="553"/>
      <c r="J127" s="553"/>
      <c r="K127" s="553"/>
    </row>
    <row r="128" spans="1:11" ht="22.5" customHeight="1" x14ac:dyDescent="0.4">
      <c r="A128" s="149" t="s">
        <v>145</v>
      </c>
      <c r="B128" s="558" t="s">
        <v>161</v>
      </c>
      <c r="C128" s="559"/>
      <c r="D128" s="559"/>
      <c r="E128" s="559"/>
      <c r="F128" s="559"/>
      <c r="G128" s="559"/>
      <c r="H128" s="559"/>
      <c r="I128" s="559"/>
      <c r="J128" s="559"/>
      <c r="K128" s="560"/>
    </row>
    <row r="129" spans="1:11" ht="22.8" x14ac:dyDescent="0.4">
      <c r="A129" s="213" t="s">
        <v>119</v>
      </c>
      <c r="B129" s="39">
        <f>C129+F129+I129</f>
        <v>5834000</v>
      </c>
      <c r="C129" s="39">
        <f>D129+E129</f>
        <v>1700000</v>
      </c>
      <c r="D129" s="39">
        <f>'Додаток 3'!I74*1000</f>
        <v>1700000</v>
      </c>
      <c r="E129" s="39"/>
      <c r="F129" s="39">
        <f>G129+H129</f>
        <v>2000000</v>
      </c>
      <c r="G129" s="39">
        <f>'Додаток 3'!J74*1000</f>
        <v>2000000</v>
      </c>
      <c r="H129" s="39"/>
      <c r="I129" s="39">
        <f>J129+K129</f>
        <v>2134000</v>
      </c>
      <c r="J129" s="39">
        <f>'Додаток 3'!K74*1000</f>
        <v>2134000</v>
      </c>
      <c r="K129" s="39"/>
    </row>
    <row r="130" spans="1:11" ht="22.8" x14ac:dyDescent="0.4">
      <c r="A130" s="213" t="s">
        <v>121</v>
      </c>
      <c r="B130" s="40"/>
      <c r="C130" s="40"/>
      <c r="D130" s="40"/>
      <c r="E130" s="40"/>
      <c r="F130" s="40"/>
      <c r="G130" s="40"/>
      <c r="H130" s="40"/>
      <c r="I130" s="40"/>
      <c r="J130" s="40"/>
      <c r="K130" s="39"/>
    </row>
    <row r="131" spans="1:11" ht="80.25" customHeight="1" x14ac:dyDescent="0.4">
      <c r="A131" s="53" t="s">
        <v>432</v>
      </c>
      <c r="B131" s="40"/>
      <c r="C131" s="40">
        <v>6217</v>
      </c>
      <c r="D131" s="40">
        <v>6217</v>
      </c>
      <c r="E131" s="40"/>
      <c r="F131" s="40">
        <v>6601</v>
      </c>
      <c r="G131" s="40">
        <v>6601</v>
      </c>
      <c r="H131" s="40"/>
      <c r="I131" s="40">
        <v>6217</v>
      </c>
      <c r="J131" s="40">
        <v>6217</v>
      </c>
      <c r="K131" s="39"/>
    </row>
    <row r="132" spans="1:11" ht="22.8" x14ac:dyDescent="0.4">
      <c r="A132" s="213" t="s">
        <v>122</v>
      </c>
      <c r="B132" s="40"/>
      <c r="C132" s="40"/>
      <c r="D132" s="40"/>
      <c r="E132" s="40"/>
      <c r="F132" s="40"/>
      <c r="G132" s="40"/>
      <c r="H132" s="40"/>
      <c r="I132" s="40"/>
      <c r="J132" s="40"/>
      <c r="K132" s="39"/>
    </row>
    <row r="133" spans="1:11" ht="48.75" customHeight="1" x14ac:dyDescent="0.4">
      <c r="A133" s="53" t="s">
        <v>353</v>
      </c>
      <c r="B133" s="40"/>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2.8" x14ac:dyDescent="0.4">
      <c r="A134" s="49" t="s">
        <v>114</v>
      </c>
      <c r="B134" s="563" t="s">
        <v>403</v>
      </c>
      <c r="C134" s="563"/>
      <c r="D134" s="563"/>
      <c r="E134" s="563"/>
      <c r="F134" s="563"/>
      <c r="G134" s="563"/>
      <c r="H134" s="563"/>
      <c r="I134" s="563"/>
      <c r="J134" s="563"/>
      <c r="K134" s="563"/>
    </row>
    <row r="135" spans="1:11" ht="20.25" customHeight="1" x14ac:dyDescent="0.4">
      <c r="A135" s="149" t="s">
        <v>387</v>
      </c>
      <c r="B135" s="558" t="s">
        <v>388</v>
      </c>
      <c r="C135" s="559"/>
      <c r="D135" s="559"/>
      <c r="E135" s="559"/>
      <c r="F135" s="559"/>
      <c r="G135" s="559"/>
      <c r="H135" s="559"/>
      <c r="I135" s="559"/>
      <c r="J135" s="559"/>
      <c r="K135" s="560"/>
    </row>
    <row r="136" spans="1:11" ht="22.8" x14ac:dyDescent="0.4">
      <c r="A136" s="213" t="s">
        <v>119</v>
      </c>
      <c r="B136" s="38">
        <f>C136+F136+I136</f>
        <v>3000000</v>
      </c>
      <c r="C136" s="39">
        <f>D136+E136</f>
        <v>3000000</v>
      </c>
      <c r="D136" s="39">
        <f>'Додаток 3'!I75*1000</f>
        <v>3000000</v>
      </c>
      <c r="E136" s="39">
        <v>0</v>
      </c>
      <c r="F136" s="39">
        <f>G136+H136</f>
        <v>0</v>
      </c>
      <c r="G136" s="39">
        <f>'Додаток 3'!J75*1000</f>
        <v>0</v>
      </c>
      <c r="H136" s="39">
        <v>0</v>
      </c>
      <c r="I136" s="39">
        <f>J136+K136</f>
        <v>0</v>
      </c>
      <c r="J136" s="39">
        <v>0</v>
      </c>
      <c r="K136" s="39">
        <v>0</v>
      </c>
    </row>
    <row r="137" spans="1:11" ht="22.8" x14ac:dyDescent="0.4">
      <c r="A137" s="213" t="s">
        <v>346</v>
      </c>
      <c r="B137" s="38"/>
      <c r="C137" s="40">
        <v>1</v>
      </c>
      <c r="D137" s="40">
        <v>1</v>
      </c>
      <c r="E137" s="39"/>
      <c r="F137" s="40"/>
      <c r="G137" s="40"/>
      <c r="H137" s="40"/>
      <c r="I137" s="40"/>
      <c r="J137" s="39"/>
      <c r="K137" s="39"/>
    </row>
    <row r="138" spans="1:11" ht="45.6" x14ac:dyDescent="0.4">
      <c r="A138" s="213" t="s">
        <v>351</v>
      </c>
      <c r="B138" s="42"/>
      <c r="C138" s="40">
        <f>C136/C137/3</f>
        <v>1000000</v>
      </c>
      <c r="D138" s="40">
        <f>D136/D137/3</f>
        <v>1000000</v>
      </c>
      <c r="E138" s="40"/>
      <c r="F138" s="40"/>
      <c r="G138" s="40"/>
      <c r="H138" s="40"/>
      <c r="I138" s="40"/>
      <c r="J138" s="40"/>
      <c r="K138" s="39"/>
    </row>
    <row r="139" spans="1:11" ht="22.8" x14ac:dyDescent="0.4">
      <c r="A139" s="49" t="s">
        <v>114</v>
      </c>
      <c r="B139" s="563" t="s">
        <v>469</v>
      </c>
      <c r="C139" s="563"/>
      <c r="D139" s="563"/>
      <c r="E139" s="563"/>
      <c r="F139" s="563"/>
      <c r="G139" s="563"/>
      <c r="H139" s="563"/>
      <c r="I139" s="563"/>
      <c r="J139" s="563"/>
      <c r="K139" s="563"/>
    </row>
    <row r="140" spans="1:11" ht="22.5" customHeight="1" x14ac:dyDescent="0.4">
      <c r="A140" s="149" t="s">
        <v>387</v>
      </c>
      <c r="B140" s="558" t="s">
        <v>388</v>
      </c>
      <c r="C140" s="559"/>
      <c r="D140" s="559"/>
      <c r="E140" s="559"/>
      <c r="F140" s="559"/>
      <c r="G140" s="559"/>
      <c r="H140" s="559"/>
      <c r="I140" s="559"/>
      <c r="J140" s="559"/>
      <c r="K140" s="560"/>
    </row>
    <row r="141" spans="1:11" ht="22.8" x14ac:dyDescent="0.4">
      <c r="A141" s="213" t="s">
        <v>119</v>
      </c>
      <c r="B141" s="38">
        <f>C141+F141+I141</f>
        <v>90000</v>
      </c>
      <c r="C141" s="40"/>
      <c r="D141" s="40"/>
      <c r="E141" s="40"/>
      <c r="F141" s="40">
        <f>G141+H141</f>
        <v>90000</v>
      </c>
      <c r="G141" s="39">
        <f>'Додаток 3'!J172*1000</f>
        <v>90000</v>
      </c>
      <c r="H141" s="40"/>
      <c r="I141" s="40"/>
      <c r="J141" s="40"/>
      <c r="K141" s="39"/>
    </row>
    <row r="142" spans="1:11" ht="22.8" x14ac:dyDescent="0.4">
      <c r="A142" s="213" t="s">
        <v>470</v>
      </c>
      <c r="B142" s="42"/>
      <c r="C142" s="40"/>
      <c r="D142" s="40"/>
      <c r="E142" s="40"/>
      <c r="F142" s="40">
        <f>G142+H142</f>
        <v>15</v>
      </c>
      <c r="G142" s="40">
        <v>15</v>
      </c>
      <c r="H142" s="40"/>
      <c r="I142" s="40"/>
      <c r="J142" s="40"/>
      <c r="K142" s="39"/>
    </row>
    <row r="143" spans="1:11" ht="45.6" x14ac:dyDescent="0.4">
      <c r="A143" s="213" t="s">
        <v>471</v>
      </c>
      <c r="B143" s="42"/>
      <c r="C143" s="40"/>
      <c r="D143" s="40"/>
      <c r="E143" s="40"/>
      <c r="F143" s="40">
        <f>G143+H143</f>
        <v>6000</v>
      </c>
      <c r="G143" s="40">
        <f>G141/G142</f>
        <v>6000</v>
      </c>
      <c r="H143" s="40"/>
      <c r="I143" s="40"/>
      <c r="J143" s="40"/>
      <c r="K143" s="39"/>
    </row>
    <row r="144" spans="1:11" ht="22.8" x14ac:dyDescent="0.4">
      <c r="A144" s="52" t="s">
        <v>114</v>
      </c>
      <c r="B144" s="553" t="s">
        <v>437</v>
      </c>
      <c r="C144" s="553"/>
      <c r="D144" s="553"/>
      <c r="E144" s="553"/>
      <c r="F144" s="553"/>
      <c r="G144" s="553"/>
      <c r="H144" s="553"/>
      <c r="I144" s="553"/>
      <c r="J144" s="553"/>
      <c r="K144" s="553"/>
    </row>
    <row r="145" spans="1:11" ht="22.8" x14ac:dyDescent="0.4">
      <c r="A145" s="149" t="s">
        <v>117</v>
      </c>
      <c r="B145" s="554" t="s">
        <v>433</v>
      </c>
      <c r="C145" s="554"/>
      <c r="D145" s="554"/>
      <c r="E145" s="554"/>
      <c r="F145" s="554"/>
      <c r="G145" s="554"/>
      <c r="H145" s="554"/>
      <c r="I145" s="554"/>
      <c r="J145" s="554"/>
      <c r="K145" s="554"/>
    </row>
    <row r="146" spans="1:11" ht="22.8" x14ac:dyDescent="0.4">
      <c r="A146" s="149" t="s">
        <v>145</v>
      </c>
      <c r="B146" s="558" t="s">
        <v>434</v>
      </c>
      <c r="C146" s="559"/>
      <c r="D146" s="559"/>
      <c r="E146" s="559"/>
      <c r="F146" s="559"/>
      <c r="G146" s="559"/>
      <c r="H146" s="559"/>
      <c r="I146" s="559"/>
      <c r="J146" s="559"/>
      <c r="K146" s="560"/>
    </row>
    <row r="147" spans="1:11" ht="22.8" x14ac:dyDescent="0.4">
      <c r="A147" s="213" t="s">
        <v>119</v>
      </c>
      <c r="B147" s="160">
        <f>C147+F147+I147</f>
        <v>1978100</v>
      </c>
      <c r="C147" s="160">
        <f>D147+E147</f>
        <v>1867700</v>
      </c>
      <c r="D147" s="160">
        <f>'Додаток 3'!I77*1000</f>
        <v>1867700</v>
      </c>
      <c r="E147" s="160"/>
      <c r="F147" s="160">
        <f>G147+H147</f>
        <v>110400</v>
      </c>
      <c r="G147" s="160">
        <f>'Додаток 3'!J77*1000</f>
        <v>110400</v>
      </c>
      <c r="H147" s="160"/>
      <c r="I147" s="214">
        <f>J147+K147</f>
        <v>0</v>
      </c>
      <c r="J147" s="214">
        <f>'Додаток 3'!K77*1000</f>
        <v>0</v>
      </c>
      <c r="K147" s="153"/>
    </row>
    <row r="148" spans="1:11" ht="50.25" customHeight="1" x14ac:dyDescent="0.4">
      <c r="A148" s="51" t="s">
        <v>368</v>
      </c>
      <c r="B148" s="40"/>
      <c r="C148" s="40">
        <v>44900</v>
      </c>
      <c r="D148" s="40">
        <v>44900</v>
      </c>
      <c r="E148" s="40"/>
      <c r="F148" s="40">
        <v>40000</v>
      </c>
      <c r="G148" s="40">
        <v>40000</v>
      </c>
      <c r="H148" s="40"/>
      <c r="I148" s="40"/>
      <c r="J148" s="40"/>
      <c r="K148" s="39"/>
    </row>
    <row r="149" spans="1:11" ht="22.8" x14ac:dyDescent="0.4">
      <c r="A149" s="51" t="s">
        <v>148</v>
      </c>
      <c r="B149" s="40"/>
      <c r="C149" s="40">
        <v>335300</v>
      </c>
      <c r="D149" s="40">
        <v>335300</v>
      </c>
      <c r="E149" s="40"/>
      <c r="F149" s="40">
        <v>243800</v>
      </c>
      <c r="G149" s="40">
        <v>243800</v>
      </c>
      <c r="H149" s="40"/>
      <c r="I149" s="40"/>
      <c r="J149" s="40"/>
      <c r="K149" s="39"/>
    </row>
    <row r="150" spans="1:11" ht="22.8" x14ac:dyDescent="0.4">
      <c r="A150" s="213" t="s">
        <v>121</v>
      </c>
      <c r="B150" s="40"/>
      <c r="C150" s="40"/>
      <c r="D150" s="40"/>
      <c r="E150" s="40"/>
      <c r="F150" s="40"/>
      <c r="G150" s="40"/>
      <c r="H150" s="40"/>
      <c r="I150" s="40"/>
      <c r="J150" s="40"/>
      <c r="K150" s="39"/>
    </row>
    <row r="151" spans="1:11" ht="45.75" customHeight="1" x14ac:dyDescent="0.4">
      <c r="A151" s="154" t="s">
        <v>367</v>
      </c>
      <c r="B151" s="40"/>
      <c r="C151" s="40">
        <v>8</v>
      </c>
      <c r="D151" s="40">
        <v>8</v>
      </c>
      <c r="E151" s="40"/>
      <c r="F151" s="40">
        <v>7</v>
      </c>
      <c r="G151" s="40">
        <v>7</v>
      </c>
      <c r="H151" s="40"/>
      <c r="I151" s="40"/>
      <c r="J151" s="40"/>
      <c r="K151" s="39"/>
    </row>
    <row r="152" spans="1:11" ht="22.8" x14ac:dyDescent="0.4">
      <c r="A152" s="154" t="s">
        <v>149</v>
      </c>
      <c r="B152" s="40"/>
      <c r="C152" s="40">
        <v>100</v>
      </c>
      <c r="D152" s="40">
        <v>100</v>
      </c>
      <c r="E152" s="40"/>
      <c r="F152" s="40">
        <v>26</v>
      </c>
      <c r="G152" s="40">
        <v>26</v>
      </c>
      <c r="H152" s="40"/>
      <c r="I152" s="40"/>
      <c r="J152" s="40"/>
      <c r="K152" s="39"/>
    </row>
    <row r="153" spans="1:11" ht="22.8" x14ac:dyDescent="0.4">
      <c r="A153" s="213" t="s">
        <v>122</v>
      </c>
      <c r="B153" s="40"/>
      <c r="C153" s="40"/>
      <c r="D153" s="40"/>
      <c r="E153" s="40"/>
      <c r="F153" s="40"/>
      <c r="G153" s="40"/>
      <c r="H153" s="40"/>
      <c r="I153" s="40"/>
      <c r="J153" s="40"/>
      <c r="K153" s="39"/>
    </row>
    <row r="154" spans="1:11" ht="47.25" customHeight="1" x14ac:dyDescent="0.4">
      <c r="A154" s="155" t="s">
        <v>370</v>
      </c>
      <c r="B154" s="40"/>
      <c r="C154" s="40">
        <f>C148/C151/12</f>
        <v>467.70833333333331</v>
      </c>
      <c r="D154" s="40">
        <f>D148/D151/12</f>
        <v>467.70833333333331</v>
      </c>
      <c r="E154" s="40"/>
      <c r="F154" s="40">
        <v>7838</v>
      </c>
      <c r="G154" s="40">
        <v>7838</v>
      </c>
      <c r="H154" s="40"/>
      <c r="I154" s="40"/>
      <c r="J154" s="40"/>
      <c r="K154" s="39"/>
    </row>
    <row r="155" spans="1:11" ht="45.6" x14ac:dyDescent="0.4">
      <c r="A155" s="155" t="s">
        <v>369</v>
      </c>
      <c r="B155" s="40"/>
      <c r="C155" s="40">
        <f>C149/C152/12</f>
        <v>279.41666666666669</v>
      </c>
      <c r="D155" s="40">
        <f>D149/D152/12</f>
        <v>279.41666666666669</v>
      </c>
      <c r="E155" s="40"/>
      <c r="F155" s="40">
        <v>5714</v>
      </c>
      <c r="G155" s="40">
        <v>5714</v>
      </c>
      <c r="H155" s="40"/>
      <c r="I155" s="40"/>
      <c r="J155" s="40"/>
      <c r="K155" s="39"/>
    </row>
    <row r="156" spans="1:11" ht="45.6" x14ac:dyDescent="0.4">
      <c r="A156" s="155" t="s">
        <v>283</v>
      </c>
      <c r="B156" s="40"/>
      <c r="C156" s="40">
        <f>C147/12</f>
        <v>155641.66666666666</v>
      </c>
      <c r="D156" s="40">
        <f>D147/12</f>
        <v>155641.66666666666</v>
      </c>
      <c r="E156" s="40"/>
      <c r="F156" s="40">
        <v>142500</v>
      </c>
      <c r="G156" s="40">
        <v>142500</v>
      </c>
      <c r="H156" s="40"/>
      <c r="I156" s="40">
        <f>I147/12</f>
        <v>0</v>
      </c>
      <c r="J156" s="40"/>
      <c r="K156" s="39"/>
    </row>
    <row r="157" spans="1:11" ht="22.8" x14ac:dyDescent="0.4">
      <c r="A157" s="52" t="s">
        <v>114</v>
      </c>
      <c r="B157" s="553" t="s">
        <v>282</v>
      </c>
      <c r="C157" s="553"/>
      <c r="D157" s="553"/>
      <c r="E157" s="553"/>
      <c r="F157" s="553"/>
      <c r="G157" s="553"/>
      <c r="H157" s="553"/>
      <c r="I157" s="553"/>
      <c r="J157" s="553"/>
      <c r="K157" s="553"/>
    </row>
    <row r="158" spans="1:11" ht="22.8" x14ac:dyDescent="0.4">
      <c r="A158" s="149" t="s">
        <v>117</v>
      </c>
      <c r="B158" s="554" t="s">
        <v>118</v>
      </c>
      <c r="C158" s="554"/>
      <c r="D158" s="554"/>
      <c r="E158" s="554"/>
      <c r="F158" s="554"/>
      <c r="G158" s="554"/>
      <c r="H158" s="554"/>
      <c r="I158" s="554"/>
      <c r="J158" s="554"/>
      <c r="K158" s="554"/>
    </row>
    <row r="159" spans="1:11" ht="22.8" x14ac:dyDescent="0.4">
      <c r="A159" s="213" t="s">
        <v>119</v>
      </c>
      <c r="B159" s="160">
        <f>C159+F159+I159</f>
        <v>3445840</v>
      </c>
      <c r="C159" s="160">
        <f>D159+E159</f>
        <v>946270</v>
      </c>
      <c r="D159" s="160">
        <f>'Додаток 3'!I78*1000</f>
        <v>946270</v>
      </c>
      <c r="E159" s="160"/>
      <c r="F159" s="160">
        <f>G159+H159</f>
        <v>1066600</v>
      </c>
      <c r="G159" s="160">
        <f>'Додаток 3'!J78*1000</f>
        <v>1066600</v>
      </c>
      <c r="H159" s="160"/>
      <c r="I159" s="160">
        <f>J159+K159</f>
        <v>1432970</v>
      </c>
      <c r="J159" s="160">
        <f>'Додаток 3'!K78*1000</f>
        <v>1432970</v>
      </c>
      <c r="K159" s="160"/>
    </row>
    <row r="160" spans="1:11" ht="22.8" x14ac:dyDescent="0.4">
      <c r="A160" s="156" t="s">
        <v>150</v>
      </c>
      <c r="B160" s="40"/>
      <c r="C160" s="223">
        <v>8.25</v>
      </c>
      <c r="D160" s="223">
        <v>8.25</v>
      </c>
      <c r="E160" s="40"/>
      <c r="F160" s="223">
        <v>8.25</v>
      </c>
      <c r="G160" s="223">
        <v>8.25</v>
      </c>
      <c r="H160" s="40"/>
      <c r="I160" s="223">
        <v>8.25</v>
      </c>
      <c r="J160" s="223">
        <v>8.25</v>
      </c>
      <c r="K160" s="39"/>
    </row>
    <row r="161" spans="1:11" ht="22.8" x14ac:dyDescent="0.4">
      <c r="A161" s="158" t="s">
        <v>151</v>
      </c>
      <c r="B161" s="40"/>
      <c r="C161" s="223">
        <v>2.75</v>
      </c>
      <c r="D161" s="223">
        <v>2.75</v>
      </c>
      <c r="E161" s="40"/>
      <c r="F161" s="223">
        <v>2.75</v>
      </c>
      <c r="G161" s="223">
        <v>2.75</v>
      </c>
      <c r="H161" s="40"/>
      <c r="I161" s="223">
        <v>2.75</v>
      </c>
      <c r="J161" s="223">
        <v>2.75</v>
      </c>
      <c r="K161" s="39"/>
    </row>
    <row r="162" spans="1:11" ht="22.8" x14ac:dyDescent="0.4">
      <c r="A162" s="213" t="s">
        <v>121</v>
      </c>
      <c r="B162" s="40"/>
      <c r="C162" s="40"/>
      <c r="D162" s="40"/>
      <c r="E162" s="40"/>
      <c r="F162" s="40"/>
      <c r="G162" s="40"/>
      <c r="H162" s="40"/>
      <c r="I162" s="40"/>
      <c r="J162" s="40"/>
      <c r="K162" s="39"/>
    </row>
    <row r="163" spans="1:11" ht="22.8" x14ac:dyDescent="0.4">
      <c r="A163" s="154" t="s">
        <v>152</v>
      </c>
      <c r="B163" s="40"/>
      <c r="C163" s="40">
        <v>2915</v>
      </c>
      <c r="D163" s="40">
        <v>2915</v>
      </c>
      <c r="E163" s="40"/>
      <c r="F163" s="40">
        <v>3148</v>
      </c>
      <c r="G163" s="40">
        <v>3148</v>
      </c>
      <c r="H163" s="40"/>
      <c r="I163" s="40">
        <v>3148</v>
      </c>
      <c r="J163" s="40">
        <v>3148</v>
      </c>
      <c r="K163" s="39"/>
    </row>
    <row r="164" spans="1:11" ht="22.8" x14ac:dyDescent="0.4">
      <c r="A164" s="213" t="s">
        <v>122</v>
      </c>
      <c r="B164" s="40"/>
      <c r="C164" s="40"/>
      <c r="D164" s="40"/>
      <c r="E164" s="40"/>
      <c r="F164" s="40"/>
      <c r="G164" s="40"/>
      <c r="H164" s="40"/>
      <c r="I164" s="40"/>
      <c r="J164" s="40"/>
      <c r="K164" s="39"/>
    </row>
    <row r="165" spans="1:11" ht="45.6" x14ac:dyDescent="0.4">
      <c r="A165" s="54" t="s">
        <v>153</v>
      </c>
      <c r="B165" s="40"/>
      <c r="C165" s="40">
        <f>C163/C161</f>
        <v>1060</v>
      </c>
      <c r="D165" s="40">
        <f>D163/D161</f>
        <v>1060</v>
      </c>
      <c r="E165" s="40"/>
      <c r="F165" s="40">
        <f>F163/F161</f>
        <v>1144.7272727272727</v>
      </c>
      <c r="G165" s="40">
        <f>G163/G161</f>
        <v>1144.7272727272727</v>
      </c>
      <c r="H165" s="40"/>
      <c r="I165" s="40">
        <f>I163/I161</f>
        <v>1144.7272727272727</v>
      </c>
      <c r="J165" s="40">
        <f>J163/J161</f>
        <v>1144.7272727272727</v>
      </c>
      <c r="K165" s="39"/>
    </row>
    <row r="166" spans="1:11" ht="45.6" x14ac:dyDescent="0.4">
      <c r="A166" s="155" t="s">
        <v>284</v>
      </c>
      <c r="B166" s="40"/>
      <c r="C166" s="40">
        <f>C159/12</f>
        <v>78855.833333333328</v>
      </c>
      <c r="D166" s="40">
        <f>D159/12</f>
        <v>78855.833333333328</v>
      </c>
      <c r="E166" s="40"/>
      <c r="F166" s="40">
        <f>F159/12</f>
        <v>88883.333333333328</v>
      </c>
      <c r="G166" s="40">
        <f>G159/12</f>
        <v>88883.333333333328</v>
      </c>
      <c r="H166" s="40"/>
      <c r="I166" s="40">
        <f>I159/12</f>
        <v>119414.16666666667</v>
      </c>
      <c r="J166" s="40">
        <f>J159/12</f>
        <v>119414.16666666667</v>
      </c>
      <c r="K166" s="39"/>
    </row>
    <row r="167" spans="1:11" ht="22.8" x14ac:dyDescent="0.4">
      <c r="A167" s="52" t="s">
        <v>114</v>
      </c>
      <c r="B167" s="553" t="s">
        <v>285</v>
      </c>
      <c r="C167" s="553"/>
      <c r="D167" s="553"/>
      <c r="E167" s="553"/>
      <c r="F167" s="553"/>
      <c r="G167" s="553"/>
      <c r="H167" s="553"/>
      <c r="I167" s="553"/>
      <c r="J167" s="553"/>
      <c r="K167" s="553"/>
    </row>
    <row r="168" spans="1:11" ht="22.8" x14ac:dyDescent="0.4">
      <c r="A168" s="149" t="s">
        <v>117</v>
      </c>
      <c r="B168" s="554" t="s">
        <v>118</v>
      </c>
      <c r="C168" s="554"/>
      <c r="D168" s="554"/>
      <c r="E168" s="554"/>
      <c r="F168" s="554"/>
      <c r="G168" s="554"/>
      <c r="H168" s="554"/>
      <c r="I168" s="554"/>
      <c r="J168" s="554"/>
      <c r="K168" s="554"/>
    </row>
    <row r="169" spans="1:11" ht="22.8" x14ac:dyDescent="0.4">
      <c r="A169" s="213" t="s">
        <v>119</v>
      </c>
      <c r="B169" s="160">
        <f>C169+F169+I169</f>
        <v>6073800</v>
      </c>
      <c r="C169" s="160">
        <f>D169+E169</f>
        <v>1217800</v>
      </c>
      <c r="D169" s="160">
        <f>'Додаток 3'!I79*1000</f>
        <v>1217800</v>
      </c>
      <c r="E169" s="160"/>
      <c r="F169" s="160">
        <f>G169+H169</f>
        <v>2344000</v>
      </c>
      <c r="G169" s="160">
        <f>'Додаток 3'!J79*1000</f>
        <v>2344000</v>
      </c>
      <c r="H169" s="160"/>
      <c r="I169" s="160">
        <f>J169+K169</f>
        <v>2512000</v>
      </c>
      <c r="J169" s="160">
        <f>'Додаток 3'!K79*1000</f>
        <v>2512000</v>
      </c>
      <c r="K169" s="160"/>
    </row>
    <row r="170" spans="1:11" ht="22.8" x14ac:dyDescent="0.4">
      <c r="A170" s="213" t="s">
        <v>121</v>
      </c>
      <c r="B170" s="40"/>
      <c r="C170" s="40"/>
      <c r="D170" s="58"/>
      <c r="E170" s="40"/>
      <c r="F170" s="40"/>
      <c r="G170" s="40"/>
      <c r="H170" s="40"/>
      <c r="I170" s="40"/>
      <c r="J170" s="40"/>
      <c r="K170" s="39"/>
    </row>
    <row r="171" spans="1:11" ht="22.8" x14ac:dyDescent="0.4">
      <c r="A171" s="154" t="s">
        <v>154</v>
      </c>
      <c r="B171" s="40"/>
      <c r="C171" s="40">
        <v>600</v>
      </c>
      <c r="D171" s="40">
        <v>600</v>
      </c>
      <c r="E171" s="40"/>
      <c r="F171" s="40">
        <f>G171</f>
        <v>607</v>
      </c>
      <c r="G171" s="40">
        <v>607</v>
      </c>
      <c r="H171" s="40"/>
      <c r="I171" s="40">
        <f>J171</f>
        <v>607</v>
      </c>
      <c r="J171" s="40">
        <v>607</v>
      </c>
      <c r="K171" s="39"/>
    </row>
    <row r="172" spans="1:11" ht="22.8" x14ac:dyDescent="0.4">
      <c r="A172" s="213" t="s">
        <v>122</v>
      </c>
      <c r="B172" s="40"/>
      <c r="C172" s="40"/>
      <c r="D172" s="40"/>
      <c r="E172" s="40"/>
      <c r="F172" s="40"/>
      <c r="G172" s="40"/>
      <c r="H172" s="40"/>
      <c r="I172" s="40"/>
      <c r="J172" s="40"/>
      <c r="K172" s="39"/>
    </row>
    <row r="173" spans="1:11" ht="22.8" x14ac:dyDescent="0.4">
      <c r="A173" s="159" t="s">
        <v>155</v>
      </c>
      <c r="B173" s="40"/>
      <c r="C173" s="40">
        <f>C169/C171</f>
        <v>2029.6666666666667</v>
      </c>
      <c r="D173" s="40">
        <f>D169/D171</f>
        <v>2029.6666666666667</v>
      </c>
      <c r="E173" s="40"/>
      <c r="F173" s="40">
        <f>F169/F171</f>
        <v>3861.6144975288303</v>
      </c>
      <c r="G173" s="40">
        <f>G169/G171</f>
        <v>3861.6144975288303</v>
      </c>
      <c r="H173" s="40"/>
      <c r="I173" s="40">
        <f>I169/I171</f>
        <v>4138.3855024711693</v>
      </c>
      <c r="J173" s="40">
        <f>J169/J171</f>
        <v>4138.3855024711693</v>
      </c>
      <c r="K173" s="39"/>
    </row>
    <row r="174" spans="1:11" ht="22.8" x14ac:dyDescent="0.4">
      <c r="A174" s="52" t="s">
        <v>114</v>
      </c>
      <c r="B174" s="555" t="s">
        <v>413</v>
      </c>
      <c r="C174" s="556"/>
      <c r="D174" s="556"/>
      <c r="E174" s="556"/>
      <c r="F174" s="556"/>
      <c r="G174" s="556"/>
      <c r="H174" s="556"/>
      <c r="I174" s="556"/>
      <c r="J174" s="556"/>
      <c r="K174" s="557"/>
    </row>
    <row r="175" spans="1:11" ht="22.8" x14ac:dyDescent="0.4">
      <c r="A175" s="149" t="s">
        <v>117</v>
      </c>
      <c r="B175" s="554" t="s">
        <v>118</v>
      </c>
      <c r="C175" s="554"/>
      <c r="D175" s="554"/>
      <c r="E175" s="554"/>
      <c r="F175" s="554"/>
      <c r="G175" s="554"/>
      <c r="H175" s="554"/>
      <c r="I175" s="554"/>
      <c r="J175" s="554"/>
      <c r="K175" s="554"/>
    </row>
    <row r="176" spans="1:11" ht="22.8" x14ac:dyDescent="0.4">
      <c r="A176" s="159"/>
      <c r="B176" s="42">
        <f>C176+F176+I176</f>
        <v>1000000</v>
      </c>
      <c r="C176" s="157"/>
      <c r="D176" s="157"/>
      <c r="E176" s="157"/>
      <c r="F176" s="157">
        <f>G176</f>
        <v>1000000</v>
      </c>
      <c r="G176" s="157">
        <v>1000000</v>
      </c>
      <c r="H176" s="157"/>
      <c r="I176" s="157"/>
      <c r="J176" s="40"/>
      <c r="K176" s="39"/>
    </row>
    <row r="177" spans="1:11" ht="22.8" x14ac:dyDescent="0.4">
      <c r="A177" s="167" t="s">
        <v>119</v>
      </c>
      <c r="B177" s="42"/>
      <c r="C177" s="157"/>
      <c r="D177" s="157"/>
      <c r="E177" s="157"/>
      <c r="F177" s="157"/>
      <c r="G177" s="157"/>
      <c r="H177" s="157"/>
      <c r="I177" s="157"/>
      <c r="J177" s="40"/>
      <c r="K177" s="39"/>
    </row>
    <row r="178" spans="1:11" ht="22.8" x14ac:dyDescent="0.4">
      <c r="A178" s="167" t="s">
        <v>121</v>
      </c>
      <c r="B178" s="42"/>
      <c r="C178" s="157"/>
      <c r="D178" s="157"/>
      <c r="E178" s="157"/>
      <c r="F178" s="157"/>
      <c r="G178" s="157"/>
      <c r="H178" s="157"/>
      <c r="I178" s="157"/>
      <c r="J178" s="40"/>
      <c r="K178" s="39"/>
    </row>
    <row r="179" spans="1:11" ht="30.75" customHeight="1" x14ac:dyDescent="0.4">
      <c r="A179" s="173" t="s">
        <v>435</v>
      </c>
      <c r="B179" s="42"/>
      <c r="C179" s="157"/>
      <c r="D179" s="157"/>
      <c r="E179" s="157"/>
      <c r="F179" s="40">
        <f>G179</f>
        <v>600</v>
      </c>
      <c r="G179" s="40">
        <v>600</v>
      </c>
      <c r="H179" s="40"/>
      <c r="I179" s="157"/>
      <c r="J179" s="40"/>
      <c r="K179" s="39"/>
    </row>
    <row r="180" spans="1:11" ht="45.6" x14ac:dyDescent="0.4">
      <c r="A180" s="168" t="s">
        <v>411</v>
      </c>
      <c r="B180" s="42"/>
      <c r="C180" s="157"/>
      <c r="D180" s="157"/>
      <c r="E180" s="157"/>
      <c r="F180" s="40">
        <f>G180</f>
        <v>14</v>
      </c>
      <c r="G180" s="40">
        <v>14</v>
      </c>
      <c r="H180" s="40"/>
      <c r="I180" s="157"/>
      <c r="J180" s="40"/>
      <c r="K180" s="39"/>
    </row>
    <row r="181" spans="1:11" ht="22.8" x14ac:dyDescent="0.4">
      <c r="A181" s="167" t="s">
        <v>122</v>
      </c>
      <c r="B181" s="42"/>
      <c r="C181" s="157"/>
      <c r="D181" s="157"/>
      <c r="E181" s="157"/>
      <c r="F181" s="40"/>
      <c r="G181" s="40"/>
      <c r="H181" s="40"/>
      <c r="I181" s="157"/>
      <c r="J181" s="40"/>
      <c r="K181" s="39"/>
    </row>
    <row r="182" spans="1:11" ht="22.8" x14ac:dyDescent="0.4">
      <c r="A182" s="169" t="s">
        <v>412</v>
      </c>
      <c r="B182" s="42"/>
      <c r="C182" s="157"/>
      <c r="D182" s="157"/>
      <c r="E182" s="157"/>
      <c r="F182" s="40">
        <f>G182</f>
        <v>71428.571428571435</v>
      </c>
      <c r="G182" s="40">
        <f>G176/G180</f>
        <v>71428.571428571435</v>
      </c>
      <c r="H182" s="40"/>
      <c r="I182" s="157"/>
      <c r="J182" s="40"/>
      <c r="K182" s="39"/>
    </row>
    <row r="183" spans="1:11" ht="23.25" customHeight="1" x14ac:dyDescent="0.4">
      <c r="A183" s="52" t="s">
        <v>114</v>
      </c>
      <c r="B183" s="572" t="s">
        <v>414</v>
      </c>
      <c r="C183" s="573"/>
      <c r="D183" s="573"/>
      <c r="E183" s="573"/>
      <c r="F183" s="573"/>
      <c r="G183" s="573"/>
      <c r="H183" s="573"/>
      <c r="I183" s="573"/>
      <c r="J183" s="573"/>
      <c r="K183" s="574"/>
    </row>
    <row r="184" spans="1:11" ht="23.25" customHeight="1" x14ac:dyDescent="0.4">
      <c r="A184" s="149" t="s">
        <v>117</v>
      </c>
      <c r="B184" s="554" t="s">
        <v>118</v>
      </c>
      <c r="C184" s="554"/>
      <c r="D184" s="554"/>
      <c r="E184" s="554"/>
      <c r="F184" s="554"/>
      <c r="G184" s="554"/>
      <c r="H184" s="554"/>
      <c r="I184" s="554"/>
      <c r="J184" s="554"/>
      <c r="K184" s="554"/>
    </row>
    <row r="185" spans="1:11" ht="22.8" x14ac:dyDescent="0.4">
      <c r="A185" s="167" t="s">
        <v>119</v>
      </c>
      <c r="B185" s="40">
        <f>C185+F185+I185</f>
        <v>339200</v>
      </c>
      <c r="C185" s="40"/>
      <c r="D185" s="40"/>
      <c r="E185" s="40"/>
      <c r="F185" s="40">
        <f>G185</f>
        <v>339200</v>
      </c>
      <c r="G185" s="40">
        <f>('Додаток 3'!J86+'Додаток 3'!J87+'Додаток 3'!J88+'Додаток 3'!J89)*1000</f>
        <v>339200</v>
      </c>
      <c r="H185" s="40"/>
      <c r="I185" s="157"/>
      <c r="J185" s="40"/>
      <c r="K185" s="39"/>
    </row>
    <row r="186" spans="1:11" ht="22.8" x14ac:dyDescent="0.4">
      <c r="A186" s="167" t="s">
        <v>121</v>
      </c>
      <c r="B186" s="40"/>
      <c r="C186" s="40"/>
      <c r="D186" s="40"/>
      <c r="E186" s="40"/>
      <c r="F186" s="40"/>
      <c r="G186" s="40"/>
      <c r="H186" s="40"/>
      <c r="I186" s="157"/>
      <c r="J186" s="40"/>
      <c r="K186" s="39"/>
    </row>
    <row r="187" spans="1:11" ht="45.6" x14ac:dyDescent="0.4">
      <c r="A187" s="172" t="s">
        <v>428</v>
      </c>
      <c r="B187" s="40"/>
      <c r="C187" s="40"/>
      <c r="D187" s="40"/>
      <c r="E187" s="40"/>
      <c r="F187" s="40">
        <f t="shared" ref="F187:F190" si="2">G187</f>
        <v>28236</v>
      </c>
      <c r="G187" s="40">
        <v>28236</v>
      </c>
      <c r="H187" s="40"/>
      <c r="I187" s="157"/>
      <c r="J187" s="40"/>
      <c r="K187" s="39"/>
    </row>
    <row r="188" spans="1:11" ht="22.8" x14ac:dyDescent="0.4">
      <c r="A188" s="172" t="s">
        <v>415</v>
      </c>
      <c r="B188" s="40"/>
      <c r="C188" s="40"/>
      <c r="D188" s="40"/>
      <c r="E188" s="40"/>
      <c r="F188" s="40">
        <f t="shared" si="2"/>
        <v>5665</v>
      </c>
      <c r="G188" s="40">
        <v>5665</v>
      </c>
      <c r="H188" s="40"/>
      <c r="I188" s="157"/>
      <c r="J188" s="40"/>
      <c r="K188" s="39"/>
    </row>
    <row r="189" spans="1:11" ht="22.8" x14ac:dyDescent="0.4">
      <c r="A189" s="167" t="s">
        <v>122</v>
      </c>
      <c r="B189" s="40"/>
      <c r="C189" s="40"/>
      <c r="D189" s="40"/>
      <c r="E189" s="40"/>
      <c r="F189" s="40"/>
      <c r="G189" s="40"/>
      <c r="H189" s="40"/>
      <c r="I189" s="157"/>
      <c r="J189" s="40"/>
      <c r="K189" s="39"/>
    </row>
    <row r="190" spans="1:11" ht="45.6" x14ac:dyDescent="0.4">
      <c r="A190" s="175" t="s">
        <v>416</v>
      </c>
      <c r="B190" s="40"/>
      <c r="C190" s="40"/>
      <c r="D190" s="40"/>
      <c r="E190" s="40"/>
      <c r="F190" s="40">
        <f t="shared" si="2"/>
        <v>59.876434245366283</v>
      </c>
      <c r="G190" s="40">
        <f>G185/G188</f>
        <v>59.876434245366283</v>
      </c>
      <c r="H190" s="40"/>
      <c r="I190" s="157"/>
      <c r="J190" s="40"/>
      <c r="K190" s="39"/>
    </row>
    <row r="191" spans="1:11" ht="22.8" x14ac:dyDescent="0.4">
      <c r="A191" s="49" t="s">
        <v>114</v>
      </c>
      <c r="B191" s="563" t="s">
        <v>215</v>
      </c>
      <c r="C191" s="563"/>
      <c r="D191" s="563"/>
      <c r="E191" s="563"/>
      <c r="F191" s="563"/>
      <c r="G191" s="563"/>
      <c r="H191" s="563"/>
      <c r="I191" s="563"/>
      <c r="J191" s="563"/>
      <c r="K191" s="563"/>
    </row>
    <row r="192" spans="1:11" ht="20.25" customHeight="1" x14ac:dyDescent="0.4">
      <c r="A192" s="149" t="s">
        <v>124</v>
      </c>
      <c r="B192" s="554" t="s">
        <v>159</v>
      </c>
      <c r="C192" s="554"/>
      <c r="D192" s="554"/>
      <c r="E192" s="554"/>
      <c r="F192" s="554"/>
      <c r="G192" s="554"/>
      <c r="H192" s="554"/>
      <c r="I192" s="554"/>
      <c r="J192" s="554"/>
      <c r="K192" s="554"/>
    </row>
    <row r="193" spans="1:11" ht="22.8" x14ac:dyDescent="0.4">
      <c r="A193" s="213" t="s">
        <v>119</v>
      </c>
      <c r="B193" s="39">
        <f>C193+F193+I193</f>
        <v>19590970</v>
      </c>
      <c r="C193" s="39">
        <f>D193+E193</f>
        <v>12199200</v>
      </c>
      <c r="D193" s="39">
        <f>('Додаток 3'!I122+'Додаток 3'!I125+'Додаток 3'!I126)*1000</f>
        <v>12199200</v>
      </c>
      <c r="E193" s="39"/>
      <c r="F193" s="39">
        <f>G193+H193</f>
        <v>4168350.0000000005</v>
      </c>
      <c r="G193" s="39">
        <f>('Додаток 3'!J122+'Додаток 3'!J125+'Додаток 3'!J126)*1000</f>
        <v>4168350.0000000005</v>
      </c>
      <c r="H193" s="39"/>
      <c r="I193" s="39">
        <f>J193+K193</f>
        <v>3223420</v>
      </c>
      <c r="J193" s="39">
        <f>('Додаток 3'!K122+'Додаток 3'!K125+'Додаток 3'!K126)*1000</f>
        <v>3223420</v>
      </c>
      <c r="K193" s="39"/>
    </row>
    <row r="194" spans="1:11" ht="22.8" x14ac:dyDescent="0.4">
      <c r="A194" s="213" t="s">
        <v>346</v>
      </c>
      <c r="B194" s="39"/>
      <c r="C194" s="40">
        <v>1</v>
      </c>
      <c r="D194" s="40">
        <v>1</v>
      </c>
      <c r="E194" s="39"/>
      <c r="F194" s="40">
        <v>1</v>
      </c>
      <c r="G194" s="40">
        <v>1</v>
      </c>
      <c r="H194" s="40"/>
      <c r="I194" s="40">
        <v>1</v>
      </c>
      <c r="J194" s="40">
        <v>1</v>
      </c>
      <c r="K194" s="39"/>
    </row>
    <row r="195" spans="1:11" ht="45.6" x14ac:dyDescent="0.4">
      <c r="A195" s="213" t="s">
        <v>351</v>
      </c>
      <c r="B195" s="40"/>
      <c r="C195" s="40">
        <f>C193/C194/12</f>
        <v>1016600</v>
      </c>
      <c r="D195" s="40">
        <f>D193/D194/12</f>
        <v>1016600</v>
      </c>
      <c r="E195" s="40"/>
      <c r="F195" s="40">
        <f>F193/F194/12</f>
        <v>347362.50000000006</v>
      </c>
      <c r="G195" s="40">
        <f>G193/G194/12</f>
        <v>347362.50000000006</v>
      </c>
      <c r="H195" s="40"/>
      <c r="I195" s="40">
        <f>I193/I194/12</f>
        <v>268618.33333333331</v>
      </c>
      <c r="J195" s="40">
        <f>J193/J194/12</f>
        <v>268618.33333333331</v>
      </c>
      <c r="K195" s="39"/>
    </row>
    <row r="196" spans="1:11" ht="22.8" x14ac:dyDescent="0.4">
      <c r="A196" s="52" t="s">
        <v>114</v>
      </c>
      <c r="B196" s="555" t="s">
        <v>426</v>
      </c>
      <c r="C196" s="556"/>
      <c r="D196" s="556"/>
      <c r="E196" s="556"/>
      <c r="F196" s="556"/>
      <c r="G196" s="556"/>
      <c r="H196" s="556"/>
      <c r="I196" s="556"/>
      <c r="J196" s="556"/>
      <c r="K196" s="557"/>
    </row>
    <row r="197" spans="1:11" ht="22.8" x14ac:dyDescent="0.4">
      <c r="A197" s="149" t="s">
        <v>124</v>
      </c>
      <c r="B197" s="554" t="s">
        <v>159</v>
      </c>
      <c r="C197" s="554"/>
      <c r="D197" s="554"/>
      <c r="E197" s="554"/>
      <c r="F197" s="554"/>
      <c r="G197" s="554"/>
      <c r="H197" s="554"/>
      <c r="I197" s="554"/>
      <c r="J197" s="554"/>
      <c r="K197" s="554"/>
    </row>
    <row r="198" spans="1:11" ht="22.8" x14ac:dyDescent="0.4">
      <c r="A198" s="167" t="s">
        <v>119</v>
      </c>
      <c r="B198" s="39">
        <f>C198+F198+I198</f>
        <v>58800</v>
      </c>
      <c r="C198" s="39">
        <f>D198</f>
        <v>0</v>
      </c>
      <c r="D198" s="39"/>
      <c r="E198" s="39"/>
      <c r="F198" s="39">
        <f>G198</f>
        <v>58800</v>
      </c>
      <c r="G198" s="39">
        <f>'Додаток 3'!J128*1000</f>
        <v>58800</v>
      </c>
      <c r="H198" s="39"/>
      <c r="I198" s="39">
        <f>J198</f>
        <v>0</v>
      </c>
      <c r="J198" s="40"/>
      <c r="K198" s="39"/>
    </row>
    <row r="199" spans="1:11" ht="22.8" x14ac:dyDescent="0.4">
      <c r="A199" s="167" t="s">
        <v>121</v>
      </c>
      <c r="B199" s="40"/>
      <c r="C199" s="40"/>
      <c r="D199" s="40"/>
      <c r="E199" s="40"/>
      <c r="F199" s="40"/>
      <c r="G199" s="40"/>
      <c r="H199" s="40"/>
      <c r="I199" s="40"/>
      <c r="J199" s="40"/>
      <c r="K199" s="39"/>
    </row>
    <row r="200" spans="1:11" ht="45.6" x14ac:dyDescent="0.4">
      <c r="A200" s="172" t="s">
        <v>428</v>
      </c>
      <c r="B200" s="40"/>
      <c r="C200" s="40"/>
      <c r="D200" s="40"/>
      <c r="E200" s="40"/>
      <c r="F200" s="40">
        <f t="shared" ref="F200:F203" si="3">G200</f>
        <v>2940</v>
      </c>
      <c r="G200" s="40">
        <v>2940</v>
      </c>
      <c r="H200" s="40"/>
      <c r="I200" s="40"/>
      <c r="J200" s="40"/>
      <c r="K200" s="39"/>
    </row>
    <row r="201" spans="1:11" ht="22.8" x14ac:dyDescent="0.4">
      <c r="A201" s="172" t="s">
        <v>415</v>
      </c>
      <c r="B201" s="40"/>
      <c r="C201" s="40"/>
      <c r="D201" s="40"/>
      <c r="E201" s="40"/>
      <c r="F201" s="40">
        <f t="shared" si="3"/>
        <v>980</v>
      </c>
      <c r="G201" s="40">
        <v>980</v>
      </c>
      <c r="H201" s="40"/>
      <c r="I201" s="40"/>
      <c r="J201" s="40"/>
      <c r="K201" s="39"/>
    </row>
    <row r="202" spans="1:11" ht="22.8" x14ac:dyDescent="0.4">
      <c r="A202" s="167" t="s">
        <v>122</v>
      </c>
      <c r="B202" s="40"/>
      <c r="C202" s="40"/>
      <c r="D202" s="40"/>
      <c r="E202" s="40"/>
      <c r="F202" s="40"/>
      <c r="G202" s="40"/>
      <c r="H202" s="40"/>
      <c r="I202" s="40"/>
      <c r="J202" s="40"/>
      <c r="K202" s="39"/>
    </row>
    <row r="203" spans="1:11" ht="45.6" x14ac:dyDescent="0.4">
      <c r="A203" s="175" t="s">
        <v>416</v>
      </c>
      <c r="B203" s="40"/>
      <c r="C203" s="40"/>
      <c r="D203" s="40"/>
      <c r="E203" s="40"/>
      <c r="F203" s="40">
        <f t="shared" si="3"/>
        <v>60</v>
      </c>
      <c r="G203" s="40">
        <f>G198/G201</f>
        <v>60</v>
      </c>
      <c r="H203" s="40"/>
      <c r="I203" s="40"/>
      <c r="J203" s="40"/>
      <c r="K203" s="39"/>
    </row>
    <row r="204" spans="1:11" ht="22.8" x14ac:dyDescent="0.4">
      <c r="A204" s="49" t="s">
        <v>114</v>
      </c>
      <c r="B204" s="563" t="s">
        <v>255</v>
      </c>
      <c r="C204" s="563"/>
      <c r="D204" s="563"/>
      <c r="E204" s="563"/>
      <c r="F204" s="563"/>
      <c r="G204" s="563"/>
      <c r="H204" s="563"/>
      <c r="I204" s="563"/>
      <c r="J204" s="563"/>
      <c r="K204" s="563"/>
    </row>
    <row r="205" spans="1:11" ht="20.25" customHeight="1" x14ac:dyDescent="0.4">
      <c r="A205" s="149" t="s">
        <v>126</v>
      </c>
      <c r="B205" s="562" t="s">
        <v>127</v>
      </c>
      <c r="C205" s="562"/>
      <c r="D205" s="562"/>
      <c r="E205" s="562"/>
      <c r="F205" s="562"/>
      <c r="G205" s="562"/>
      <c r="H205" s="562"/>
      <c r="I205" s="562"/>
      <c r="J205" s="562"/>
      <c r="K205" s="562"/>
    </row>
    <row r="206" spans="1:11" ht="22.8" x14ac:dyDescent="0.4">
      <c r="A206" s="213" t="s">
        <v>119</v>
      </c>
      <c r="B206" s="38">
        <f>C206+F206+I206</f>
        <v>22552675</v>
      </c>
      <c r="C206" s="213">
        <f>D206+E206</f>
        <v>6738000</v>
      </c>
      <c r="D206" s="213">
        <f>'Додаток 3'!I136*1000</f>
        <v>6738000</v>
      </c>
      <c r="E206" s="213"/>
      <c r="F206" s="213">
        <f>G206</f>
        <v>7745100</v>
      </c>
      <c r="G206" s="213">
        <f>'Додаток 3'!J136*1000</f>
        <v>7745100</v>
      </c>
      <c r="H206" s="213"/>
      <c r="I206" s="213">
        <f>J206</f>
        <v>8069575</v>
      </c>
      <c r="J206" s="213">
        <f>'Додаток 3'!K136*1000</f>
        <v>8069575</v>
      </c>
      <c r="K206" s="213"/>
    </row>
    <row r="207" spans="1:11" ht="22.8" x14ac:dyDescent="0.4">
      <c r="A207" s="213" t="s">
        <v>346</v>
      </c>
      <c r="B207" s="38"/>
      <c r="C207" s="40">
        <v>1</v>
      </c>
      <c r="D207" s="40">
        <v>1</v>
      </c>
      <c r="E207" s="39"/>
      <c r="F207" s="40">
        <f>G207</f>
        <v>1</v>
      </c>
      <c r="G207" s="40">
        <v>1</v>
      </c>
      <c r="H207" s="40"/>
      <c r="I207" s="40">
        <f>J207</f>
        <v>1</v>
      </c>
      <c r="J207" s="39">
        <v>1</v>
      </c>
      <c r="K207" s="39"/>
    </row>
    <row r="208" spans="1:11" ht="45.6" x14ac:dyDescent="0.4">
      <c r="A208" s="213" t="s">
        <v>354</v>
      </c>
      <c r="B208" s="42"/>
      <c r="C208" s="40">
        <f>C206/C207/12</f>
        <v>561500</v>
      </c>
      <c r="D208" s="40">
        <f>D206/D207/12</f>
        <v>561500</v>
      </c>
      <c r="E208" s="40"/>
      <c r="F208" s="40">
        <f>G208</f>
        <v>645425</v>
      </c>
      <c r="G208" s="40">
        <f>G206/G207/12</f>
        <v>645425</v>
      </c>
      <c r="H208" s="40"/>
      <c r="I208" s="40">
        <f>J208</f>
        <v>672464.58333333337</v>
      </c>
      <c r="J208" s="40">
        <f>J206/J207/12</f>
        <v>672464.58333333337</v>
      </c>
      <c r="K208" s="39"/>
    </row>
    <row r="209" spans="1:14" ht="22.8" x14ac:dyDescent="0.4">
      <c r="A209" s="561" t="s">
        <v>201</v>
      </c>
      <c r="B209" s="561"/>
      <c r="C209" s="561"/>
      <c r="D209" s="561"/>
      <c r="E209" s="561"/>
      <c r="F209" s="561"/>
      <c r="G209" s="561"/>
      <c r="H209" s="561"/>
      <c r="I209" s="561"/>
      <c r="J209" s="561"/>
      <c r="K209" s="561"/>
    </row>
    <row r="210" spans="1:14" ht="22.8" x14ac:dyDescent="0.4">
      <c r="A210" s="48" t="s">
        <v>287</v>
      </c>
      <c r="B210" s="38">
        <f t="shared" ref="B210:K210" si="4">B214+B221+B235+B243+B250+B257+B266+B282+B290</f>
        <v>77750285.350000009</v>
      </c>
      <c r="C210" s="38">
        <f t="shared" si="4"/>
        <v>29168829</v>
      </c>
      <c r="D210" s="38">
        <f t="shared" si="4"/>
        <v>29168829</v>
      </c>
      <c r="E210" s="38">
        <f t="shared" si="4"/>
        <v>0</v>
      </c>
      <c r="F210" s="38">
        <f>F214+F221+F235+F243+F250+F257+F266+F282+F290</f>
        <v>29612703.599999998</v>
      </c>
      <c r="G210" s="38">
        <f>G214+G221+G235+G243+G250+G257+G266+G282+G290</f>
        <v>29612703.599999998</v>
      </c>
      <c r="H210" s="38">
        <f t="shared" si="4"/>
        <v>0</v>
      </c>
      <c r="I210" s="38">
        <f t="shared" si="4"/>
        <v>18968752.75</v>
      </c>
      <c r="J210" s="38">
        <f t="shared" si="4"/>
        <v>18968752.75</v>
      </c>
      <c r="K210" s="38">
        <f t="shared" si="4"/>
        <v>0</v>
      </c>
      <c r="M210" s="43">
        <f>C210+F210+I210</f>
        <v>77750285.349999994</v>
      </c>
      <c r="N210" s="43">
        <f>M210-B210</f>
        <v>0</v>
      </c>
    </row>
    <row r="211" spans="1:14" ht="22.8" x14ac:dyDescent="0.4">
      <c r="A211" s="48" t="s">
        <v>116</v>
      </c>
      <c r="B211" s="565"/>
      <c r="C211" s="566"/>
      <c r="D211" s="566"/>
      <c r="E211" s="566"/>
      <c r="F211" s="566"/>
      <c r="G211" s="566"/>
      <c r="H211" s="566"/>
      <c r="I211" s="566"/>
      <c r="J211" s="566"/>
      <c r="K211" s="567"/>
    </row>
    <row r="212" spans="1:14" ht="22.8" x14ac:dyDescent="0.4">
      <c r="A212" s="52" t="s">
        <v>114</v>
      </c>
      <c r="B212" s="553" t="s">
        <v>288</v>
      </c>
      <c r="C212" s="553"/>
      <c r="D212" s="553"/>
      <c r="E212" s="553"/>
      <c r="F212" s="553"/>
      <c r="G212" s="553"/>
      <c r="H212" s="553"/>
      <c r="I212" s="553"/>
      <c r="J212" s="553"/>
      <c r="K212" s="553"/>
    </row>
    <row r="213" spans="1:14" ht="22.8" x14ac:dyDescent="0.4">
      <c r="A213" s="149" t="s">
        <v>145</v>
      </c>
      <c r="B213" s="558" t="s">
        <v>161</v>
      </c>
      <c r="C213" s="559"/>
      <c r="D213" s="559"/>
      <c r="E213" s="559"/>
      <c r="F213" s="559"/>
      <c r="G213" s="559"/>
      <c r="H213" s="559"/>
      <c r="I213" s="559"/>
      <c r="J213" s="559"/>
      <c r="K213" s="560"/>
    </row>
    <row r="214" spans="1:14" ht="22.8" x14ac:dyDescent="0.4">
      <c r="A214" s="213" t="s">
        <v>119</v>
      </c>
      <c r="B214" s="160">
        <f>C214+F214+I214</f>
        <v>16196574.089599997</v>
      </c>
      <c r="C214" s="160">
        <f>D214+E214</f>
        <v>5194000</v>
      </c>
      <c r="D214" s="160">
        <f>'Додаток 3'!I174*1000</f>
        <v>5194000</v>
      </c>
      <c r="E214" s="160"/>
      <c r="F214" s="160">
        <f>G214+H214</f>
        <v>5304409.5999999987</v>
      </c>
      <c r="G214" s="160">
        <f>'Додаток 3'!J174*1000</f>
        <v>5304409.5999999987</v>
      </c>
      <c r="H214" s="160"/>
      <c r="I214" s="160">
        <f>J214+K214</f>
        <v>5698164.4896</v>
      </c>
      <c r="J214" s="160">
        <f>'Додаток 3'!K174*1000</f>
        <v>5698164.4896</v>
      </c>
      <c r="K214" s="160"/>
    </row>
    <row r="215" spans="1:14" ht="22.8" x14ac:dyDescent="0.4">
      <c r="A215" s="213" t="s">
        <v>121</v>
      </c>
      <c r="B215" s="40"/>
      <c r="C215" s="40"/>
      <c r="D215" s="40"/>
      <c r="E215" s="40"/>
      <c r="F215" s="40"/>
      <c r="G215" s="40"/>
      <c r="H215" s="40"/>
      <c r="I215" s="40"/>
      <c r="J215" s="40"/>
      <c r="K215" s="39"/>
    </row>
    <row r="216" spans="1:14" ht="22.8" x14ac:dyDescent="0.4">
      <c r="A216" s="53" t="s">
        <v>160</v>
      </c>
      <c r="B216" s="40"/>
      <c r="C216" s="40">
        <v>51807</v>
      </c>
      <c r="D216" s="40">
        <v>51807</v>
      </c>
      <c r="E216" s="40"/>
      <c r="F216" s="40">
        <f>G216</f>
        <v>46138</v>
      </c>
      <c r="G216" s="40">
        <v>46138</v>
      </c>
      <c r="H216" s="40"/>
      <c r="I216" s="40">
        <v>46138</v>
      </c>
      <c r="J216" s="40">
        <v>46138</v>
      </c>
      <c r="K216" s="39"/>
    </row>
    <row r="217" spans="1:14" ht="22.8" x14ac:dyDescent="0.4">
      <c r="A217" s="213" t="s">
        <v>122</v>
      </c>
      <c r="B217" s="40"/>
      <c r="C217" s="40"/>
      <c r="D217" s="40"/>
      <c r="E217" s="40"/>
      <c r="F217" s="40"/>
      <c r="G217" s="40"/>
      <c r="H217" s="40"/>
      <c r="I217" s="40"/>
      <c r="J217" s="40"/>
      <c r="K217" s="39"/>
    </row>
    <row r="218" spans="1:14" ht="22.8" x14ac:dyDescent="0.4">
      <c r="A218" s="51" t="s">
        <v>289</v>
      </c>
      <c r="B218" s="40"/>
      <c r="C218" s="40">
        <f>C214/C216</f>
        <v>100.25672206458587</v>
      </c>
      <c r="D218" s="40">
        <f>D214/D216</f>
        <v>100.25672206458587</v>
      </c>
      <c r="E218" s="40"/>
      <c r="F218" s="40">
        <f>G218</f>
        <v>114.96834713251548</v>
      </c>
      <c r="G218" s="40">
        <f>G214/G216</f>
        <v>114.96834713251548</v>
      </c>
      <c r="H218" s="40"/>
      <c r="I218" s="40">
        <f>I214/I216</f>
        <v>123.50263317872469</v>
      </c>
      <c r="J218" s="40">
        <f>J214/J216</f>
        <v>123.50263317872469</v>
      </c>
      <c r="K218" s="39"/>
    </row>
    <row r="219" spans="1:14" ht="22.8" x14ac:dyDescent="0.4">
      <c r="A219" s="52" t="s">
        <v>114</v>
      </c>
      <c r="B219" s="553" t="s">
        <v>290</v>
      </c>
      <c r="C219" s="553"/>
      <c r="D219" s="553"/>
      <c r="E219" s="553"/>
      <c r="F219" s="553"/>
      <c r="G219" s="553"/>
      <c r="H219" s="553"/>
      <c r="I219" s="553"/>
      <c r="J219" s="553"/>
      <c r="K219" s="553"/>
    </row>
    <row r="220" spans="1:14" ht="22.8" x14ac:dyDescent="0.4">
      <c r="A220" s="149" t="s">
        <v>145</v>
      </c>
      <c r="B220" s="558" t="s">
        <v>161</v>
      </c>
      <c r="C220" s="559"/>
      <c r="D220" s="559"/>
      <c r="E220" s="559"/>
      <c r="F220" s="559"/>
      <c r="G220" s="559"/>
      <c r="H220" s="559"/>
      <c r="I220" s="559"/>
      <c r="J220" s="559"/>
      <c r="K220" s="560"/>
    </row>
    <row r="221" spans="1:14" ht="22.8" x14ac:dyDescent="0.4">
      <c r="A221" s="213" t="s">
        <v>119</v>
      </c>
      <c r="B221" s="160">
        <f>C221+F221+I221</f>
        <v>2688952.3</v>
      </c>
      <c r="C221" s="160">
        <f>D221+E221</f>
        <v>833400.00000000012</v>
      </c>
      <c r="D221" s="160">
        <f>'Додаток 3'!I178*1000</f>
        <v>833400.00000000012</v>
      </c>
      <c r="E221" s="160"/>
      <c r="F221" s="160">
        <f>G221+H221</f>
        <v>900700</v>
      </c>
      <c r="G221" s="160">
        <f>'Додаток 3'!J178*1000</f>
        <v>900700</v>
      </c>
      <c r="H221" s="160"/>
      <c r="I221" s="160">
        <f>J221+K221</f>
        <v>954852.3</v>
      </c>
      <c r="J221" s="160">
        <f>'Додаток 3'!K178*1000</f>
        <v>954852.3</v>
      </c>
      <c r="K221" s="214"/>
    </row>
    <row r="222" spans="1:14" ht="22.8" x14ac:dyDescent="0.4">
      <c r="A222" s="55" t="s">
        <v>357</v>
      </c>
      <c r="B222" s="160"/>
      <c r="C222" s="150">
        <v>665590</v>
      </c>
      <c r="D222" s="150"/>
      <c r="E222" s="160"/>
      <c r="F222" s="150">
        <v>567300</v>
      </c>
      <c r="G222" s="150">
        <v>567300</v>
      </c>
      <c r="H222" s="160"/>
      <c r="I222" s="150">
        <v>604449</v>
      </c>
      <c r="J222" s="150">
        <v>604449</v>
      </c>
      <c r="K222" s="214"/>
    </row>
    <row r="223" spans="1:14" ht="45.6" x14ac:dyDescent="0.4">
      <c r="A223" s="55" t="s">
        <v>358</v>
      </c>
      <c r="B223" s="160"/>
      <c r="C223" s="150">
        <v>155810</v>
      </c>
      <c r="D223" s="150">
        <v>155810</v>
      </c>
      <c r="E223" s="160"/>
      <c r="F223" s="150">
        <v>300000</v>
      </c>
      <c r="G223" s="150">
        <v>300000</v>
      </c>
      <c r="H223" s="160"/>
      <c r="I223" s="150">
        <f>F223*1.051</f>
        <v>315300</v>
      </c>
      <c r="J223" s="150">
        <f>G223*1.051</f>
        <v>315300</v>
      </c>
      <c r="K223" s="214"/>
    </row>
    <row r="224" spans="1:14" ht="47.25" customHeight="1" x14ac:dyDescent="0.4">
      <c r="A224" s="55" t="s">
        <v>359</v>
      </c>
      <c r="B224" s="160"/>
      <c r="C224" s="150">
        <v>12000</v>
      </c>
      <c r="D224" s="150">
        <v>12000</v>
      </c>
      <c r="E224" s="160"/>
      <c r="F224" s="150">
        <v>33400</v>
      </c>
      <c r="G224" s="150">
        <v>33400</v>
      </c>
      <c r="H224" s="160"/>
      <c r="I224" s="150">
        <f>F224*1.051</f>
        <v>35103.399999999994</v>
      </c>
      <c r="J224" s="150">
        <f>G224*1.051</f>
        <v>35103.399999999994</v>
      </c>
      <c r="K224" s="214"/>
    </row>
    <row r="225" spans="1:11" ht="22.8" x14ac:dyDescent="0.4">
      <c r="A225" s="213" t="s">
        <v>121</v>
      </c>
      <c r="B225" s="40"/>
      <c r="C225" s="40"/>
      <c r="D225" s="40"/>
      <c r="E225" s="40"/>
      <c r="F225" s="40"/>
      <c r="G225" s="40"/>
      <c r="H225" s="40"/>
      <c r="I225" s="40"/>
      <c r="J225" s="40"/>
      <c r="K225" s="39"/>
    </row>
    <row r="226" spans="1:11" ht="22.8" x14ac:dyDescent="0.4">
      <c r="A226" s="55" t="s">
        <v>162</v>
      </c>
      <c r="B226" s="40"/>
      <c r="C226" s="40">
        <v>60100</v>
      </c>
      <c r="D226" s="40">
        <v>60100</v>
      </c>
      <c r="E226" s="40"/>
      <c r="F226" s="40">
        <v>54221</v>
      </c>
      <c r="G226" s="40">
        <v>54221</v>
      </c>
      <c r="H226" s="40"/>
      <c r="I226" s="40">
        <v>60100</v>
      </c>
      <c r="J226" s="40">
        <v>60100</v>
      </c>
      <c r="K226" s="39"/>
    </row>
    <row r="227" spans="1:11" ht="22.8" x14ac:dyDescent="0.4">
      <c r="A227" s="55" t="s">
        <v>163</v>
      </c>
      <c r="B227" s="40"/>
      <c r="C227" s="40">
        <v>2250</v>
      </c>
      <c r="D227" s="40">
        <v>2250</v>
      </c>
      <c r="E227" s="40"/>
      <c r="F227" s="40">
        <v>3281</v>
      </c>
      <c r="G227" s="40">
        <v>3281</v>
      </c>
      <c r="H227" s="40"/>
      <c r="I227" s="40">
        <v>2250</v>
      </c>
      <c r="J227" s="40">
        <v>2250</v>
      </c>
      <c r="K227" s="39"/>
    </row>
    <row r="228" spans="1:11" ht="22.8" x14ac:dyDescent="0.4">
      <c r="A228" s="55" t="s">
        <v>164</v>
      </c>
      <c r="B228" s="40"/>
      <c r="C228" s="40">
        <v>150</v>
      </c>
      <c r="D228" s="40">
        <v>150</v>
      </c>
      <c r="E228" s="40"/>
      <c r="F228" s="40">
        <v>3895</v>
      </c>
      <c r="G228" s="40">
        <v>3895</v>
      </c>
      <c r="H228" s="40"/>
      <c r="I228" s="40">
        <v>3895</v>
      </c>
      <c r="J228" s="40">
        <v>3895</v>
      </c>
      <c r="K228" s="39"/>
    </row>
    <row r="229" spans="1:11" ht="22.8" x14ac:dyDescent="0.4">
      <c r="A229" s="213" t="s">
        <v>122</v>
      </c>
      <c r="B229" s="40"/>
      <c r="C229" s="40"/>
      <c r="D229" s="40"/>
      <c r="E229" s="40"/>
      <c r="F229" s="40"/>
      <c r="G229" s="40"/>
      <c r="H229" s="40"/>
      <c r="I229" s="40"/>
      <c r="J229" s="40"/>
      <c r="K229" s="39"/>
    </row>
    <row r="230" spans="1:11" ht="22.8" x14ac:dyDescent="0.4">
      <c r="A230" s="51" t="s">
        <v>165</v>
      </c>
      <c r="B230" s="40"/>
      <c r="C230" s="40">
        <f t="shared" ref="C230:D232" si="5">C222/C226</f>
        <v>11.074708818635607</v>
      </c>
      <c r="D230" s="40">
        <f t="shared" si="5"/>
        <v>0</v>
      </c>
      <c r="E230" s="40"/>
      <c r="F230" s="40">
        <f t="shared" ref="F230:G232" si="6">F222/F226</f>
        <v>10.462735840357057</v>
      </c>
      <c r="G230" s="40">
        <f t="shared" si="6"/>
        <v>10.462735840357057</v>
      </c>
      <c r="H230" s="40"/>
      <c r="I230" s="40">
        <f t="shared" ref="I230:J232" si="7">I222/I226</f>
        <v>10.057387687188021</v>
      </c>
      <c r="J230" s="40">
        <f t="shared" si="7"/>
        <v>10.057387687188021</v>
      </c>
      <c r="K230" s="39"/>
    </row>
    <row r="231" spans="1:11" ht="45.6" x14ac:dyDescent="0.4">
      <c r="A231" s="51" t="s">
        <v>355</v>
      </c>
      <c r="B231" s="40"/>
      <c r="C231" s="40">
        <f t="shared" si="5"/>
        <v>69.248888888888885</v>
      </c>
      <c r="D231" s="40">
        <f t="shared" si="5"/>
        <v>69.248888888888885</v>
      </c>
      <c r="E231" s="40"/>
      <c r="F231" s="40">
        <f t="shared" si="6"/>
        <v>91.435537945748251</v>
      </c>
      <c r="G231" s="40">
        <f t="shared" si="6"/>
        <v>91.435537945748251</v>
      </c>
      <c r="H231" s="40"/>
      <c r="I231" s="40">
        <f t="shared" si="7"/>
        <v>140.13333333333333</v>
      </c>
      <c r="J231" s="40">
        <f t="shared" si="7"/>
        <v>140.13333333333333</v>
      </c>
      <c r="K231" s="39"/>
    </row>
    <row r="232" spans="1:11" ht="45.6" x14ac:dyDescent="0.4">
      <c r="A232" s="51" t="s">
        <v>356</v>
      </c>
      <c r="B232" s="40"/>
      <c r="C232" s="40">
        <f t="shared" si="5"/>
        <v>80</v>
      </c>
      <c r="D232" s="40">
        <f t="shared" si="5"/>
        <v>80</v>
      </c>
      <c r="E232" s="40"/>
      <c r="F232" s="40">
        <f t="shared" si="6"/>
        <v>8.5750962772785631</v>
      </c>
      <c r="G232" s="40">
        <f t="shared" si="6"/>
        <v>8.5750962772785631</v>
      </c>
      <c r="H232" s="40"/>
      <c r="I232" s="40">
        <f t="shared" si="7"/>
        <v>9.0124261874197682</v>
      </c>
      <c r="J232" s="40">
        <f t="shared" si="7"/>
        <v>9.0124261874197682</v>
      </c>
      <c r="K232" s="39"/>
    </row>
    <row r="233" spans="1:11" ht="22.8" x14ac:dyDescent="0.4">
      <c r="A233" s="52" t="s">
        <v>114</v>
      </c>
      <c r="B233" s="553" t="s">
        <v>291</v>
      </c>
      <c r="C233" s="553"/>
      <c r="D233" s="553"/>
      <c r="E233" s="553"/>
      <c r="F233" s="553"/>
      <c r="G233" s="553"/>
      <c r="H233" s="553"/>
      <c r="I233" s="553"/>
      <c r="J233" s="553"/>
      <c r="K233" s="553"/>
    </row>
    <row r="234" spans="1:11" ht="22.8" x14ac:dyDescent="0.4">
      <c r="A234" s="149" t="s">
        <v>117</v>
      </c>
      <c r="B234" s="558" t="s">
        <v>158</v>
      </c>
      <c r="C234" s="559"/>
      <c r="D234" s="559"/>
      <c r="E234" s="559"/>
      <c r="F234" s="559"/>
      <c r="G234" s="559"/>
      <c r="H234" s="559"/>
      <c r="I234" s="559"/>
      <c r="J234" s="559"/>
      <c r="K234" s="560"/>
    </row>
    <row r="235" spans="1:11" ht="22.8" x14ac:dyDescent="0.4">
      <c r="A235" s="213" t="s">
        <v>119</v>
      </c>
      <c r="B235" s="160">
        <f>C235+F235+I235</f>
        <v>900000</v>
      </c>
      <c r="C235" s="160">
        <f>D235+E235</f>
        <v>900000</v>
      </c>
      <c r="D235" s="160">
        <f>'Додаток 3'!I181*1000</f>
        <v>900000</v>
      </c>
      <c r="E235" s="160"/>
      <c r="F235" s="160">
        <f>G235+H235</f>
        <v>0</v>
      </c>
      <c r="G235" s="160">
        <f>'Додаток 3'!J181*1000</f>
        <v>0</v>
      </c>
      <c r="H235" s="160"/>
      <c r="I235" s="160">
        <f>J235+K235</f>
        <v>0</v>
      </c>
      <c r="J235" s="160">
        <f>'Додаток 3'!K181*1000</f>
        <v>0</v>
      </c>
      <c r="K235" s="214"/>
    </row>
    <row r="236" spans="1:11" ht="22.8" x14ac:dyDescent="0.4">
      <c r="A236" s="213" t="s">
        <v>121</v>
      </c>
      <c r="B236" s="40"/>
      <c r="C236" s="40"/>
      <c r="D236" s="40"/>
      <c r="E236" s="40"/>
      <c r="F236" s="40"/>
      <c r="G236" s="40"/>
      <c r="H236" s="40"/>
      <c r="I236" s="40"/>
      <c r="J236" s="40"/>
      <c r="K236" s="39"/>
    </row>
    <row r="237" spans="1:11" ht="45.6" x14ac:dyDescent="0.4">
      <c r="A237" s="55" t="s">
        <v>166</v>
      </c>
      <c r="B237" s="40"/>
      <c r="C237" s="40">
        <v>6</v>
      </c>
      <c r="D237" s="40">
        <v>6</v>
      </c>
      <c r="E237" s="40"/>
      <c r="F237" s="40"/>
      <c r="G237" s="40"/>
      <c r="H237" s="40"/>
      <c r="I237" s="40"/>
      <c r="J237" s="40"/>
      <c r="K237" s="39"/>
    </row>
    <row r="238" spans="1:11" ht="22.8" x14ac:dyDescent="0.4">
      <c r="A238" s="213" t="s">
        <v>122</v>
      </c>
      <c r="B238" s="40"/>
      <c r="C238" s="40"/>
      <c r="D238" s="40"/>
      <c r="E238" s="40"/>
      <c r="F238" s="40"/>
      <c r="G238" s="40"/>
      <c r="H238" s="40"/>
      <c r="I238" s="40"/>
      <c r="J238" s="40"/>
      <c r="K238" s="39"/>
    </row>
    <row r="239" spans="1:11" ht="53.25" customHeight="1" x14ac:dyDescent="0.4">
      <c r="A239" s="51" t="s">
        <v>360</v>
      </c>
      <c r="B239" s="40"/>
      <c r="C239" s="40">
        <f>C235/C237</f>
        <v>150000</v>
      </c>
      <c r="D239" s="40">
        <f>D235/D237</f>
        <v>150000</v>
      </c>
      <c r="E239" s="40"/>
      <c r="F239" s="40"/>
      <c r="G239" s="40"/>
      <c r="H239" s="40"/>
      <c r="I239" s="40"/>
      <c r="J239" s="40"/>
      <c r="K239" s="39"/>
    </row>
    <row r="240" spans="1:11" ht="22.8" x14ac:dyDescent="0.4">
      <c r="A240" s="52" t="s">
        <v>114</v>
      </c>
      <c r="B240" s="553" t="s">
        <v>292</v>
      </c>
      <c r="C240" s="553"/>
      <c r="D240" s="553"/>
      <c r="E240" s="553"/>
      <c r="F240" s="553"/>
      <c r="G240" s="553"/>
      <c r="H240" s="553"/>
      <c r="I240" s="553"/>
      <c r="J240" s="553"/>
      <c r="K240" s="553"/>
    </row>
    <row r="241" spans="1:11" ht="22.8" x14ac:dyDescent="0.4">
      <c r="A241" s="149" t="s">
        <v>117</v>
      </c>
      <c r="B241" s="558" t="s">
        <v>158</v>
      </c>
      <c r="C241" s="559"/>
      <c r="D241" s="559"/>
      <c r="E241" s="559"/>
      <c r="F241" s="559"/>
      <c r="G241" s="559"/>
      <c r="H241" s="559"/>
      <c r="I241" s="559"/>
      <c r="J241" s="559"/>
      <c r="K241" s="560"/>
    </row>
    <row r="242" spans="1:11" ht="20.25" customHeight="1" x14ac:dyDescent="0.4">
      <c r="A242" s="149" t="s">
        <v>156</v>
      </c>
      <c r="B242" s="558" t="s">
        <v>157</v>
      </c>
      <c r="C242" s="559"/>
      <c r="D242" s="559"/>
      <c r="E242" s="559"/>
      <c r="F242" s="559"/>
      <c r="G242" s="559"/>
      <c r="H242" s="559"/>
      <c r="I242" s="559"/>
      <c r="J242" s="559"/>
      <c r="K242" s="560"/>
    </row>
    <row r="243" spans="1:11" ht="22.8" x14ac:dyDescent="0.4">
      <c r="A243" s="213" t="s">
        <v>119</v>
      </c>
      <c r="B243" s="214">
        <f>C243+F243+I243</f>
        <v>25470279.510400001</v>
      </c>
      <c r="C243" s="214">
        <f>D243+E243</f>
        <v>7490900</v>
      </c>
      <c r="D243" s="214">
        <f>'Додаток 3'!I182*1000</f>
        <v>7490900</v>
      </c>
      <c r="E243" s="214"/>
      <c r="F243" s="214">
        <f>G243+H243</f>
        <v>8952944</v>
      </c>
      <c r="G243" s="214">
        <f>'Додаток 3'!J182*1000</f>
        <v>8952944</v>
      </c>
      <c r="H243" s="214"/>
      <c r="I243" s="214">
        <f>J243+K243</f>
        <v>9026435.510400001</v>
      </c>
      <c r="J243" s="214">
        <f>'Додаток 3'!K182*1000</f>
        <v>9026435.510400001</v>
      </c>
      <c r="K243" s="214"/>
    </row>
    <row r="244" spans="1:11" ht="22.8" x14ac:dyDescent="0.4">
      <c r="A244" s="213" t="s">
        <v>121</v>
      </c>
      <c r="B244" s="42"/>
      <c r="C244" s="40"/>
      <c r="D244" s="40"/>
      <c r="E244" s="40"/>
      <c r="F244" s="40"/>
      <c r="G244" s="40"/>
      <c r="H244" s="40"/>
      <c r="I244" s="40"/>
      <c r="J244" s="40"/>
      <c r="K244" s="39"/>
    </row>
    <row r="245" spans="1:11" ht="45.6" x14ac:dyDescent="0.4">
      <c r="A245" s="55" t="s">
        <v>167</v>
      </c>
      <c r="B245" s="42"/>
      <c r="C245" s="40">
        <v>39</v>
      </c>
      <c r="D245" s="40">
        <v>39</v>
      </c>
      <c r="E245" s="40"/>
      <c r="F245" s="40">
        <v>39</v>
      </c>
      <c r="G245" s="40">
        <v>39</v>
      </c>
      <c r="H245" s="40"/>
      <c r="I245" s="40">
        <v>39</v>
      </c>
      <c r="J245" s="40">
        <v>39</v>
      </c>
      <c r="K245" s="39"/>
    </row>
    <row r="246" spans="1:11" ht="22.8" x14ac:dyDescent="0.4">
      <c r="A246" s="213" t="s">
        <v>122</v>
      </c>
      <c r="B246" s="42"/>
      <c r="C246" s="40"/>
      <c r="D246" s="40"/>
      <c r="E246" s="40"/>
      <c r="F246" s="40"/>
      <c r="G246" s="40"/>
      <c r="H246" s="40"/>
      <c r="I246" s="40"/>
      <c r="J246" s="40"/>
      <c r="K246" s="39"/>
    </row>
    <row r="247" spans="1:11" ht="69.75" customHeight="1" x14ac:dyDescent="0.4">
      <c r="A247" s="51" t="s">
        <v>168</v>
      </c>
      <c r="B247" s="42"/>
      <c r="C247" s="40">
        <f>C243/C245</f>
        <v>192074.35897435897</v>
      </c>
      <c r="D247" s="40">
        <f>D243/D245</f>
        <v>192074.35897435897</v>
      </c>
      <c r="E247" s="40"/>
      <c r="F247" s="40">
        <f>F243/F245</f>
        <v>229562.66666666666</v>
      </c>
      <c r="G247" s="40">
        <f>G243/G245</f>
        <v>229562.66666666666</v>
      </c>
      <c r="H247" s="40"/>
      <c r="I247" s="40">
        <f>I243/I245</f>
        <v>231447.06436923079</v>
      </c>
      <c r="J247" s="40">
        <f>J243/J245</f>
        <v>231447.06436923079</v>
      </c>
      <c r="K247" s="39"/>
    </row>
    <row r="248" spans="1:11" ht="22.8" x14ac:dyDescent="0.4">
      <c r="A248" s="52" t="s">
        <v>114</v>
      </c>
      <c r="B248" s="553" t="s">
        <v>293</v>
      </c>
      <c r="C248" s="553"/>
      <c r="D248" s="553"/>
      <c r="E248" s="553"/>
      <c r="F248" s="553"/>
      <c r="G248" s="553"/>
      <c r="H248" s="553"/>
      <c r="I248" s="553"/>
      <c r="J248" s="553"/>
      <c r="K248" s="553"/>
    </row>
    <row r="249" spans="1:11" ht="22.8" x14ac:dyDescent="0.4">
      <c r="A249" s="149" t="s">
        <v>117</v>
      </c>
      <c r="B249" s="558" t="s">
        <v>158</v>
      </c>
      <c r="C249" s="559"/>
      <c r="D249" s="559"/>
      <c r="E249" s="559"/>
      <c r="F249" s="559"/>
      <c r="G249" s="559"/>
      <c r="H249" s="559"/>
      <c r="I249" s="559"/>
      <c r="J249" s="559"/>
      <c r="K249" s="560"/>
    </row>
    <row r="250" spans="1:11" ht="22.8" x14ac:dyDescent="0.4">
      <c r="A250" s="213" t="s">
        <v>119</v>
      </c>
      <c r="B250" s="160">
        <f>C250+F250+I250</f>
        <v>420000</v>
      </c>
      <c r="C250" s="160">
        <f>D250+E250</f>
        <v>420000</v>
      </c>
      <c r="D250" s="160">
        <f>'Додаток 3'!I186*1000</f>
        <v>420000</v>
      </c>
      <c r="E250" s="160"/>
      <c r="F250" s="160">
        <f>G250+H250</f>
        <v>0</v>
      </c>
      <c r="G250" s="160">
        <f>'Додаток 3'!J186*1000</f>
        <v>0</v>
      </c>
      <c r="H250" s="160"/>
      <c r="I250" s="160">
        <f>J250+K250</f>
        <v>0</v>
      </c>
      <c r="J250" s="160">
        <f>'Додаток 3'!K186*1000</f>
        <v>0</v>
      </c>
      <c r="K250" s="214"/>
    </row>
    <row r="251" spans="1:11" ht="22.8" x14ac:dyDescent="0.4">
      <c r="A251" s="213" t="s">
        <v>121</v>
      </c>
      <c r="B251" s="42"/>
      <c r="C251" s="40"/>
      <c r="D251" s="40"/>
      <c r="E251" s="40"/>
      <c r="F251" s="40"/>
      <c r="G251" s="40"/>
      <c r="H251" s="40"/>
      <c r="I251" s="40"/>
      <c r="J251" s="40"/>
      <c r="K251" s="39"/>
    </row>
    <row r="252" spans="1:11" ht="45.6" x14ac:dyDescent="0.4">
      <c r="A252" s="55" t="s">
        <v>294</v>
      </c>
      <c r="B252" s="42"/>
      <c r="C252" s="40">
        <v>2</v>
      </c>
      <c r="D252" s="40">
        <v>2</v>
      </c>
      <c r="E252" s="40"/>
      <c r="F252" s="40"/>
      <c r="G252" s="40"/>
      <c r="H252" s="40"/>
      <c r="I252" s="40"/>
      <c r="J252" s="40"/>
      <c r="K252" s="39"/>
    </row>
    <row r="253" spans="1:11" ht="22.8" x14ac:dyDescent="0.4">
      <c r="A253" s="213" t="s">
        <v>122</v>
      </c>
      <c r="B253" s="42"/>
      <c r="C253" s="40"/>
      <c r="D253" s="40"/>
      <c r="E253" s="40"/>
      <c r="F253" s="40"/>
      <c r="G253" s="40"/>
      <c r="H253" s="40"/>
      <c r="I253" s="40"/>
      <c r="J253" s="40"/>
      <c r="K253" s="39"/>
    </row>
    <row r="254" spans="1:11" ht="68.400000000000006" x14ac:dyDescent="0.4">
      <c r="A254" s="51" t="s">
        <v>169</v>
      </c>
      <c r="B254" s="42"/>
      <c r="C254" s="40">
        <f>C250/C252</f>
        <v>210000</v>
      </c>
      <c r="D254" s="40">
        <f>D250/D252</f>
        <v>210000</v>
      </c>
      <c r="E254" s="40"/>
      <c r="F254" s="40"/>
      <c r="G254" s="40"/>
      <c r="H254" s="40"/>
      <c r="I254" s="40"/>
      <c r="J254" s="40"/>
      <c r="K254" s="39"/>
    </row>
    <row r="255" spans="1:11" ht="22.8" x14ac:dyDescent="0.4">
      <c r="A255" s="52" t="s">
        <v>114</v>
      </c>
      <c r="B255" s="553" t="s">
        <v>55</v>
      </c>
      <c r="C255" s="553"/>
      <c r="D255" s="553"/>
      <c r="E255" s="553"/>
      <c r="F255" s="553"/>
      <c r="G255" s="553"/>
      <c r="H255" s="553"/>
      <c r="I255" s="553"/>
      <c r="J255" s="553"/>
      <c r="K255" s="553"/>
    </row>
    <row r="256" spans="1:11" ht="22.8" x14ac:dyDescent="0.4">
      <c r="A256" s="149" t="s">
        <v>145</v>
      </c>
      <c r="B256" s="558" t="s">
        <v>161</v>
      </c>
      <c r="C256" s="559"/>
      <c r="D256" s="559"/>
      <c r="E256" s="559"/>
      <c r="F256" s="559"/>
      <c r="G256" s="559"/>
      <c r="H256" s="559"/>
      <c r="I256" s="559"/>
      <c r="J256" s="559"/>
      <c r="K256" s="560"/>
    </row>
    <row r="257" spans="1:11" ht="22.8" x14ac:dyDescent="0.4">
      <c r="A257" s="213" t="s">
        <v>119</v>
      </c>
      <c r="B257" s="160">
        <f>C257+F257+I257</f>
        <v>5857900</v>
      </c>
      <c r="C257" s="160">
        <f>D257+E257</f>
        <v>1921300</v>
      </c>
      <c r="D257" s="160">
        <f>'Додаток 3'!I187*1000</f>
        <v>1921300</v>
      </c>
      <c r="E257" s="160"/>
      <c r="F257" s="160">
        <f>G257+H257</f>
        <v>1906600</v>
      </c>
      <c r="G257" s="160">
        <f>'Додаток 3'!J187*1000</f>
        <v>1906600</v>
      </c>
      <c r="H257" s="160"/>
      <c r="I257" s="160">
        <f>J257+K257</f>
        <v>2030000</v>
      </c>
      <c r="J257" s="160">
        <f>'Додаток 3'!K187*1000</f>
        <v>2030000</v>
      </c>
      <c r="K257" s="153"/>
    </row>
    <row r="258" spans="1:11" ht="22.8" x14ac:dyDescent="0.4">
      <c r="A258" s="213" t="s">
        <v>121</v>
      </c>
      <c r="B258" s="40"/>
      <c r="C258" s="40"/>
      <c r="D258" s="40"/>
      <c r="E258" s="40"/>
      <c r="F258" s="40"/>
      <c r="G258" s="40"/>
      <c r="H258" s="40"/>
      <c r="I258" s="40"/>
      <c r="J258" s="40"/>
      <c r="K258" s="39"/>
    </row>
    <row r="259" spans="1:11" ht="45.6" x14ac:dyDescent="0.4">
      <c r="A259" s="55" t="s">
        <v>170</v>
      </c>
      <c r="B259" s="40"/>
      <c r="C259" s="40">
        <v>8805</v>
      </c>
      <c r="D259" s="40">
        <v>8805</v>
      </c>
      <c r="E259" s="40"/>
      <c r="F259" s="40">
        <f>C259</f>
        <v>8805</v>
      </c>
      <c r="G259" s="40">
        <v>8805</v>
      </c>
      <c r="H259" s="40"/>
      <c r="I259" s="40">
        <f>F259</f>
        <v>8805</v>
      </c>
      <c r="J259" s="40">
        <v>8805</v>
      </c>
      <c r="K259" s="39"/>
    </row>
    <row r="260" spans="1:11" ht="54.75" customHeight="1" x14ac:dyDescent="0.4">
      <c r="A260" s="55" t="s">
        <v>171</v>
      </c>
      <c r="B260" s="40"/>
      <c r="C260" s="40">
        <v>749</v>
      </c>
      <c r="D260" s="40">
        <v>749</v>
      </c>
      <c r="E260" s="40"/>
      <c r="F260" s="40">
        <v>749</v>
      </c>
      <c r="G260" s="40">
        <v>749</v>
      </c>
      <c r="H260" s="40"/>
      <c r="I260" s="40">
        <v>749</v>
      </c>
      <c r="J260" s="40">
        <v>749</v>
      </c>
      <c r="K260" s="39"/>
    </row>
    <row r="261" spans="1:11" ht="22.8" x14ac:dyDescent="0.4">
      <c r="A261" s="213" t="s">
        <v>122</v>
      </c>
      <c r="B261" s="40"/>
      <c r="C261" s="40"/>
      <c r="D261" s="40"/>
      <c r="E261" s="40"/>
      <c r="F261" s="40"/>
      <c r="G261" s="40"/>
      <c r="H261" s="40"/>
      <c r="I261" s="40"/>
      <c r="J261" s="40"/>
      <c r="K261" s="39"/>
    </row>
    <row r="262" spans="1:11" ht="24" customHeight="1" x14ac:dyDescent="0.4">
      <c r="A262" s="51" t="s">
        <v>172</v>
      </c>
      <c r="B262" s="40"/>
      <c r="C262" s="40">
        <f>C257/C260</f>
        <v>2565.1535380507344</v>
      </c>
      <c r="D262" s="40">
        <v>2565.1535380507344</v>
      </c>
      <c r="E262" s="40"/>
      <c r="F262" s="40">
        <f>F257/F260</f>
        <v>2545.5273698264355</v>
      </c>
      <c r="G262" s="40">
        <f>G257/G260</f>
        <v>2545.5273698264355</v>
      </c>
      <c r="H262" s="40"/>
      <c r="I262" s="40">
        <f>I257/I260</f>
        <v>2710.2803738317757</v>
      </c>
      <c r="J262" s="40">
        <v>2710.2803738317757</v>
      </c>
      <c r="K262" s="39"/>
    </row>
    <row r="263" spans="1:11" ht="68.400000000000006" x14ac:dyDescent="0.4">
      <c r="A263" s="51" t="s">
        <v>173</v>
      </c>
      <c r="B263" s="40"/>
      <c r="C263" s="40">
        <f>C260/C259*100</f>
        <v>8.5065303804656445</v>
      </c>
      <c r="D263" s="40">
        <v>8.5065303804656445</v>
      </c>
      <c r="E263" s="40"/>
      <c r="F263" s="40">
        <f>F260/F259*100</f>
        <v>8.5065303804656445</v>
      </c>
      <c r="G263" s="40">
        <v>9</v>
      </c>
      <c r="H263" s="40"/>
      <c r="I263" s="40">
        <f>I260/I259*100</f>
        <v>8.5065303804656445</v>
      </c>
      <c r="J263" s="40">
        <v>8.5065303804656445</v>
      </c>
      <c r="K263" s="39"/>
    </row>
    <row r="264" spans="1:11" ht="22.8" x14ac:dyDescent="0.4">
      <c r="A264" s="52" t="s">
        <v>114</v>
      </c>
      <c r="B264" s="553" t="s">
        <v>295</v>
      </c>
      <c r="C264" s="553"/>
      <c r="D264" s="553"/>
      <c r="E264" s="553"/>
      <c r="F264" s="553"/>
      <c r="G264" s="553"/>
      <c r="H264" s="553"/>
      <c r="I264" s="553"/>
      <c r="J264" s="553"/>
      <c r="K264" s="553"/>
    </row>
    <row r="265" spans="1:11" ht="22.8" x14ac:dyDescent="0.4">
      <c r="A265" s="149" t="s">
        <v>117</v>
      </c>
      <c r="B265" s="558" t="s">
        <v>158</v>
      </c>
      <c r="C265" s="559"/>
      <c r="D265" s="559"/>
      <c r="E265" s="559"/>
      <c r="F265" s="559"/>
      <c r="G265" s="559"/>
      <c r="H265" s="559"/>
      <c r="I265" s="559"/>
      <c r="J265" s="559"/>
      <c r="K265" s="560"/>
    </row>
    <row r="266" spans="1:11" ht="22.8" x14ac:dyDescent="0.4">
      <c r="A266" s="213" t="s">
        <v>119</v>
      </c>
      <c r="B266" s="160">
        <f>C266+F266+I266</f>
        <v>533400</v>
      </c>
      <c r="C266" s="160">
        <f>D266+E266</f>
        <v>120000</v>
      </c>
      <c r="D266" s="160">
        <f>'Додаток 3'!I190*1000</f>
        <v>120000</v>
      </c>
      <c r="E266" s="160"/>
      <c r="F266" s="160">
        <f>G266+H266</f>
        <v>200000</v>
      </c>
      <c r="G266" s="160">
        <f>'Додаток 3'!J190*1000</f>
        <v>200000</v>
      </c>
      <c r="H266" s="160"/>
      <c r="I266" s="160">
        <f>J266+K266</f>
        <v>213400</v>
      </c>
      <c r="J266" s="160">
        <f>'Додаток 3'!K190*1000</f>
        <v>213400</v>
      </c>
      <c r="K266" s="214"/>
    </row>
    <row r="267" spans="1:11" ht="22.8" x14ac:dyDescent="0.4">
      <c r="A267" s="213" t="s">
        <v>121</v>
      </c>
      <c r="B267" s="160"/>
      <c r="C267" s="160"/>
      <c r="D267" s="150"/>
      <c r="E267" s="160"/>
      <c r="F267" s="160"/>
      <c r="G267" s="160"/>
      <c r="H267" s="160"/>
      <c r="I267" s="160"/>
      <c r="J267" s="160"/>
      <c r="K267" s="214"/>
    </row>
    <row r="268" spans="1:11" ht="45.6" x14ac:dyDescent="0.4">
      <c r="A268" s="55" t="s">
        <v>296</v>
      </c>
      <c r="B268" s="160"/>
      <c r="C268" s="150">
        <v>250</v>
      </c>
      <c r="D268" s="150">
        <v>250</v>
      </c>
      <c r="E268" s="150"/>
      <c r="F268" s="150">
        <f>G268</f>
        <v>150</v>
      </c>
      <c r="G268" s="150">
        <v>150</v>
      </c>
      <c r="H268" s="150"/>
      <c r="I268" s="150">
        <f>J268</f>
        <v>150</v>
      </c>
      <c r="J268" s="150">
        <v>150</v>
      </c>
      <c r="K268" s="214"/>
    </row>
    <row r="269" spans="1:11" ht="22.8" hidden="1" x14ac:dyDescent="0.4">
      <c r="A269" s="213" t="s">
        <v>121</v>
      </c>
      <c r="B269" s="40"/>
      <c r="C269" s="40"/>
      <c r="D269" s="40"/>
      <c r="E269" s="40"/>
      <c r="F269" s="40"/>
      <c r="G269" s="40"/>
      <c r="H269" s="40"/>
      <c r="I269" s="40"/>
      <c r="J269" s="40"/>
      <c r="K269" s="39"/>
    </row>
    <row r="270" spans="1:11" ht="22.8" hidden="1" x14ac:dyDescent="0.4">
      <c r="A270" s="53" t="s">
        <v>120</v>
      </c>
      <c r="B270" s="40"/>
      <c r="C270" s="40">
        <v>1</v>
      </c>
      <c r="D270" s="40">
        <v>1</v>
      </c>
      <c r="E270" s="40"/>
      <c r="F270" s="40">
        <f>C270</f>
        <v>1</v>
      </c>
      <c r="G270" s="40">
        <f>D270</f>
        <v>1</v>
      </c>
      <c r="H270" s="40"/>
      <c r="I270" s="40">
        <f>F270</f>
        <v>1</v>
      </c>
      <c r="J270" s="40">
        <f>G270</f>
        <v>1</v>
      </c>
      <c r="K270" s="39"/>
    </row>
    <row r="271" spans="1:11" ht="45.6" hidden="1" x14ac:dyDescent="0.4">
      <c r="A271" s="55" t="s">
        <v>174</v>
      </c>
      <c r="B271" s="40"/>
      <c r="C271" s="40"/>
      <c r="D271" s="40"/>
      <c r="E271" s="40"/>
      <c r="F271" s="40"/>
      <c r="G271" s="40"/>
      <c r="H271" s="40"/>
      <c r="I271" s="40"/>
      <c r="J271" s="40"/>
      <c r="K271" s="39"/>
    </row>
    <row r="272" spans="1:11" ht="22.8" hidden="1" x14ac:dyDescent="0.4">
      <c r="A272" s="213" t="s">
        <v>122</v>
      </c>
      <c r="B272" s="40"/>
      <c r="C272" s="40"/>
      <c r="D272" s="40"/>
      <c r="E272" s="40"/>
      <c r="F272" s="40"/>
      <c r="G272" s="40"/>
      <c r="H272" s="40"/>
      <c r="I272" s="40"/>
      <c r="J272" s="40"/>
      <c r="K272" s="39"/>
    </row>
    <row r="273" spans="1:11" ht="18" hidden="1" customHeight="1" x14ac:dyDescent="0.4">
      <c r="A273" s="51" t="s">
        <v>175</v>
      </c>
      <c r="B273" s="40"/>
      <c r="C273" s="40" t="e">
        <f>C266/C271</f>
        <v>#DIV/0!</v>
      </c>
      <c r="D273" s="40" t="e">
        <f>D266/D271</f>
        <v>#DIV/0!</v>
      </c>
      <c r="E273" s="40"/>
      <c r="F273" s="40"/>
      <c r="G273" s="40"/>
      <c r="H273" s="40"/>
      <c r="I273" s="40"/>
      <c r="J273" s="40"/>
      <c r="K273" s="39"/>
    </row>
    <row r="274" spans="1:11" ht="17.25" hidden="1" customHeight="1" x14ac:dyDescent="0.4">
      <c r="A274" s="59" t="s">
        <v>123</v>
      </c>
      <c r="B274" s="40"/>
      <c r="C274" s="40"/>
      <c r="D274" s="40"/>
      <c r="E274" s="40"/>
      <c r="F274" s="40"/>
      <c r="G274" s="40"/>
      <c r="H274" s="40"/>
      <c r="I274" s="40"/>
      <c r="J274" s="40"/>
      <c r="K274" s="39"/>
    </row>
    <row r="275" spans="1:11" ht="45.6" hidden="1" x14ac:dyDescent="0.4">
      <c r="A275" s="51" t="s">
        <v>176</v>
      </c>
      <c r="B275" s="40"/>
      <c r="C275" s="40">
        <f>C271/C268*100</f>
        <v>0</v>
      </c>
      <c r="D275" s="40">
        <f>D271/D268*100</f>
        <v>0</v>
      </c>
      <c r="E275" s="40"/>
      <c r="F275" s="40"/>
      <c r="G275" s="40"/>
      <c r="H275" s="40"/>
      <c r="I275" s="40"/>
      <c r="J275" s="40"/>
      <c r="K275" s="39"/>
    </row>
    <row r="276" spans="1:11" ht="45.6" x14ac:dyDescent="0.4">
      <c r="A276" s="51" t="s">
        <v>174</v>
      </c>
      <c r="B276" s="40"/>
      <c r="C276" s="40">
        <v>43</v>
      </c>
      <c r="D276" s="40">
        <v>43</v>
      </c>
      <c r="E276" s="40"/>
      <c r="F276" s="40">
        <f>G276</f>
        <v>67</v>
      </c>
      <c r="G276" s="40">
        <v>67</v>
      </c>
      <c r="H276" s="40"/>
      <c r="I276" s="40">
        <f>J276</f>
        <v>67</v>
      </c>
      <c r="J276" s="40">
        <v>67</v>
      </c>
      <c r="K276" s="39"/>
    </row>
    <row r="277" spans="1:11" ht="22.8" x14ac:dyDescent="0.4">
      <c r="A277" s="213" t="s">
        <v>122</v>
      </c>
      <c r="B277" s="40"/>
      <c r="C277" s="40"/>
      <c r="D277" s="40"/>
      <c r="E277" s="40"/>
      <c r="F277" s="40"/>
      <c r="G277" s="40"/>
      <c r="H277" s="40"/>
      <c r="I277" s="40"/>
      <c r="J277" s="40"/>
      <c r="K277" s="39"/>
    </row>
    <row r="278" spans="1:11" ht="45.6" x14ac:dyDescent="0.4">
      <c r="A278" s="50" t="s">
        <v>297</v>
      </c>
      <c r="B278" s="40"/>
      <c r="C278" s="40">
        <f>C266/C276</f>
        <v>2790.6976744186045</v>
      </c>
      <c r="D278" s="40">
        <f>D266/D276</f>
        <v>2790.6976744186045</v>
      </c>
      <c r="E278" s="40"/>
      <c r="F278" s="40">
        <f>G278</f>
        <v>2985.0746268656717</v>
      </c>
      <c r="G278" s="40">
        <f>G266/G276</f>
        <v>2985.0746268656717</v>
      </c>
      <c r="H278" s="40"/>
      <c r="I278" s="40">
        <f>J278</f>
        <v>3185.0746268656717</v>
      </c>
      <c r="J278" s="40">
        <f>J266/J276</f>
        <v>3185.0746268656717</v>
      </c>
      <c r="K278" s="39"/>
    </row>
    <row r="279" spans="1:11" ht="47.25" customHeight="1" x14ac:dyDescent="0.4">
      <c r="A279" s="51" t="s">
        <v>176</v>
      </c>
      <c r="B279" s="40"/>
      <c r="C279" s="40">
        <f>C276/C268*100</f>
        <v>17.2</v>
      </c>
      <c r="D279" s="40">
        <f>D276/D268*100</f>
        <v>17.2</v>
      </c>
      <c r="E279" s="40"/>
      <c r="F279" s="40">
        <f>G279</f>
        <v>44.666666666666664</v>
      </c>
      <c r="G279" s="40">
        <f>G276/G268*100</f>
        <v>44.666666666666664</v>
      </c>
      <c r="H279" s="40"/>
      <c r="I279" s="40">
        <f>J279</f>
        <v>44.666666666666664</v>
      </c>
      <c r="J279" s="40">
        <f>J276/J268*100</f>
        <v>44.666666666666664</v>
      </c>
      <c r="K279" s="39"/>
    </row>
    <row r="280" spans="1:11" ht="22.8" x14ac:dyDescent="0.4">
      <c r="A280" s="52" t="s">
        <v>114</v>
      </c>
      <c r="B280" s="553" t="s">
        <v>298</v>
      </c>
      <c r="C280" s="553"/>
      <c r="D280" s="553"/>
      <c r="E280" s="553"/>
      <c r="F280" s="553"/>
      <c r="G280" s="553"/>
      <c r="H280" s="553"/>
      <c r="I280" s="553"/>
      <c r="J280" s="553"/>
      <c r="K280" s="553"/>
    </row>
    <row r="281" spans="1:11" ht="22.8" x14ac:dyDescent="0.4">
      <c r="A281" s="149" t="s">
        <v>183</v>
      </c>
      <c r="B281" s="558" t="s">
        <v>184</v>
      </c>
      <c r="C281" s="559"/>
      <c r="D281" s="559"/>
      <c r="E281" s="559"/>
      <c r="F281" s="559"/>
      <c r="G281" s="559"/>
      <c r="H281" s="559"/>
      <c r="I281" s="559"/>
      <c r="J281" s="559"/>
      <c r="K281" s="560"/>
    </row>
    <row r="282" spans="1:11" ht="21.75" customHeight="1" x14ac:dyDescent="0.4">
      <c r="A282" s="213" t="s">
        <v>119</v>
      </c>
      <c r="B282" s="160">
        <f>C282+F282+I282</f>
        <v>22903419</v>
      </c>
      <c r="C282" s="160">
        <f>D282+E282</f>
        <v>11499719.000000002</v>
      </c>
      <c r="D282" s="160">
        <f>'Додаток 3'!I191*1000</f>
        <v>11499719.000000002</v>
      </c>
      <c r="E282" s="160"/>
      <c r="F282" s="160">
        <f>G282</f>
        <v>11403700</v>
      </c>
      <c r="G282" s="160">
        <f>'Додаток 3'!J191*1000</f>
        <v>11403700</v>
      </c>
      <c r="H282" s="160"/>
      <c r="I282" s="214"/>
      <c r="J282" s="214">
        <f>'Додаток 3'!K191*1000</f>
        <v>0</v>
      </c>
      <c r="K282" s="214"/>
    </row>
    <row r="283" spans="1:11" ht="48" customHeight="1" x14ac:dyDescent="0.4">
      <c r="A283" s="50" t="s">
        <v>315</v>
      </c>
      <c r="B283" s="160"/>
      <c r="C283" s="150">
        <v>10532673</v>
      </c>
      <c r="D283" s="150">
        <v>10532673</v>
      </c>
      <c r="E283" s="160"/>
      <c r="F283" s="160"/>
      <c r="G283" s="150">
        <v>9712846</v>
      </c>
      <c r="H283" s="160"/>
      <c r="I283" s="214"/>
      <c r="J283" s="214"/>
      <c r="K283" s="214"/>
    </row>
    <row r="284" spans="1:11" ht="22.8" x14ac:dyDescent="0.4">
      <c r="A284" s="213" t="s">
        <v>121</v>
      </c>
      <c r="B284" s="40"/>
      <c r="C284" s="40"/>
      <c r="D284" s="40"/>
      <c r="E284" s="40"/>
      <c r="F284" s="40"/>
      <c r="G284" s="40"/>
      <c r="H284" s="40"/>
      <c r="I284" s="40"/>
      <c r="J284" s="40"/>
      <c r="K284" s="39"/>
    </row>
    <row r="285" spans="1:11" ht="48.75" customHeight="1" x14ac:dyDescent="0.4">
      <c r="A285" s="55" t="s">
        <v>185</v>
      </c>
      <c r="B285" s="40"/>
      <c r="C285" s="40">
        <v>1492</v>
      </c>
      <c r="D285" s="40">
        <v>1492</v>
      </c>
      <c r="E285" s="40"/>
      <c r="F285" s="40"/>
      <c r="G285" s="40">
        <f>1583+19</f>
        <v>1602</v>
      </c>
      <c r="H285" s="40"/>
      <c r="I285" s="40"/>
      <c r="J285" s="40"/>
      <c r="K285" s="39"/>
    </row>
    <row r="286" spans="1:11" ht="22.8" x14ac:dyDescent="0.4">
      <c r="A286" s="213" t="s">
        <v>122</v>
      </c>
      <c r="B286" s="40"/>
      <c r="C286" s="40"/>
      <c r="D286" s="40"/>
      <c r="E286" s="40"/>
      <c r="F286" s="40"/>
      <c r="G286" s="40"/>
      <c r="H286" s="40"/>
      <c r="I286" s="40"/>
      <c r="J286" s="40"/>
      <c r="K286" s="39"/>
    </row>
    <row r="287" spans="1:11" ht="68.400000000000006" x14ac:dyDescent="0.4">
      <c r="A287" s="152" t="s">
        <v>186</v>
      </c>
      <c r="B287" s="40"/>
      <c r="C287" s="40">
        <f>C282/C285</f>
        <v>7707.5864611260067</v>
      </c>
      <c r="D287" s="40">
        <f>D282/D285</f>
        <v>7707.5864611260067</v>
      </c>
      <c r="E287" s="40"/>
      <c r="F287" s="40"/>
      <c r="G287" s="40">
        <f>G282/G285</f>
        <v>7118.4144818976283</v>
      </c>
      <c r="H287" s="40"/>
      <c r="I287" s="40"/>
      <c r="J287" s="40"/>
      <c r="K287" s="39"/>
    </row>
    <row r="288" spans="1:11" ht="42.75" customHeight="1" x14ac:dyDescent="0.4">
      <c r="A288" s="52" t="s">
        <v>114</v>
      </c>
      <c r="B288" s="582" t="s">
        <v>366</v>
      </c>
      <c r="C288" s="583"/>
      <c r="D288" s="583"/>
      <c r="E288" s="583"/>
      <c r="F288" s="583"/>
      <c r="G288" s="583"/>
      <c r="H288" s="583"/>
      <c r="I288" s="583"/>
      <c r="J288" s="583"/>
      <c r="K288" s="584"/>
    </row>
    <row r="289" spans="1:14" ht="20.25" customHeight="1" x14ac:dyDescent="0.4">
      <c r="A289" s="149" t="s">
        <v>117</v>
      </c>
      <c r="B289" s="558" t="s">
        <v>118</v>
      </c>
      <c r="C289" s="559"/>
      <c r="D289" s="559"/>
      <c r="E289" s="559"/>
      <c r="F289" s="559"/>
      <c r="G289" s="559"/>
      <c r="H289" s="559"/>
      <c r="I289" s="559"/>
      <c r="J289" s="559"/>
      <c r="K289" s="560"/>
    </row>
    <row r="290" spans="1:14" ht="22.8" x14ac:dyDescent="0.4">
      <c r="A290" s="213" t="s">
        <v>119</v>
      </c>
      <c r="B290" s="39">
        <f>C290+F290+I290</f>
        <v>2779760.4499999997</v>
      </c>
      <c r="C290" s="39">
        <f>D290+E290</f>
        <v>789510</v>
      </c>
      <c r="D290" s="39">
        <f>'Додаток 3'!I195*1000</f>
        <v>789510</v>
      </c>
      <c r="E290" s="39"/>
      <c r="F290" s="39">
        <f>G290+H290</f>
        <v>944350</v>
      </c>
      <c r="G290" s="39">
        <f>'Додаток 3'!J195*1000</f>
        <v>944350</v>
      </c>
      <c r="H290" s="39"/>
      <c r="I290" s="39">
        <f>J290+K290</f>
        <v>1045900.4499999998</v>
      </c>
      <c r="J290" s="39">
        <f>'Додаток 3'!K195*1000</f>
        <v>1045900.4499999998</v>
      </c>
      <c r="K290" s="151"/>
    </row>
    <row r="291" spans="1:14" ht="22.8" x14ac:dyDescent="0.4">
      <c r="A291" s="213" t="s">
        <v>121</v>
      </c>
      <c r="B291" s="40"/>
      <c r="C291" s="40"/>
      <c r="D291" s="40"/>
      <c r="E291" s="40"/>
      <c r="F291" s="40"/>
      <c r="G291" s="40"/>
      <c r="H291" s="40"/>
      <c r="I291" s="40"/>
      <c r="J291" s="40"/>
      <c r="K291" s="39"/>
    </row>
    <row r="292" spans="1:14" ht="22.8" x14ac:dyDescent="0.4">
      <c r="A292" s="53" t="s">
        <v>128</v>
      </c>
      <c r="B292" s="40"/>
      <c r="C292" s="40">
        <v>38</v>
      </c>
      <c r="D292" s="40">
        <v>38</v>
      </c>
      <c r="E292" s="40"/>
      <c r="F292" s="40">
        <v>38</v>
      </c>
      <c r="G292" s="40">
        <v>38</v>
      </c>
      <c r="H292" s="40"/>
      <c r="I292" s="40">
        <v>38</v>
      </c>
      <c r="J292" s="40">
        <v>38</v>
      </c>
      <c r="K292" s="39"/>
    </row>
    <row r="293" spans="1:14" ht="22.8" x14ac:dyDescent="0.4">
      <c r="A293" s="213" t="s">
        <v>122</v>
      </c>
      <c r="B293" s="40"/>
      <c r="C293" s="40"/>
      <c r="D293" s="40"/>
      <c r="E293" s="40"/>
      <c r="F293" s="40"/>
      <c r="G293" s="40"/>
      <c r="H293" s="40"/>
      <c r="I293" s="40"/>
      <c r="J293" s="40"/>
      <c r="K293" s="39"/>
    </row>
    <row r="294" spans="1:14" ht="51.75" customHeight="1" x14ac:dyDescent="0.4">
      <c r="A294" s="53" t="s">
        <v>361</v>
      </c>
      <c r="B294" s="40"/>
      <c r="C294" s="40">
        <f>C290/C292/12</f>
        <v>1731.3815789473683</v>
      </c>
      <c r="D294" s="40">
        <f>D290/D292/12</f>
        <v>1731.3815789473683</v>
      </c>
      <c r="E294" s="40"/>
      <c r="F294" s="40">
        <f>F290/F292/12</f>
        <v>2070.9429824561403</v>
      </c>
      <c r="G294" s="40">
        <f>G290/G292/12</f>
        <v>2070.9429824561403</v>
      </c>
      <c r="H294" s="40"/>
      <c r="I294" s="40">
        <f>I290/I292/12</f>
        <v>2293.641337719298</v>
      </c>
      <c r="J294" s="40">
        <f>J290/J292/12</f>
        <v>2293.641337719298</v>
      </c>
      <c r="K294" s="39"/>
    </row>
    <row r="295" spans="1:14" ht="22.8" x14ac:dyDescent="0.4">
      <c r="A295" s="561" t="s">
        <v>374</v>
      </c>
      <c r="B295" s="561"/>
      <c r="C295" s="561"/>
      <c r="D295" s="561"/>
      <c r="E295" s="561"/>
      <c r="F295" s="561"/>
      <c r="G295" s="561"/>
      <c r="H295" s="561"/>
      <c r="I295" s="561"/>
      <c r="J295" s="561"/>
      <c r="K295" s="561"/>
    </row>
    <row r="296" spans="1:14" ht="22.8" x14ac:dyDescent="0.4">
      <c r="A296" s="48" t="s">
        <v>115</v>
      </c>
      <c r="B296" s="39">
        <f t="shared" ref="B296:K296" si="8">B300+B317+B324+B332+B310</f>
        <v>30105670</v>
      </c>
      <c r="C296" s="39">
        <f t="shared" si="8"/>
        <v>23141190</v>
      </c>
      <c r="D296" s="39">
        <f t="shared" si="8"/>
        <v>23141190</v>
      </c>
      <c r="E296" s="39">
        <f t="shared" si="8"/>
        <v>0</v>
      </c>
      <c r="F296" s="39">
        <f t="shared" si="8"/>
        <v>3976780</v>
      </c>
      <c r="G296" s="39">
        <f t="shared" si="8"/>
        <v>3976780</v>
      </c>
      <c r="H296" s="39">
        <f t="shared" si="8"/>
        <v>0</v>
      </c>
      <c r="I296" s="39">
        <f t="shared" si="8"/>
        <v>2987700</v>
      </c>
      <c r="J296" s="39">
        <f t="shared" si="8"/>
        <v>2987700</v>
      </c>
      <c r="K296" s="39">
        <f t="shared" si="8"/>
        <v>0</v>
      </c>
      <c r="M296" s="43">
        <f>C296+F296+I296</f>
        <v>30105670</v>
      </c>
      <c r="N296" s="43">
        <f>M296-B296</f>
        <v>0</v>
      </c>
    </row>
    <row r="297" spans="1:14" ht="22.8" x14ac:dyDescent="0.4">
      <c r="A297" s="48" t="s">
        <v>116</v>
      </c>
      <c r="B297" s="565"/>
      <c r="C297" s="566"/>
      <c r="D297" s="566"/>
      <c r="E297" s="566"/>
      <c r="F297" s="566"/>
      <c r="G297" s="566"/>
      <c r="H297" s="566"/>
      <c r="I297" s="566"/>
      <c r="J297" s="566"/>
      <c r="K297" s="567"/>
    </row>
    <row r="298" spans="1:14" ht="22.8" hidden="1" x14ac:dyDescent="0.4">
      <c r="A298" s="52" t="s">
        <v>114</v>
      </c>
      <c r="B298" s="553" t="s">
        <v>392</v>
      </c>
      <c r="C298" s="553"/>
      <c r="D298" s="553"/>
      <c r="E298" s="553"/>
      <c r="F298" s="553"/>
      <c r="G298" s="553"/>
      <c r="H298" s="553"/>
      <c r="I298" s="553"/>
      <c r="J298" s="553"/>
      <c r="K298" s="553"/>
    </row>
    <row r="299" spans="1:14" ht="22.8" hidden="1" x14ac:dyDescent="0.4">
      <c r="A299" s="149" t="s">
        <v>145</v>
      </c>
      <c r="B299" s="558" t="s">
        <v>161</v>
      </c>
      <c r="C299" s="559"/>
      <c r="D299" s="559"/>
      <c r="E299" s="559"/>
      <c r="F299" s="559"/>
      <c r="G299" s="559"/>
      <c r="H299" s="559"/>
      <c r="I299" s="559"/>
      <c r="J299" s="559"/>
      <c r="K299" s="560"/>
    </row>
    <row r="300" spans="1:14" ht="22.8" hidden="1" x14ac:dyDescent="0.4">
      <c r="A300" s="213" t="s">
        <v>119</v>
      </c>
      <c r="B300" s="214">
        <f>C300+F300+I300</f>
        <v>0</v>
      </c>
      <c r="C300" s="214">
        <f>D300+E300</f>
        <v>0</v>
      </c>
      <c r="D300" s="211">
        <f>'Додаток 3'!I220*1000</f>
        <v>0</v>
      </c>
      <c r="E300" s="214"/>
      <c r="F300" s="214">
        <f>G300+H300</f>
        <v>0</v>
      </c>
      <c r="G300" s="214">
        <f>'Додаток 3'!J220*1000</f>
        <v>0</v>
      </c>
      <c r="H300" s="214"/>
      <c r="I300" s="214">
        <f>J300+K300</f>
        <v>0</v>
      </c>
      <c r="J300" s="214">
        <f>'Додаток 3'!K220*1000</f>
        <v>0</v>
      </c>
      <c r="K300" s="153"/>
    </row>
    <row r="301" spans="1:14" ht="45.6" hidden="1" x14ac:dyDescent="0.4">
      <c r="A301" s="50" t="s">
        <v>179</v>
      </c>
      <c r="B301" s="214"/>
      <c r="C301" s="150">
        <v>43</v>
      </c>
      <c r="D301" s="150">
        <v>43</v>
      </c>
      <c r="E301" s="214"/>
      <c r="F301" s="150">
        <v>43</v>
      </c>
      <c r="G301" s="150">
        <v>43</v>
      </c>
      <c r="H301" s="150"/>
      <c r="I301" s="150">
        <v>43</v>
      </c>
      <c r="J301" s="150">
        <v>43</v>
      </c>
      <c r="K301" s="214"/>
    </row>
    <row r="302" spans="1:14" ht="22.8" hidden="1" x14ac:dyDescent="0.4">
      <c r="A302" s="213" t="s">
        <v>121</v>
      </c>
      <c r="B302" s="42"/>
      <c r="C302" s="40"/>
      <c r="D302" s="40"/>
      <c r="E302" s="40"/>
      <c r="F302" s="40"/>
      <c r="G302" s="40"/>
      <c r="H302" s="40"/>
      <c r="I302" s="40"/>
      <c r="J302" s="40"/>
      <c r="K302" s="39"/>
    </row>
    <row r="303" spans="1:14" ht="54" hidden="1" customHeight="1" x14ac:dyDescent="0.4">
      <c r="A303" s="55" t="s">
        <v>180</v>
      </c>
      <c r="B303" s="42"/>
      <c r="C303" s="40">
        <v>20</v>
      </c>
      <c r="D303" s="40">
        <v>20</v>
      </c>
      <c r="E303" s="40"/>
      <c r="F303" s="40">
        <v>20</v>
      </c>
      <c r="G303" s="40">
        <v>20</v>
      </c>
      <c r="H303" s="40"/>
      <c r="I303" s="40">
        <v>20</v>
      </c>
      <c r="J303" s="40">
        <v>20</v>
      </c>
      <c r="K303" s="39"/>
    </row>
    <row r="304" spans="1:14" ht="22.8" hidden="1" x14ac:dyDescent="0.4">
      <c r="A304" s="213" t="s">
        <v>122</v>
      </c>
      <c r="B304" s="42"/>
      <c r="C304" s="40"/>
      <c r="D304" s="40"/>
      <c r="E304" s="40"/>
      <c r="F304" s="40"/>
      <c r="G304" s="40"/>
      <c r="H304" s="40"/>
      <c r="I304" s="40"/>
      <c r="J304" s="40"/>
      <c r="K304" s="39"/>
    </row>
    <row r="305" spans="1:11" ht="45.6" hidden="1" x14ac:dyDescent="0.4">
      <c r="A305" s="51" t="s">
        <v>181</v>
      </c>
      <c r="B305" s="42"/>
      <c r="C305" s="40">
        <f>C300/C303</f>
        <v>0</v>
      </c>
      <c r="D305" s="40">
        <f>D300/D303</f>
        <v>0</v>
      </c>
      <c r="E305" s="40"/>
      <c r="F305" s="40">
        <f>F300/F303</f>
        <v>0</v>
      </c>
      <c r="G305" s="40">
        <f>G300/G303</f>
        <v>0</v>
      </c>
      <c r="H305" s="40"/>
      <c r="I305" s="40">
        <f>I300/I303</f>
        <v>0</v>
      </c>
      <c r="J305" s="40">
        <f>J300/J303</f>
        <v>0</v>
      </c>
      <c r="K305" s="39"/>
    </row>
    <row r="306" spans="1:11" ht="22.8" hidden="1" x14ac:dyDescent="0.4">
      <c r="A306" s="59" t="s">
        <v>123</v>
      </c>
      <c r="B306" s="42"/>
      <c r="C306" s="40"/>
      <c r="D306" s="40"/>
      <c r="E306" s="40"/>
      <c r="F306" s="40"/>
      <c r="G306" s="40"/>
      <c r="H306" s="40"/>
      <c r="I306" s="40"/>
      <c r="J306" s="40"/>
      <c r="K306" s="39"/>
    </row>
    <row r="307" spans="1:11" ht="68.400000000000006" hidden="1" x14ac:dyDescent="0.4">
      <c r="A307" s="51" t="s">
        <v>182</v>
      </c>
      <c r="B307" s="42"/>
      <c r="C307" s="40">
        <f>C303/C301*100</f>
        <v>46.511627906976742</v>
      </c>
      <c r="D307" s="40">
        <f>D303/D301*100</f>
        <v>46.511627906976742</v>
      </c>
      <c r="E307" s="40"/>
      <c r="F307" s="40">
        <f>F303/F301*100</f>
        <v>46.511627906976742</v>
      </c>
      <c r="G307" s="40">
        <f>G303/G301*100</f>
        <v>46.511627906976742</v>
      </c>
      <c r="H307" s="40"/>
      <c r="I307" s="40">
        <f>I303/I301*100</f>
        <v>46.511627906976742</v>
      </c>
      <c r="J307" s="40">
        <f>J303/J301*100</f>
        <v>46.511627906976742</v>
      </c>
      <c r="K307" s="39"/>
    </row>
    <row r="308" spans="1:11" ht="22.8" hidden="1" x14ac:dyDescent="0.4">
      <c r="A308" s="52" t="s">
        <v>114</v>
      </c>
      <c r="B308" s="553" t="s">
        <v>107</v>
      </c>
      <c r="C308" s="553"/>
      <c r="D308" s="553"/>
      <c r="E308" s="553"/>
      <c r="F308" s="553"/>
      <c r="G308" s="553"/>
      <c r="H308" s="553"/>
      <c r="I308" s="553"/>
      <c r="J308" s="553"/>
      <c r="K308" s="553"/>
    </row>
    <row r="309" spans="1:11" ht="22.8" hidden="1" x14ac:dyDescent="0.4">
      <c r="A309" s="149" t="s">
        <v>145</v>
      </c>
      <c r="B309" s="558" t="s">
        <v>161</v>
      </c>
      <c r="C309" s="559"/>
      <c r="D309" s="559"/>
      <c r="E309" s="559"/>
      <c r="F309" s="559"/>
      <c r="G309" s="559"/>
      <c r="H309" s="559"/>
      <c r="I309" s="559"/>
      <c r="J309" s="559"/>
      <c r="K309" s="560"/>
    </row>
    <row r="310" spans="1:11" ht="22.8" hidden="1" x14ac:dyDescent="0.4">
      <c r="A310" s="213" t="s">
        <v>119</v>
      </c>
      <c r="B310" s="214">
        <f>F310+I310</f>
        <v>0</v>
      </c>
      <c r="C310" s="214">
        <f>D310+E310</f>
        <v>0</v>
      </c>
      <c r="D310" s="214">
        <f>'Додаток 3'!I221*1000</f>
        <v>0</v>
      </c>
      <c r="E310" s="214"/>
      <c r="F310" s="214">
        <f>G310+H310</f>
        <v>0</v>
      </c>
      <c r="G310" s="214">
        <f>'Додаток 3'!J221*1000</f>
        <v>0</v>
      </c>
      <c r="H310" s="214"/>
      <c r="I310" s="214">
        <f>J310+K310</f>
        <v>0</v>
      </c>
      <c r="J310" s="214">
        <f>'Додаток 3'!K221*1000</f>
        <v>0</v>
      </c>
      <c r="K310" s="214"/>
    </row>
    <row r="311" spans="1:11" ht="22.8" hidden="1" x14ac:dyDescent="0.4">
      <c r="A311" s="213" t="s">
        <v>121</v>
      </c>
      <c r="B311" s="42"/>
      <c r="C311" s="40"/>
      <c r="D311" s="40"/>
      <c r="E311" s="40"/>
      <c r="F311" s="40"/>
      <c r="G311" s="40"/>
      <c r="H311" s="40"/>
      <c r="I311" s="40"/>
      <c r="J311" s="40"/>
      <c r="K311" s="39"/>
    </row>
    <row r="312" spans="1:11" ht="22.5" hidden="1" customHeight="1" x14ac:dyDescent="0.4">
      <c r="A312" s="50" t="s">
        <v>308</v>
      </c>
      <c r="B312" s="42"/>
      <c r="C312" s="58"/>
      <c r="D312" s="40"/>
      <c r="E312" s="40"/>
      <c r="F312" s="40">
        <v>5</v>
      </c>
      <c r="G312" s="40">
        <v>5</v>
      </c>
      <c r="H312" s="40"/>
      <c r="I312" s="40">
        <v>5</v>
      </c>
      <c r="J312" s="40">
        <v>5</v>
      </c>
      <c r="K312" s="39"/>
    </row>
    <row r="313" spans="1:11" ht="22.8" hidden="1" x14ac:dyDescent="0.4">
      <c r="A313" s="213" t="s">
        <v>122</v>
      </c>
      <c r="B313" s="42"/>
      <c r="C313" s="40"/>
      <c r="D313" s="40"/>
      <c r="E313" s="40"/>
      <c r="F313" s="40"/>
      <c r="G313" s="40"/>
      <c r="H313" s="40"/>
      <c r="I313" s="40"/>
      <c r="J313" s="40"/>
      <c r="K313" s="39"/>
    </row>
    <row r="314" spans="1:11" ht="45.6" hidden="1" x14ac:dyDescent="0.4">
      <c r="A314" s="57" t="s">
        <v>188</v>
      </c>
      <c r="B314" s="42"/>
      <c r="C314" s="40"/>
      <c r="D314" s="40"/>
      <c r="E314" s="40"/>
      <c r="F314" s="40">
        <f>F310/F312</f>
        <v>0</v>
      </c>
      <c r="G314" s="40">
        <f>G310/G312</f>
        <v>0</v>
      </c>
      <c r="H314" s="40"/>
      <c r="I314" s="40">
        <f>I310/I312</f>
        <v>0</v>
      </c>
      <c r="J314" s="40">
        <f>J310/J312</f>
        <v>0</v>
      </c>
      <c r="K314" s="39"/>
    </row>
    <row r="315" spans="1:11" ht="22.8" x14ac:dyDescent="0.4">
      <c r="A315" s="52" t="s">
        <v>114</v>
      </c>
      <c r="B315" s="553" t="s">
        <v>299</v>
      </c>
      <c r="C315" s="553"/>
      <c r="D315" s="553"/>
      <c r="E315" s="553"/>
      <c r="F315" s="553"/>
      <c r="G315" s="553"/>
      <c r="H315" s="553"/>
      <c r="I315" s="553"/>
      <c r="J315" s="553"/>
      <c r="K315" s="553"/>
    </row>
    <row r="316" spans="1:11" ht="22.8" x14ac:dyDescent="0.4">
      <c r="A316" s="149" t="s">
        <v>145</v>
      </c>
      <c r="B316" s="558" t="s">
        <v>161</v>
      </c>
      <c r="C316" s="559"/>
      <c r="D316" s="559"/>
      <c r="E316" s="559"/>
      <c r="F316" s="559"/>
      <c r="G316" s="559"/>
      <c r="H316" s="559"/>
      <c r="I316" s="559"/>
      <c r="J316" s="559"/>
      <c r="K316" s="560"/>
    </row>
    <row r="317" spans="1:11" ht="22.8" x14ac:dyDescent="0.4">
      <c r="A317" s="213" t="s">
        <v>119</v>
      </c>
      <c r="B317" s="160">
        <f>C317+F317+I317</f>
        <v>8957680</v>
      </c>
      <c r="C317" s="160">
        <f>D317+E317</f>
        <v>2894200</v>
      </c>
      <c r="D317" s="160">
        <f>'Додаток 3'!I223*1000</f>
        <v>2894200</v>
      </c>
      <c r="E317" s="160"/>
      <c r="F317" s="160">
        <f>G317+H317</f>
        <v>3075780</v>
      </c>
      <c r="G317" s="160">
        <f>'Додаток 3'!J223*1000</f>
        <v>3075780</v>
      </c>
      <c r="H317" s="160"/>
      <c r="I317" s="160">
        <f>J317+K317</f>
        <v>2987700</v>
      </c>
      <c r="J317" s="160">
        <f>'Додаток 3'!K223*1000</f>
        <v>2987700</v>
      </c>
      <c r="K317" s="160"/>
    </row>
    <row r="318" spans="1:11" ht="22.8" x14ac:dyDescent="0.4">
      <c r="A318" s="213" t="s">
        <v>121</v>
      </c>
      <c r="B318" s="40"/>
      <c r="C318" s="40"/>
      <c r="D318" s="40"/>
      <c r="E318" s="40"/>
      <c r="F318" s="40"/>
      <c r="G318" s="40"/>
      <c r="H318" s="40"/>
      <c r="I318" s="40"/>
      <c r="J318" s="40"/>
      <c r="K318" s="39"/>
    </row>
    <row r="319" spans="1:11" ht="22.8" x14ac:dyDescent="0.4">
      <c r="A319" s="50" t="s">
        <v>365</v>
      </c>
      <c r="B319" s="40"/>
      <c r="C319" s="58">
        <v>2</v>
      </c>
      <c r="D319" s="58">
        <v>2</v>
      </c>
      <c r="E319" s="40"/>
      <c r="F319" s="58">
        <v>2</v>
      </c>
      <c r="G319" s="58">
        <v>2</v>
      </c>
      <c r="H319" s="40"/>
      <c r="I319" s="58">
        <v>2</v>
      </c>
      <c r="J319" s="58">
        <v>2</v>
      </c>
      <c r="K319" s="39"/>
    </row>
    <row r="320" spans="1:11" ht="22.8" x14ac:dyDescent="0.4">
      <c r="A320" s="213" t="s">
        <v>122</v>
      </c>
      <c r="B320" s="40"/>
      <c r="C320" s="40"/>
      <c r="D320" s="40"/>
      <c r="E320" s="40"/>
      <c r="F320" s="40"/>
      <c r="G320" s="40"/>
      <c r="H320" s="40"/>
      <c r="I320" s="40"/>
      <c r="J320" s="40"/>
      <c r="K320" s="39"/>
    </row>
    <row r="321" spans="1:11" ht="22.8" x14ac:dyDescent="0.4">
      <c r="A321" s="161" t="s">
        <v>300</v>
      </c>
      <c r="B321" s="40"/>
      <c r="C321" s="40">
        <f>C317/C319/12</f>
        <v>120591.66666666667</v>
      </c>
      <c r="D321" s="40">
        <f>D317/D319/12</f>
        <v>120591.66666666667</v>
      </c>
      <c r="E321" s="40"/>
      <c r="F321" s="40">
        <f>F317/F319/12</f>
        <v>128157.5</v>
      </c>
      <c r="G321" s="40">
        <f>G317/G319/12</f>
        <v>128157.5</v>
      </c>
      <c r="H321" s="40"/>
      <c r="I321" s="40">
        <f>I317/I319/12</f>
        <v>124487.5</v>
      </c>
      <c r="J321" s="40">
        <f>J317/J319/12</f>
        <v>124487.5</v>
      </c>
      <c r="K321" s="39"/>
    </row>
    <row r="322" spans="1:11" ht="22.8" x14ac:dyDescent="0.4">
      <c r="A322" s="52" t="s">
        <v>114</v>
      </c>
      <c r="B322" s="550" t="s">
        <v>482</v>
      </c>
      <c r="C322" s="551"/>
      <c r="D322" s="551"/>
      <c r="E322" s="551"/>
      <c r="F322" s="551"/>
      <c r="G322" s="551"/>
      <c r="H322" s="551"/>
      <c r="I322" s="551"/>
      <c r="J322" s="551"/>
      <c r="K322" s="552"/>
    </row>
    <row r="323" spans="1:11" ht="22.8" x14ac:dyDescent="0.4">
      <c r="A323" s="149" t="s">
        <v>145</v>
      </c>
      <c r="B323" s="558" t="s">
        <v>161</v>
      </c>
      <c r="C323" s="559"/>
      <c r="D323" s="559"/>
      <c r="E323" s="559"/>
      <c r="F323" s="559"/>
      <c r="G323" s="559"/>
      <c r="H323" s="559"/>
      <c r="I323" s="559"/>
      <c r="J323" s="559"/>
      <c r="K323" s="560"/>
    </row>
    <row r="324" spans="1:11" ht="22.8" x14ac:dyDescent="0.4">
      <c r="A324" s="213" t="s">
        <v>119</v>
      </c>
      <c r="B324" s="160">
        <f>C324+F324+I324</f>
        <v>11889000</v>
      </c>
      <c r="C324" s="160">
        <f>D324+E324</f>
        <v>10988000</v>
      </c>
      <c r="D324" s="160">
        <f>'Додаток 3'!I224*1000</f>
        <v>10988000</v>
      </c>
      <c r="E324" s="160"/>
      <c r="F324" s="160">
        <f>G324</f>
        <v>901000</v>
      </c>
      <c r="G324" s="160">
        <f>'Додаток 3'!J224*1000</f>
        <v>901000</v>
      </c>
      <c r="H324" s="160"/>
      <c r="I324" s="160">
        <f>J324</f>
        <v>0</v>
      </c>
      <c r="J324" s="160">
        <f>'Додаток 3'!K224*1000</f>
        <v>0</v>
      </c>
      <c r="K324" s="214"/>
    </row>
    <row r="325" spans="1:11" ht="22.8" x14ac:dyDescent="0.4">
      <c r="A325" s="213" t="s">
        <v>121</v>
      </c>
      <c r="B325" s="42"/>
      <c r="C325" s="40"/>
      <c r="D325" s="40"/>
      <c r="E325" s="40"/>
      <c r="F325" s="40"/>
      <c r="G325" s="40"/>
      <c r="H325" s="40"/>
      <c r="I325" s="40"/>
      <c r="J325" s="40"/>
      <c r="K325" s="39"/>
    </row>
    <row r="326" spans="1:11" ht="21" customHeight="1" x14ac:dyDescent="0.4">
      <c r="A326" s="50" t="s">
        <v>187</v>
      </c>
      <c r="B326" s="42"/>
      <c r="C326" s="58">
        <v>8</v>
      </c>
      <c r="D326" s="58">
        <v>8</v>
      </c>
      <c r="E326" s="40"/>
      <c r="F326" s="40">
        <v>8</v>
      </c>
      <c r="G326" s="40">
        <v>8</v>
      </c>
      <c r="H326" s="40"/>
      <c r="I326" s="40"/>
      <c r="J326" s="40"/>
      <c r="K326" s="39"/>
    </row>
    <row r="327" spans="1:11" ht="22.8" x14ac:dyDescent="0.4">
      <c r="A327" s="213" t="s">
        <v>122</v>
      </c>
      <c r="B327" s="42"/>
      <c r="C327" s="40"/>
      <c r="D327" s="40"/>
      <c r="E327" s="40"/>
      <c r="F327" s="40"/>
      <c r="G327" s="40"/>
      <c r="H327" s="40"/>
      <c r="I327" s="40"/>
      <c r="J327" s="40"/>
      <c r="K327" s="39"/>
    </row>
    <row r="328" spans="1:11" ht="45.6" x14ac:dyDescent="0.4">
      <c r="A328" s="57" t="s">
        <v>301</v>
      </c>
      <c r="B328" s="42"/>
      <c r="C328" s="40">
        <f>C324/C326</f>
        <v>1373500</v>
      </c>
      <c r="D328" s="40">
        <f>D324/D326</f>
        <v>1373500</v>
      </c>
      <c r="E328" s="40"/>
      <c r="F328" s="40">
        <f>F324/F326</f>
        <v>112625</v>
      </c>
      <c r="G328" s="40">
        <f>G324/G326</f>
        <v>112625</v>
      </c>
      <c r="H328" s="40"/>
      <c r="I328" s="40"/>
      <c r="J328" s="40"/>
      <c r="K328" s="39"/>
    </row>
    <row r="329" spans="1:11" ht="48" customHeight="1" x14ac:dyDescent="0.4">
      <c r="A329" s="52" t="s">
        <v>114</v>
      </c>
      <c r="B329" s="582" t="s">
        <v>302</v>
      </c>
      <c r="C329" s="583"/>
      <c r="D329" s="583"/>
      <c r="E329" s="583"/>
      <c r="F329" s="583"/>
      <c r="G329" s="583"/>
      <c r="H329" s="583"/>
      <c r="I329" s="583"/>
      <c r="J329" s="583"/>
      <c r="K329" s="584"/>
    </row>
    <row r="330" spans="1:11" ht="20.25" customHeight="1" x14ac:dyDescent="0.4">
      <c r="A330" s="149" t="s">
        <v>156</v>
      </c>
      <c r="B330" s="558" t="s">
        <v>157</v>
      </c>
      <c r="C330" s="559"/>
      <c r="D330" s="559"/>
      <c r="E330" s="559"/>
      <c r="F330" s="559"/>
      <c r="G330" s="559"/>
      <c r="H330" s="559"/>
      <c r="I330" s="559"/>
      <c r="J330" s="559"/>
      <c r="K330" s="560"/>
    </row>
    <row r="331" spans="1:11" ht="22.8" x14ac:dyDescent="0.4">
      <c r="A331" s="149" t="s">
        <v>117</v>
      </c>
      <c r="B331" s="558" t="s">
        <v>158</v>
      </c>
      <c r="C331" s="559"/>
      <c r="D331" s="559"/>
      <c r="E331" s="559"/>
      <c r="F331" s="559"/>
      <c r="G331" s="559"/>
      <c r="H331" s="559"/>
      <c r="I331" s="559"/>
      <c r="J331" s="559"/>
      <c r="K331" s="560"/>
    </row>
    <row r="332" spans="1:11" ht="22.8" x14ac:dyDescent="0.4">
      <c r="A332" s="213" t="s">
        <v>119</v>
      </c>
      <c r="B332" s="160">
        <f>C332+F332+I332</f>
        <v>9258990</v>
      </c>
      <c r="C332" s="160">
        <f>D332+E332</f>
        <v>9258990</v>
      </c>
      <c r="D332" s="160">
        <f>'Додаток 3'!I225*1000</f>
        <v>9258990</v>
      </c>
      <c r="E332" s="160"/>
      <c r="F332" s="214">
        <f>G332</f>
        <v>0</v>
      </c>
      <c r="G332" s="214">
        <f>'Додаток 3'!J225*1000</f>
        <v>0</v>
      </c>
      <c r="H332" s="214"/>
      <c r="I332" s="214"/>
      <c r="J332" s="214"/>
      <c r="K332" s="214"/>
    </row>
    <row r="333" spans="1:11" ht="22.8" x14ac:dyDescent="0.4">
      <c r="A333" s="213" t="s">
        <v>121</v>
      </c>
      <c r="B333" s="40"/>
      <c r="C333" s="40"/>
      <c r="D333" s="40"/>
      <c r="E333" s="40"/>
      <c r="F333" s="40"/>
      <c r="G333" s="40"/>
      <c r="H333" s="40"/>
      <c r="I333" s="40"/>
      <c r="J333" s="40"/>
      <c r="K333" s="39"/>
    </row>
    <row r="334" spans="1:11" ht="21" customHeight="1" x14ac:dyDescent="0.4">
      <c r="A334" s="50" t="s">
        <v>187</v>
      </c>
      <c r="B334" s="40"/>
      <c r="C334" s="58">
        <v>5</v>
      </c>
      <c r="D334" s="58">
        <v>5</v>
      </c>
      <c r="E334" s="40"/>
      <c r="F334" s="40"/>
      <c r="G334" s="40"/>
      <c r="H334" s="40"/>
      <c r="I334" s="40"/>
      <c r="J334" s="40"/>
      <c r="K334" s="39"/>
    </row>
    <row r="335" spans="1:11" ht="22.8" x14ac:dyDescent="0.4">
      <c r="A335" s="213" t="s">
        <v>122</v>
      </c>
      <c r="B335" s="40"/>
      <c r="C335" s="40"/>
      <c r="D335" s="40"/>
      <c r="E335" s="40"/>
      <c r="F335" s="40"/>
      <c r="G335" s="40"/>
      <c r="H335" s="40"/>
      <c r="I335" s="40"/>
      <c r="J335" s="40"/>
      <c r="K335" s="39"/>
    </row>
    <row r="336" spans="1:11" ht="47.25" customHeight="1" x14ac:dyDescent="0.4">
      <c r="A336" s="57" t="s">
        <v>303</v>
      </c>
      <c r="B336" s="40"/>
      <c r="C336" s="40">
        <f>C332/C334/9</f>
        <v>205755.33333333334</v>
      </c>
      <c r="D336" s="40">
        <f>D332/D334/9</f>
        <v>205755.33333333334</v>
      </c>
      <c r="E336" s="40"/>
      <c r="F336" s="40"/>
      <c r="G336" s="40"/>
      <c r="H336" s="40"/>
      <c r="I336" s="40"/>
      <c r="J336" s="40"/>
      <c r="K336" s="39"/>
    </row>
    <row r="337" spans="1:14" ht="22.8" x14ac:dyDescent="0.4">
      <c r="A337" s="561" t="s">
        <v>230</v>
      </c>
      <c r="B337" s="561"/>
      <c r="C337" s="561"/>
      <c r="D337" s="561"/>
      <c r="E337" s="561"/>
      <c r="F337" s="561"/>
      <c r="G337" s="561"/>
      <c r="H337" s="561"/>
      <c r="I337" s="561"/>
      <c r="J337" s="561"/>
      <c r="K337" s="561"/>
    </row>
    <row r="338" spans="1:14" ht="22.8" x14ac:dyDescent="0.4">
      <c r="A338" s="48" t="s">
        <v>115</v>
      </c>
      <c r="B338" s="38">
        <f>C338+F338+I338</f>
        <v>277912179</v>
      </c>
      <c r="C338" s="39">
        <f>D338+E338</f>
        <v>102395689</v>
      </c>
      <c r="D338" s="39">
        <f>D349+D350</f>
        <v>0</v>
      </c>
      <c r="E338" s="39">
        <f>E349+E350</f>
        <v>102395689</v>
      </c>
      <c r="F338" s="39">
        <f>G338+H338</f>
        <v>151174990</v>
      </c>
      <c r="G338" s="39">
        <f>G349+G350</f>
        <v>0</v>
      </c>
      <c r="H338" s="39">
        <f>H366+H367+H368</f>
        <v>151174990</v>
      </c>
      <c r="I338" s="39">
        <f>J338+K338</f>
        <v>24341500</v>
      </c>
      <c r="J338" s="39">
        <f>J349+J350</f>
        <v>0</v>
      </c>
      <c r="K338" s="39">
        <f>K366+K367+K368</f>
        <v>24341500</v>
      </c>
      <c r="M338" s="43">
        <f>C338+F338+I338</f>
        <v>277912179</v>
      </c>
      <c r="N338" s="43">
        <f>M338-B338</f>
        <v>0</v>
      </c>
    </row>
    <row r="339" spans="1:14" ht="22.8" x14ac:dyDescent="0.4">
      <c r="A339" s="48" t="s">
        <v>116</v>
      </c>
      <c r="B339" s="565"/>
      <c r="C339" s="566"/>
      <c r="D339" s="566"/>
      <c r="E339" s="566"/>
      <c r="F339" s="566"/>
      <c r="G339" s="566"/>
      <c r="H339" s="566"/>
      <c r="I339" s="566"/>
      <c r="J339" s="566"/>
      <c r="K339" s="567"/>
    </row>
    <row r="340" spans="1:14" ht="22.8" x14ac:dyDescent="0.4">
      <c r="A340" s="49" t="s">
        <v>114</v>
      </c>
      <c r="B340" s="578" t="s">
        <v>56</v>
      </c>
      <c r="C340" s="578"/>
      <c r="D340" s="578"/>
      <c r="E340" s="578"/>
      <c r="F340" s="578"/>
      <c r="G340" s="578"/>
      <c r="H340" s="578"/>
      <c r="I340" s="578"/>
      <c r="J340" s="578"/>
      <c r="K340" s="578"/>
    </row>
    <row r="341" spans="1:14" ht="22.8" x14ac:dyDescent="0.4">
      <c r="A341" s="149" t="s">
        <v>117</v>
      </c>
      <c r="B341" s="558" t="s">
        <v>158</v>
      </c>
      <c r="C341" s="559"/>
      <c r="D341" s="559"/>
      <c r="E341" s="559"/>
      <c r="F341" s="559"/>
      <c r="G341" s="559"/>
      <c r="H341" s="559"/>
      <c r="I341" s="559"/>
      <c r="J341" s="559"/>
      <c r="K341" s="560"/>
    </row>
    <row r="342" spans="1:14" ht="22.8" x14ac:dyDescent="0.4">
      <c r="A342" s="149" t="s">
        <v>124</v>
      </c>
      <c r="B342" s="562" t="s">
        <v>159</v>
      </c>
      <c r="C342" s="562"/>
      <c r="D342" s="562"/>
      <c r="E342" s="562"/>
      <c r="F342" s="562"/>
      <c r="G342" s="562"/>
      <c r="H342" s="562"/>
      <c r="I342" s="562"/>
      <c r="J342" s="562"/>
      <c r="K342" s="562"/>
    </row>
    <row r="343" spans="1:14" ht="22.8" x14ac:dyDescent="0.4">
      <c r="A343" s="149" t="s">
        <v>126</v>
      </c>
      <c r="B343" s="562" t="s">
        <v>127</v>
      </c>
      <c r="C343" s="562"/>
      <c r="D343" s="562"/>
      <c r="E343" s="562"/>
      <c r="F343" s="562"/>
      <c r="G343" s="562"/>
      <c r="H343" s="562"/>
      <c r="I343" s="562"/>
      <c r="J343" s="562"/>
      <c r="K343" s="562"/>
    </row>
    <row r="344" spans="1:14" ht="22.8" x14ac:dyDescent="0.4">
      <c r="A344" s="149" t="s">
        <v>145</v>
      </c>
      <c r="B344" s="558" t="s">
        <v>391</v>
      </c>
      <c r="C344" s="559"/>
      <c r="D344" s="559"/>
      <c r="E344" s="559"/>
      <c r="F344" s="559"/>
      <c r="G344" s="559"/>
      <c r="H344" s="559"/>
      <c r="I344" s="559"/>
      <c r="J344" s="559"/>
      <c r="K344" s="560"/>
    </row>
    <row r="345" spans="1:14" ht="22.8" x14ac:dyDescent="0.4">
      <c r="A345" s="149" t="s">
        <v>191</v>
      </c>
      <c r="B345" s="575" t="s">
        <v>192</v>
      </c>
      <c r="C345" s="576"/>
      <c r="D345" s="576"/>
      <c r="E345" s="576"/>
      <c r="F345" s="576"/>
      <c r="G345" s="576"/>
      <c r="H345" s="576"/>
      <c r="I345" s="576"/>
      <c r="J345" s="576"/>
      <c r="K345" s="577"/>
    </row>
    <row r="346" spans="1:14" ht="22.8" x14ac:dyDescent="0.4">
      <c r="A346" s="149" t="s">
        <v>189</v>
      </c>
      <c r="B346" s="575" t="s">
        <v>190</v>
      </c>
      <c r="C346" s="576"/>
      <c r="D346" s="576"/>
      <c r="E346" s="576"/>
      <c r="F346" s="576"/>
      <c r="G346" s="576"/>
      <c r="H346" s="576"/>
      <c r="I346" s="576"/>
      <c r="J346" s="576"/>
      <c r="K346" s="577"/>
    </row>
    <row r="347" spans="1:14" ht="22.8" x14ac:dyDescent="0.4">
      <c r="A347" s="149" t="s">
        <v>304</v>
      </c>
      <c r="B347" s="575" t="s">
        <v>305</v>
      </c>
      <c r="C347" s="576"/>
      <c r="D347" s="576"/>
      <c r="E347" s="576"/>
      <c r="F347" s="576"/>
      <c r="G347" s="576"/>
      <c r="H347" s="576"/>
      <c r="I347" s="576"/>
      <c r="J347" s="576"/>
      <c r="K347" s="577"/>
    </row>
    <row r="348" spans="1:14" ht="22.8" x14ac:dyDescent="0.4">
      <c r="A348" s="213" t="s">
        <v>119</v>
      </c>
      <c r="B348" s="224">
        <f>C348+F348+I348</f>
        <v>102395689</v>
      </c>
      <c r="C348" s="224">
        <f>D348+E348</f>
        <v>102395689</v>
      </c>
      <c r="D348" s="58"/>
      <c r="E348" s="224">
        <f>'Додаток 3'!I285*1000</f>
        <v>102395689</v>
      </c>
      <c r="F348" s="58"/>
      <c r="G348" s="41"/>
      <c r="H348" s="212"/>
      <c r="I348" s="41"/>
      <c r="J348" s="41"/>
      <c r="K348" s="41"/>
    </row>
    <row r="349" spans="1:14" ht="23.25" customHeight="1" x14ac:dyDescent="0.4">
      <c r="A349" s="57" t="s">
        <v>194</v>
      </c>
      <c r="B349" s="224"/>
      <c r="C349" s="224">
        <f>E349+D349</f>
        <v>71668319</v>
      </c>
      <c r="D349" s="58"/>
      <c r="E349" s="58">
        <f>'Додаток 3'!I250*1000</f>
        <v>71668319</v>
      </c>
      <c r="F349" s="58"/>
      <c r="G349" s="41"/>
      <c r="H349" s="212"/>
      <c r="I349" s="41"/>
      <c r="J349" s="41"/>
      <c r="K349" s="41"/>
    </row>
    <row r="350" spans="1:14" ht="22.8" x14ac:dyDescent="0.4">
      <c r="A350" s="57" t="s">
        <v>193</v>
      </c>
      <c r="B350" s="224"/>
      <c r="C350" s="224">
        <f>E350+D350</f>
        <v>30727370</v>
      </c>
      <c r="D350" s="58"/>
      <c r="E350" s="58">
        <f>('Додаток 3'!I271+'Додаток 3'!I282+'Додаток 3'!I283)*1000</f>
        <v>30727370</v>
      </c>
      <c r="F350" s="58"/>
      <c r="G350" s="41"/>
      <c r="H350" s="212"/>
      <c r="I350" s="41"/>
      <c r="J350" s="41"/>
      <c r="K350" s="41"/>
    </row>
    <row r="351" spans="1:14" ht="22.8" x14ac:dyDescent="0.4">
      <c r="A351" s="213" t="s">
        <v>121</v>
      </c>
      <c r="B351" s="224"/>
      <c r="C351" s="58"/>
      <c r="D351" s="58"/>
      <c r="E351" s="58"/>
      <c r="F351" s="58"/>
      <c r="G351" s="41"/>
      <c r="H351" s="41"/>
      <c r="I351" s="41"/>
      <c r="J351" s="41"/>
      <c r="K351" s="41"/>
    </row>
    <row r="352" spans="1:14" ht="22.8" x14ac:dyDescent="0.4">
      <c r="A352" s="54" t="s">
        <v>417</v>
      </c>
      <c r="B352" s="224"/>
      <c r="C352" s="58">
        <f>E352</f>
        <v>528</v>
      </c>
      <c r="D352" s="58"/>
      <c r="E352" s="58">
        <f>9+10+44+348+117</f>
        <v>528</v>
      </c>
      <c r="F352" s="58"/>
      <c r="G352" s="164"/>
      <c r="H352" s="41"/>
      <c r="I352" s="41"/>
      <c r="J352" s="41"/>
      <c r="K352" s="41"/>
    </row>
    <row r="353" spans="1:14" ht="22.8" hidden="1" x14ac:dyDescent="0.4">
      <c r="A353" s="54" t="s">
        <v>195</v>
      </c>
      <c r="B353" s="224"/>
      <c r="C353" s="58"/>
      <c r="D353" s="58"/>
      <c r="E353" s="58"/>
      <c r="F353" s="58"/>
      <c r="G353" s="164"/>
      <c r="H353" s="41"/>
      <c r="I353" s="41"/>
      <c r="J353" s="41"/>
      <c r="K353" s="41"/>
    </row>
    <row r="354" spans="1:14" ht="22.8" x14ac:dyDescent="0.4">
      <c r="A354" s="54" t="s">
        <v>436</v>
      </c>
      <c r="B354" s="224"/>
      <c r="C354" s="58">
        <f>E354</f>
        <v>4033</v>
      </c>
      <c r="D354" s="58"/>
      <c r="E354" s="58">
        <f>27+78+44+3767+117</f>
        <v>4033</v>
      </c>
      <c r="F354" s="58"/>
      <c r="G354" s="164"/>
      <c r="H354" s="41"/>
      <c r="I354" s="41"/>
      <c r="J354" s="41"/>
      <c r="K354" s="41"/>
    </row>
    <row r="355" spans="1:14" ht="22.8" x14ac:dyDescent="0.4">
      <c r="A355" s="213" t="s">
        <v>122</v>
      </c>
      <c r="B355" s="224"/>
      <c r="C355" s="58"/>
      <c r="D355" s="58"/>
      <c r="E355" s="58"/>
      <c r="F355" s="58"/>
      <c r="G355" s="41"/>
      <c r="H355" s="41"/>
      <c r="I355" s="41"/>
      <c r="J355" s="41"/>
      <c r="K355" s="41"/>
    </row>
    <row r="356" spans="1:14" ht="22.8" x14ac:dyDescent="0.4">
      <c r="A356" s="54" t="s">
        <v>364</v>
      </c>
      <c r="B356" s="224"/>
      <c r="C356" s="58">
        <f>E356</f>
        <v>135735.45265151514</v>
      </c>
      <c r="D356" s="58"/>
      <c r="E356" s="58">
        <f>E349/E352</f>
        <v>135735.45265151514</v>
      </c>
      <c r="F356" s="58"/>
      <c r="G356" s="41"/>
      <c r="H356" s="41"/>
      <c r="I356" s="41"/>
      <c r="J356" s="41"/>
      <c r="K356" s="41"/>
    </row>
    <row r="357" spans="1:14" ht="23.25" customHeight="1" x14ac:dyDescent="0.4">
      <c r="A357" s="49" t="s">
        <v>114</v>
      </c>
      <c r="B357" s="578" t="s">
        <v>56</v>
      </c>
      <c r="C357" s="578"/>
      <c r="D357" s="578"/>
      <c r="E357" s="578"/>
      <c r="F357" s="578"/>
      <c r="G357" s="578"/>
      <c r="H357" s="578"/>
      <c r="I357" s="578"/>
      <c r="J357" s="578"/>
      <c r="K357" s="578"/>
    </row>
    <row r="358" spans="1:14" ht="23.25" customHeight="1" x14ac:dyDescent="0.4">
      <c r="A358" s="149" t="s">
        <v>117</v>
      </c>
      <c r="B358" s="558" t="s">
        <v>158</v>
      </c>
      <c r="C358" s="559"/>
      <c r="D358" s="559"/>
      <c r="E358" s="559"/>
      <c r="F358" s="559"/>
      <c r="G358" s="559"/>
      <c r="H358" s="559"/>
      <c r="I358" s="559"/>
      <c r="J358" s="559"/>
      <c r="K358" s="560"/>
    </row>
    <row r="359" spans="1:14" ht="22.5" customHeight="1" x14ac:dyDescent="0.4">
      <c r="A359" s="149" t="s">
        <v>124</v>
      </c>
      <c r="B359" s="562" t="s">
        <v>159</v>
      </c>
      <c r="C359" s="562"/>
      <c r="D359" s="562"/>
      <c r="E359" s="562"/>
      <c r="F359" s="562"/>
      <c r="G359" s="562"/>
      <c r="H359" s="562"/>
      <c r="I359" s="562"/>
      <c r="J359" s="562"/>
      <c r="K359" s="562"/>
    </row>
    <row r="360" spans="1:14" ht="22.5" customHeight="1" x14ac:dyDescent="0.4">
      <c r="A360" s="149" t="s">
        <v>126</v>
      </c>
      <c r="B360" s="562" t="s">
        <v>127</v>
      </c>
      <c r="C360" s="562"/>
      <c r="D360" s="562"/>
      <c r="E360" s="562"/>
      <c r="F360" s="562"/>
      <c r="G360" s="562"/>
      <c r="H360" s="562"/>
      <c r="I360" s="562"/>
      <c r="J360" s="562"/>
      <c r="K360" s="562"/>
    </row>
    <row r="361" spans="1:14" ht="22.5" customHeight="1" x14ac:dyDescent="0.4">
      <c r="A361" s="149" t="s">
        <v>145</v>
      </c>
      <c r="B361" s="558" t="s">
        <v>391</v>
      </c>
      <c r="C361" s="559"/>
      <c r="D361" s="559"/>
      <c r="E361" s="559"/>
      <c r="F361" s="559"/>
      <c r="G361" s="559"/>
      <c r="H361" s="559"/>
      <c r="I361" s="559"/>
      <c r="J361" s="559"/>
      <c r="K361" s="560"/>
    </row>
    <row r="362" spans="1:14" ht="22.5" customHeight="1" x14ac:dyDescent="0.4">
      <c r="A362" s="149" t="s">
        <v>191</v>
      </c>
      <c r="B362" s="575" t="s">
        <v>192</v>
      </c>
      <c r="C362" s="576"/>
      <c r="D362" s="576"/>
      <c r="E362" s="576"/>
      <c r="F362" s="576"/>
      <c r="G362" s="576"/>
      <c r="H362" s="576"/>
      <c r="I362" s="576"/>
      <c r="J362" s="576"/>
      <c r="K362" s="577"/>
    </row>
    <row r="363" spans="1:14" ht="22.5" customHeight="1" x14ac:dyDescent="0.4">
      <c r="A363" s="149" t="s">
        <v>189</v>
      </c>
      <c r="B363" s="575" t="s">
        <v>190</v>
      </c>
      <c r="C363" s="576"/>
      <c r="D363" s="576"/>
      <c r="E363" s="576"/>
      <c r="F363" s="576"/>
      <c r="G363" s="576"/>
      <c r="H363" s="576"/>
      <c r="I363" s="576"/>
      <c r="J363" s="576"/>
      <c r="K363" s="577"/>
    </row>
    <row r="364" spans="1:14" ht="22.5" customHeight="1" x14ac:dyDescent="0.4">
      <c r="A364" s="149" t="s">
        <v>304</v>
      </c>
      <c r="B364" s="575" t="s">
        <v>305</v>
      </c>
      <c r="C364" s="576"/>
      <c r="D364" s="576"/>
      <c r="E364" s="576"/>
      <c r="F364" s="576"/>
      <c r="G364" s="576"/>
      <c r="H364" s="576"/>
      <c r="I364" s="576"/>
      <c r="J364" s="576"/>
      <c r="K364" s="577"/>
    </row>
    <row r="365" spans="1:14" ht="38.25" customHeight="1" x14ac:dyDescent="0.4">
      <c r="A365" s="213" t="s">
        <v>119</v>
      </c>
      <c r="B365" s="224">
        <f>C365+F365+I365</f>
        <v>175516490.00000003</v>
      </c>
      <c r="C365" s="58"/>
      <c r="D365" s="41"/>
      <c r="E365" s="41"/>
      <c r="F365" s="224">
        <f>G365+H365</f>
        <v>151174990.00000003</v>
      </c>
      <c r="G365" s="224"/>
      <c r="H365" s="224">
        <f>'Додаток 3'!J285*1000</f>
        <v>151174990.00000003</v>
      </c>
      <c r="I365" s="224">
        <f>J365+K365</f>
        <v>24341500</v>
      </c>
      <c r="J365" s="224">
        <v>0</v>
      </c>
      <c r="K365" s="224">
        <f>'Додаток 3'!K285*1000</f>
        <v>24341500</v>
      </c>
    </row>
    <row r="366" spans="1:14" ht="29.25" customHeight="1" x14ac:dyDescent="0.4">
      <c r="A366" s="57" t="s">
        <v>194</v>
      </c>
      <c r="B366" s="58"/>
      <c r="C366" s="41"/>
      <c r="D366" s="41"/>
      <c r="E366" s="41"/>
      <c r="F366" s="58">
        <f t="shared" ref="F366:F368" si="9">G366+H366</f>
        <v>107120160</v>
      </c>
      <c r="G366" s="58"/>
      <c r="H366" s="58">
        <f>'Додаток 3'!J250*1000</f>
        <v>107120160</v>
      </c>
      <c r="I366" s="58">
        <f t="shared" ref="I366:I375" si="10">J366+K366</f>
        <v>10000000</v>
      </c>
      <c r="J366" s="58"/>
      <c r="K366" s="58">
        <f>'Додаток 3'!K250*1000</f>
        <v>10000000</v>
      </c>
    </row>
    <row r="367" spans="1:14" ht="46.5" customHeight="1" x14ac:dyDescent="0.4">
      <c r="A367" s="57" t="s">
        <v>472</v>
      </c>
      <c r="B367" s="58"/>
      <c r="C367" s="163"/>
      <c r="D367" s="162"/>
      <c r="E367" s="162"/>
      <c r="F367" s="58">
        <f t="shared" si="9"/>
        <v>35911630.000000007</v>
      </c>
      <c r="G367" s="58"/>
      <c r="H367" s="58">
        <f>'Додаток 3'!J271*1000</f>
        <v>35911630.000000007</v>
      </c>
      <c r="I367" s="58">
        <f t="shared" si="10"/>
        <v>10000000</v>
      </c>
      <c r="J367" s="58"/>
      <c r="K367" s="58">
        <f>'Додаток 3'!K271*1000</f>
        <v>10000000</v>
      </c>
      <c r="N367" s="41"/>
    </row>
    <row r="368" spans="1:14" ht="67.5" customHeight="1" x14ac:dyDescent="0.4">
      <c r="A368" s="57" t="s">
        <v>473</v>
      </c>
      <c r="B368" s="58"/>
      <c r="C368" s="41"/>
      <c r="D368" s="41"/>
      <c r="E368" s="41"/>
      <c r="F368" s="58">
        <f t="shared" si="9"/>
        <v>8143200</v>
      </c>
      <c r="G368" s="58"/>
      <c r="H368" s="58">
        <f>('Додаток 3'!J282+'Додаток 3'!J283)*1000</f>
        <v>8143200</v>
      </c>
      <c r="I368" s="58">
        <f t="shared" si="10"/>
        <v>4341500</v>
      </c>
      <c r="J368" s="58"/>
      <c r="K368" s="58">
        <f>'Додаток 3'!K282*1000</f>
        <v>4341500</v>
      </c>
    </row>
    <row r="369" spans="1:11" ht="24.75" customHeight="1" x14ac:dyDescent="0.4">
      <c r="A369" s="213" t="s">
        <v>121</v>
      </c>
      <c r="B369" s="58"/>
      <c r="C369" s="57"/>
      <c r="D369" s="57"/>
      <c r="E369" s="57"/>
      <c r="F369" s="150"/>
      <c r="G369" s="150"/>
      <c r="H369" s="150"/>
      <c r="I369" s="58"/>
      <c r="J369" s="150"/>
      <c r="K369" s="150"/>
    </row>
    <row r="370" spans="1:11" ht="32.25" customHeight="1" x14ac:dyDescent="0.4">
      <c r="A370" s="54" t="s">
        <v>474</v>
      </c>
      <c r="B370" s="58"/>
      <c r="C370" s="163"/>
      <c r="D370" s="162"/>
      <c r="E370" s="162"/>
      <c r="F370" s="58">
        <v>153</v>
      </c>
      <c r="G370" s="58"/>
      <c r="H370" s="58">
        <v>153</v>
      </c>
      <c r="I370" s="58">
        <f t="shared" si="10"/>
        <v>63</v>
      </c>
      <c r="J370" s="58"/>
      <c r="K370" s="58">
        <v>63</v>
      </c>
    </row>
    <row r="371" spans="1:11" s="60" customFormat="1" ht="45" customHeight="1" x14ac:dyDescent="0.4">
      <c r="A371" s="54" t="s">
        <v>475</v>
      </c>
      <c r="B371" s="58"/>
      <c r="C371" s="41"/>
      <c r="D371" s="41"/>
      <c r="E371" s="41"/>
      <c r="F371" s="58">
        <v>36</v>
      </c>
      <c r="G371" s="58"/>
      <c r="H371" s="58">
        <v>36</v>
      </c>
      <c r="I371" s="58">
        <f t="shared" si="10"/>
        <v>19</v>
      </c>
      <c r="J371" s="58"/>
      <c r="K371" s="58">
        <v>19</v>
      </c>
    </row>
    <row r="372" spans="1:11" s="60" customFormat="1" ht="22.5" customHeight="1" x14ac:dyDescent="0.4">
      <c r="A372" s="54" t="s">
        <v>476</v>
      </c>
      <c r="B372" s="58"/>
      <c r="C372" s="41"/>
      <c r="D372" s="41"/>
      <c r="E372" s="41"/>
      <c r="F372" s="58">
        <v>2</v>
      </c>
      <c r="G372" s="58"/>
      <c r="H372" s="58">
        <v>2</v>
      </c>
      <c r="I372" s="58"/>
      <c r="J372" s="58"/>
      <c r="K372" s="58">
        <v>1</v>
      </c>
    </row>
    <row r="373" spans="1:11" s="60" customFormat="1" ht="37.5" customHeight="1" x14ac:dyDescent="0.4">
      <c r="A373" s="213" t="s">
        <v>122</v>
      </c>
      <c r="B373" s="56"/>
      <c r="C373" s="41"/>
      <c r="D373" s="41"/>
      <c r="E373" s="41"/>
      <c r="F373" s="58"/>
      <c r="G373" s="58"/>
      <c r="H373" s="58"/>
      <c r="I373" s="58"/>
      <c r="J373" s="58"/>
      <c r="K373" s="58"/>
    </row>
    <row r="374" spans="1:11" s="60" customFormat="1" ht="27" customHeight="1" x14ac:dyDescent="0.4">
      <c r="A374" s="54" t="s">
        <v>477</v>
      </c>
      <c r="B374" s="56"/>
      <c r="C374" s="41"/>
      <c r="D374" s="41"/>
      <c r="E374" s="41"/>
      <c r="F374" s="58">
        <f>H374</f>
        <v>700131.76470588241</v>
      </c>
      <c r="G374" s="58"/>
      <c r="H374" s="58">
        <f>H366/H370</f>
        <v>700131.76470588241</v>
      </c>
      <c r="I374" s="58">
        <f t="shared" si="10"/>
        <v>158730.15873015873</v>
      </c>
      <c r="J374" s="58"/>
      <c r="K374" s="58">
        <f>K366/K370</f>
        <v>158730.15873015873</v>
      </c>
    </row>
    <row r="375" spans="1:11" s="60" customFormat="1" ht="48.75" customHeight="1" x14ac:dyDescent="0.45">
      <c r="A375" s="54" t="s">
        <v>478</v>
      </c>
      <c r="B375" s="218"/>
      <c r="C375" s="219"/>
      <c r="D375" s="220"/>
      <c r="E375" s="218"/>
      <c r="F375" s="58">
        <f t="shared" ref="F375:F376" si="11">H375</f>
        <v>997545.27777777798</v>
      </c>
      <c r="G375" s="225"/>
      <c r="H375" s="58">
        <f>H367/H371</f>
        <v>997545.27777777798</v>
      </c>
      <c r="I375" s="58">
        <f t="shared" si="10"/>
        <v>526315.78947368416</v>
      </c>
      <c r="J375" s="150"/>
      <c r="K375" s="58">
        <f t="shared" ref="K375:K376" si="12">K367/K371</f>
        <v>526315.78947368416</v>
      </c>
    </row>
    <row r="376" spans="1:11" s="60" customFormat="1" ht="35.25" customHeight="1" x14ac:dyDescent="0.4">
      <c r="A376" s="54" t="s">
        <v>479</v>
      </c>
      <c r="B376" s="41"/>
      <c r="C376" s="221"/>
      <c r="D376" s="222"/>
      <c r="E376" s="41"/>
      <c r="F376" s="58">
        <f t="shared" si="11"/>
        <v>4071600</v>
      </c>
      <c r="G376" s="150"/>
      <c r="H376" s="58">
        <f>H368/H372</f>
        <v>4071600</v>
      </c>
      <c r="I376" s="58"/>
      <c r="J376" s="150"/>
      <c r="K376" s="58">
        <f t="shared" si="12"/>
        <v>4341500</v>
      </c>
    </row>
    <row r="377" spans="1:11" s="60" customFormat="1" ht="15" customHeight="1" x14ac:dyDescent="0.4">
      <c r="A377" s="217"/>
      <c r="B377" s="61"/>
      <c r="C377" s="62"/>
      <c r="D377" s="63"/>
      <c r="E377" s="61"/>
      <c r="F377" s="64"/>
      <c r="G377" s="64"/>
      <c r="H377" s="64"/>
      <c r="I377" s="65"/>
      <c r="J377" s="64"/>
      <c r="K377" s="66"/>
    </row>
    <row r="378" spans="1:11" s="60" customFormat="1" ht="15" customHeight="1" x14ac:dyDescent="0.4">
      <c r="A378" s="217"/>
      <c r="B378" s="61"/>
      <c r="C378" s="62"/>
      <c r="D378" s="63"/>
      <c r="E378" s="61"/>
      <c r="F378" s="64"/>
      <c r="G378" s="64"/>
      <c r="H378" s="64"/>
      <c r="I378" s="65"/>
      <c r="J378" s="64"/>
      <c r="K378" s="66"/>
    </row>
    <row r="379" spans="1:11" ht="25.5" customHeight="1" x14ac:dyDescent="0.45">
      <c r="A379" s="61" t="s">
        <v>466</v>
      </c>
      <c r="B379" s="61"/>
      <c r="C379" s="69"/>
      <c r="D379" s="63"/>
      <c r="E379" s="61"/>
      <c r="F379" s="64"/>
      <c r="G379" s="70" t="s">
        <v>467</v>
      </c>
      <c r="H379" s="64"/>
      <c r="I379" s="64"/>
      <c r="J379" s="64"/>
      <c r="K379" s="67"/>
    </row>
    <row r="380" spans="1:11" ht="20.25" customHeight="1" x14ac:dyDescent="0.4">
      <c r="A380" s="61"/>
      <c r="B380" s="61"/>
      <c r="C380" s="61"/>
      <c r="D380" s="63"/>
      <c r="E380" s="61"/>
      <c r="F380" s="64"/>
      <c r="G380" s="64"/>
      <c r="H380" s="64"/>
      <c r="I380" s="64"/>
      <c r="J380" s="64"/>
      <c r="K380" s="67"/>
    </row>
    <row r="381" spans="1:11" ht="20.25" customHeight="1" x14ac:dyDescent="0.4">
      <c r="A381" s="61"/>
      <c r="B381" s="61"/>
      <c r="C381" s="61"/>
      <c r="D381" s="61"/>
      <c r="E381" s="61"/>
      <c r="F381" s="61"/>
      <c r="G381" s="61"/>
      <c r="H381" s="61"/>
      <c r="I381" s="61"/>
      <c r="J381" s="61"/>
    </row>
    <row r="382" spans="1:11" ht="20.25" customHeight="1" x14ac:dyDescent="0.4">
      <c r="A382" s="68" t="s">
        <v>487</v>
      </c>
    </row>
    <row r="383" spans="1:11" ht="20.25" customHeight="1" x14ac:dyDescent="0.4"/>
  </sheetData>
  <mergeCells count="121">
    <mergeCell ref="B343:K343"/>
    <mergeCell ref="B168:K168"/>
    <mergeCell ref="B346:K346"/>
    <mergeCell ref="B192:K192"/>
    <mergeCell ref="B363:K363"/>
    <mergeCell ref="B364:K364"/>
    <mergeCell ref="B340:K340"/>
    <mergeCell ref="B281:K281"/>
    <mergeCell ref="B315:K315"/>
    <mergeCell ref="B288:K288"/>
    <mergeCell ref="B289:K289"/>
    <mergeCell ref="B308:K308"/>
    <mergeCell ref="B329:K329"/>
    <mergeCell ref="B330:K330"/>
    <mergeCell ref="B331:K331"/>
    <mergeCell ref="A337:K337"/>
    <mergeCell ref="B339:K339"/>
    <mergeCell ref="B323:K323"/>
    <mergeCell ref="B316:K316"/>
    <mergeCell ref="B298:K298"/>
    <mergeCell ref="B299:K299"/>
    <mergeCell ref="B362:K362"/>
    <mergeCell ref="B344:K344"/>
    <mergeCell ref="B341:K341"/>
    <mergeCell ref="B342:K342"/>
    <mergeCell ref="I9:I10"/>
    <mergeCell ref="B347:K347"/>
    <mergeCell ref="B18:K18"/>
    <mergeCell ref="B345:K345"/>
    <mergeCell ref="B357:K357"/>
    <mergeCell ref="B358:K358"/>
    <mergeCell ref="B359:K359"/>
    <mergeCell ref="B360:K360"/>
    <mergeCell ref="B63:K63"/>
    <mergeCell ref="B28:K28"/>
    <mergeCell ref="B37:K37"/>
    <mergeCell ref="B36:K36"/>
    <mergeCell ref="B45:K45"/>
    <mergeCell ref="B46:K46"/>
    <mergeCell ref="B110:K110"/>
    <mergeCell ref="B119:K119"/>
    <mergeCell ref="B58:K58"/>
    <mergeCell ref="B54:K54"/>
    <mergeCell ref="B109:K109"/>
    <mergeCell ref="B93:K93"/>
    <mergeCell ref="B101:K101"/>
    <mergeCell ref="B102:K102"/>
    <mergeCell ref="B68:K68"/>
    <mergeCell ref="B361:K361"/>
    <mergeCell ref="B127:K127"/>
    <mergeCell ref="B128:K128"/>
    <mergeCell ref="B144:K144"/>
    <mergeCell ref="B145:K145"/>
    <mergeCell ref="B157:K157"/>
    <mergeCell ref="B256:K256"/>
    <mergeCell ref="B233:K233"/>
    <mergeCell ref="B234:K234"/>
    <mergeCell ref="B240:K240"/>
    <mergeCell ref="B241:K241"/>
    <mergeCell ref="B255:K255"/>
    <mergeCell ref="B205:K205"/>
    <mergeCell ref="B212:K212"/>
    <mergeCell ref="B134:K134"/>
    <mergeCell ref="B135:K135"/>
    <mergeCell ref="B191:K191"/>
    <mergeCell ref="B297:K297"/>
    <mergeCell ref="B213:K213"/>
    <mergeCell ref="A209:K209"/>
    <mergeCell ref="B211:K211"/>
    <mergeCell ref="B174:K174"/>
    <mergeCell ref="B183:K183"/>
    <mergeCell ref="B309:K309"/>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J9:K9"/>
    <mergeCell ref="B22:K22"/>
    <mergeCell ref="B23:K23"/>
    <mergeCell ref="B27:K27"/>
    <mergeCell ref="B69:K69"/>
    <mergeCell ref="B77:K77"/>
    <mergeCell ref="B78:K78"/>
    <mergeCell ref="B92:K92"/>
    <mergeCell ref="B59:K59"/>
    <mergeCell ref="B204:K204"/>
    <mergeCell ref="B64:K64"/>
    <mergeCell ref="B120:K120"/>
    <mergeCell ref="B121:K121"/>
    <mergeCell ref="B139:K139"/>
    <mergeCell ref="B140:K140"/>
    <mergeCell ref="B322:K322"/>
    <mergeCell ref="B248:K248"/>
    <mergeCell ref="B175:K175"/>
    <mergeCell ref="B184:K184"/>
    <mergeCell ref="B196:K196"/>
    <mergeCell ref="B197:K197"/>
    <mergeCell ref="B146:K146"/>
    <mergeCell ref="B158:K158"/>
    <mergeCell ref="B167:K167"/>
    <mergeCell ref="B264:K264"/>
    <mergeCell ref="B219:K219"/>
    <mergeCell ref="B220:K220"/>
    <mergeCell ref="B242:K242"/>
    <mergeCell ref="B280:K280"/>
    <mergeCell ref="B249:K249"/>
    <mergeCell ref="B265:K265"/>
    <mergeCell ref="A295:K295"/>
  </mergeCells>
  <pageMargins left="1.1811023622047245" right="0.43307086614173229" top="0.78740157480314965" bottom="0.78740157480314965" header="0.31496062992125984" footer="0.31496062992125984"/>
  <pageSetup paperSize="9" scale="43" orientation="landscape" r:id="rId1"/>
  <rowBreaks count="10" manualBreakCount="10">
    <brk id="32" max="10" man="1"/>
    <brk id="70" max="10" man="1"/>
    <brk id="104" max="10" man="1"/>
    <brk id="139" max="10" man="1"/>
    <brk id="175" max="10" man="1"/>
    <brk id="211" max="10" man="1"/>
    <brk id="246" max="10" man="1"/>
    <brk id="283" max="10" man="1"/>
    <brk id="336" max="10" man="1"/>
    <brk id="37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abSelected="1"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Додаток 1</vt:lpstr>
      <vt:lpstr>Додаток 3</vt:lpstr>
      <vt:lpstr>Додаток 4</vt:lpstr>
      <vt:lpstr>Лист1</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2022-01-21T07:16:05Z</cp:lastPrinted>
  <dcterms:created xsi:type="dcterms:W3CDTF">1996-10-08T23:32:33Z</dcterms:created>
  <dcterms:modified xsi:type="dcterms:W3CDTF">2022-04-06T10:42:16Z</dcterms:modified>
</cp:coreProperties>
</file>