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7'!$17:$18</definedName>
    <definedName name="_xlnm.Print_Area" localSheetId="0">'дод 7'!$A$1:$J$333</definedName>
  </definedNames>
  <calcPr fullCalcOnLoad="1"/>
</workbook>
</file>

<file path=xl/sharedStrings.xml><?xml version="1.0" encoding="utf-8"?>
<sst xmlns="http://schemas.openxmlformats.org/spreadsheetml/2006/main" count="959" uniqueCount="616">
  <si>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</si>
  <si>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</si>
  <si>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</si>
  <si>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</si>
  <si>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</si>
  <si>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</si>
  <si>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</si>
  <si>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</si>
  <si>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</si>
  <si>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</si>
  <si>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</si>
  <si>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</si>
  <si>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</si>
  <si>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</si>
  <si>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</si>
  <si>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</si>
  <si>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</si>
  <si>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</si>
  <si>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</si>
  <si>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</si>
  <si>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</si>
  <si>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</si>
  <si>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</si>
  <si>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</si>
  <si>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</si>
  <si>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</si>
  <si>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</si>
  <si>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</si>
  <si>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</si>
  <si>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</si>
  <si>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</si>
  <si>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</si>
  <si>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</si>
  <si>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</si>
  <si>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</si>
  <si>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</si>
  <si>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</si>
  <si>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</si>
  <si>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</si>
  <si>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</si>
  <si>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</si>
  <si>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</si>
  <si>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</si>
  <si>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</si>
  <si>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</si>
  <si>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</si>
  <si>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</si>
  <si>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</si>
  <si>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</si>
  <si>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</si>
  <si>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</si>
  <si>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</si>
  <si>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</si>
  <si>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</si>
  <si>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</si>
  <si>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</si>
  <si>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</si>
  <si>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</si>
  <si>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</si>
  <si>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</si>
  <si>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</si>
  <si>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</si>
  <si>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</si>
  <si>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</si>
  <si>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</si>
  <si>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</si>
  <si>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</si>
  <si>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</si>
  <si>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</si>
  <si>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</si>
  <si>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</si>
  <si>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</si>
  <si>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</si>
  <si>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</si>
  <si>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</si>
  <si>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</si>
  <si>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</si>
  <si>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</si>
  <si>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</si>
  <si>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</si>
  <si>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</si>
  <si>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</si>
  <si>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</si>
  <si>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</si>
  <si>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</si>
  <si>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</si>
  <si>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</si>
  <si>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</si>
  <si>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</si>
  <si>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</si>
  <si>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</si>
  <si>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</si>
  <si>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</si>
  <si>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</si>
  <si>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</si>
  <si>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</si>
  <si>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</si>
  <si>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</si>
  <si>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</si>
  <si>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</si>
  <si>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</si>
  <si>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</si>
  <si>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</si>
  <si>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</si>
  <si>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</si>
  <si>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</si>
  <si>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</si>
  <si>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</si>
  <si>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</si>
  <si>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</si>
  <si>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</si>
  <si>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</si>
  <si>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</si>
  <si>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</si>
  <si>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</si>
  <si>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</si>
  <si>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</si>
  <si>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</si>
  <si>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</si>
  <si>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</si>
  <si>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</si>
  <si>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</si>
  <si>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</si>
  <si>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</si>
  <si>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</si>
  <si>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</si>
  <si>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</si>
  <si>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</si>
  <si>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</si>
  <si>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</si>
  <si>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</si>
  <si>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</si>
  <si>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</si>
  <si>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</si>
  <si>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</si>
  <si>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</si>
  <si>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</si>
  <si>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</si>
  <si>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</si>
  <si>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</si>
  <si>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</si>
  <si>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</si>
  <si>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</si>
  <si>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</si>
  <si>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</si>
  <si>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</si>
  <si>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</si>
  <si>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</si>
  <si>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</si>
  <si>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</si>
  <si>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</si>
  <si>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</si>
  <si>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</si>
  <si>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</si>
  <si>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</si>
  <si>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</si>
  <si>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</si>
  <si>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</si>
  <si>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</si>
  <si>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</si>
  <si>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</si>
  <si>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</si>
  <si>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</si>
  <si>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</si>
  <si>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</si>
  <si>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</si>
  <si>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</si>
  <si>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</si>
  <si>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</si>
  <si>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</si>
  <si>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</si>
  <si>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</si>
  <si>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</si>
  <si>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</si>
  <si>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</si>
  <si>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</si>
  <si>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</si>
  <si>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</si>
  <si>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</si>
  <si>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</si>
  <si>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</si>
  <si>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</si>
  <si>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</si>
  <si>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</si>
  <si>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</si>
  <si>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</si>
  <si>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</si>
  <si>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</si>
  <si>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</si>
  <si>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</si>
  <si>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</si>
  <si>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</si>
  <si>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</si>
  <si>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</si>
  <si>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</si>
  <si>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</si>
  <si>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</si>
  <si>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</si>
  <si>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</si>
  <si>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</si>
  <si>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</si>
  <si>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</si>
  <si>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</si>
  <si>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</si>
  <si>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</si>
  <si>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</si>
  <si>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</si>
  <si>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</si>
  <si>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</si>
  <si>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</si>
  <si>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</si>
  <si>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</si>
  <si>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</si>
  <si>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</si>
  <si>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</si>
  <si>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</si>
  <si>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</si>
  <si>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</si>
  <si>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</si>
  <si>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</si>
  <si>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</si>
  <si>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</si>
  <si>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</si>
  <si>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</si>
  <si>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</si>
  <si>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</si>
  <si>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</si>
  <si>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</si>
  <si>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</si>
  <si>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</si>
  <si>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</si>
  <si>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</si>
  <si>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</si>
  <si>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</si>
  <si>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</si>
  <si>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</si>
  <si>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</si>
  <si>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</si>
  <si>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</si>
  <si>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</si>
  <si>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</si>
  <si>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</si>
  <si>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</si>
  <si>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</si>
  <si>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</si>
  <si>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</si>
  <si>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</si>
  <si>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</si>
  <si>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</si>
  <si>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</si>
  <si>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</si>
  <si>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</si>
  <si>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</si>
  <si>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</si>
  <si>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</si>
  <si>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</si>
  <si>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</si>
  <si>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</si>
  <si>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</si>
  <si>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</si>
  <si>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</si>
  <si>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</si>
  <si>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</si>
  <si>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</si>
  <si>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</si>
  <si>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</si>
  <si>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</si>
  <si>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</si>
  <si>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</si>
  <si>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</si>
  <si>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</si>
  <si>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</si>
  <si>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</si>
  <si>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</si>
  <si>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</si>
  <si>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</si>
  <si>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</si>
  <si>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</si>
  <si>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</si>
  <si>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</si>
  <si>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</si>
  <si>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</si>
  <si>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</si>
  <si>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</si>
  <si>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</si>
  <si>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</si>
  <si>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</si>
  <si>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</si>
  <si>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</si>
  <si>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</si>
  <si>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</si>
  <si>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</si>
  <si>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</si>
  <si>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</si>
  <si>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</si>
  <si>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</si>
  <si>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</si>
  <si>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</si>
  <si>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</si>
  <si>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</si>
  <si>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</si>
  <si>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</si>
  <si>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</si>
  <si>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</si>
  <si>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</si>
  <si>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</si>
  <si>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</si>
  <si>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</si>
  <si>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</si>
  <si>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</si>
  <si>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</si>
  <si>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</si>
  <si>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</si>
  <si>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</si>
  <si>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</si>
  <si>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</si>
  <si>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</si>
  <si>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</si>
  <si>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</si>
  <si>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</si>
  <si>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</si>
  <si>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</si>
  <si>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</si>
  <si>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</si>
  <si>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</si>
  <si>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</si>
  <si>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</si>
  <si>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</si>
  <si>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</si>
  <si>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</si>
  <si>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</si>
  <si>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</si>
  <si>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</si>
  <si>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</si>
  <si>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</si>
  <si>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</si>
  <si>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</si>
  <si>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</si>
  <si>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</si>
  <si>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</si>
  <si>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</si>
  <si>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</si>
  <si>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</si>
  <si>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</si>
  <si>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</si>
  <si>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</si>
  <si>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</si>
  <si>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</si>
  <si>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</si>
  <si>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</si>
  <si>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</si>
  <si>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</si>
  <si>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</si>
  <si>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</si>
  <si>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</si>
  <si>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</si>
  <si>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</si>
  <si>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</si>
  <si>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</si>
  <si>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</si>
  <si>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</si>
  <si>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</si>
  <si>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</si>
  <si>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</si>
  <si>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</si>
  <si>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</si>
  <si>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</si>
  <si>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</si>
  <si>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</si>
  <si>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</si>
  <si>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</si>
  <si>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</si>
  <si>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</si>
  <si>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</si>
  <si>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</si>
  <si>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</si>
  <si>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</si>
  <si>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</si>
  <si>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</si>
  <si>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</si>
  <si>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</si>
  <si>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</si>
  <si>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</si>
  <si>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</si>
  <si>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</si>
  <si>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</si>
  <si>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</si>
  <si>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</si>
  <si>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</si>
  <si>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</si>
  <si>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</si>
  <si>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</si>
  <si>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</si>
  <si>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</si>
  <si>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</si>
  <si>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</si>
  <si>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</si>
  <si>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</si>
  <si>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</si>
  <si>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</si>
  <si>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</si>
  <si>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</si>
  <si>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</si>
  <si>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</si>
  <si>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</si>
  <si>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</si>
  <si>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</si>
  <si>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</si>
  <si>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</si>
  <si>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</si>
  <si>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</si>
  <si>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</si>
  <si>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</si>
  <si>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</si>
  <si>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</si>
  <si>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</si>
  <si>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</si>
  <si>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</si>
  <si>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</si>
  <si>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</si>
  <si>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</si>
  <si>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</si>
  <si>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</si>
  <si>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</si>
  <si>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</si>
  <si>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</si>
  <si>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</si>
  <si>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</si>
  <si>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</si>
  <si>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</si>
  <si>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</si>
  <si>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</si>
  <si>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</si>
  <si>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</si>
  <si>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</si>
  <si>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</si>
  <si>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</si>
  <si>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</si>
  <si>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</si>
  <si>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</si>
  <si>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</si>
  <si>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</si>
  <si>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</si>
  <si>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</si>
  <si>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</si>
  <si>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</si>
  <si>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</si>
  <si>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</si>
  <si>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</si>
  <si>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</si>
  <si>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</si>
  <si>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</si>
  <si>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</si>
  <si>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</si>
  <si>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</si>
  <si>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</si>
  <si>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</si>
  <si>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</si>
  <si>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</si>
  <si>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</si>
  <si>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</si>
  <si>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</si>
  <si>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</si>
  <si>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</si>
  <si>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</si>
  <si>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</si>
  <si>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</si>
  <si>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</si>
  <si>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</si>
  <si>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</si>
  <si>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</si>
  <si>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</si>
  <si>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</si>
  <si>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</si>
  <si>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</si>
  <si>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</si>
  <si>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</si>
  <si>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</si>
  <si>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</si>
  <si>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</si>
  <si>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</si>
  <si>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</si>
  <si>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</si>
  <si>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</si>
  <si>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</si>
  <si>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</si>
  <si>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</si>
  <si>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</si>
  <si>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</si>
  <si>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</si>
  <si>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</si>
  <si>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</si>
  <si>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</si>
  <si>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</si>
  <si>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</si>
  <si>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</si>
  <si>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</si>
  <si>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</si>
  <si>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 xml:space="preserve">від 24.11.2021 року № 2507-МР 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</si>
  <si>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</si>
  <si>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</si>
  <si>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2510-МР 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</si>
  <si>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</si>
  <si>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</si>
  <si>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 xml:space="preserve">Комплексна програма Сумської міської територіальної громади «Освіта на 2022 - 2024 роки» 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</si>
  <si>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</si>
  <si>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</si>
  <si>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</si>
  <si>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</si>
  <si>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</si>
  <si>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1600-МР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</si>
  <si>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</si>
  <si>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</si>
  <si>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t>від 29.09.2021 року № 1602-МР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</si>
  <si>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</si>
  <si>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</si>
  <si>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</si>
  <si>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</si>
  <si>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</si>
  <si>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</si>
  <si>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</si>
  <si>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</si>
  <si>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</si>
  <si>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</si>
  <si>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</si>
  <si>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</si>
  <si>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</si>
  <si>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</si>
  <si>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</si>
  <si>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</si>
  <si>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</si>
  <si>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</si>
  <si>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</si>
  <si>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</si>
  <si>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</si>
  <si>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</si>
  <si>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</si>
  <si>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</si>
  <si>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</si>
  <si>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</si>
  <si>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</si>
  <si>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</si>
  <si>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від 23.12.2021 № 2698-МР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</si>
  <si>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</si>
  <si>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</si>
  <si>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</si>
  <si>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</si>
  <si>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</si>
  <si>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</si>
  <si>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</si>
  <si>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</si>
  <si>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</si>
  <si>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</si>
  <si>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 xml:space="preserve">від 26.01.2022 року № 2717-МР </t>
  </si>
  <si>
    <t>від 26.01.2022 року № 2718- МР</t>
  </si>
  <si>
    <t>від 24.11.2021 року № 2512 - МР</t>
  </si>
  <si>
    <t>від 27.10.2021 року № 2002 - МР</t>
  </si>
  <si>
    <t xml:space="preserve">від 27.10.2021 року № 2004-МР (зі змінами)                     </t>
  </si>
  <si>
    <t>0712070</t>
  </si>
  <si>
    <t>2070</t>
  </si>
  <si>
    <t>Екстрена та швидка медична допомога населенню</t>
  </si>
  <si>
    <t>0724</t>
  </si>
  <si>
    <t>0218240</t>
  </si>
  <si>
    <t>8240</t>
  </si>
  <si>
    <t>Заходи та роботи з територіальної оборони</t>
  </si>
  <si>
    <t>1217310</t>
  </si>
  <si>
    <t>1216014</t>
  </si>
  <si>
    <t>6014</t>
  </si>
  <si>
    <t>Забезпечення збору та вивезення сміття і відходів</t>
  </si>
  <si>
    <t>від 26.01.2022 року № 2713- МР (зі змінами)</t>
  </si>
  <si>
    <t>від 26.01.2022 року № 2716-МР (зі змінами)</t>
  </si>
  <si>
    <t>від 27.10.2021 року № 2001-МР (зі змінами)</t>
  </si>
  <si>
    <t>від 24.11.2021 року № 2273-МР (зі змінами)</t>
  </si>
  <si>
    <t>від 26.01.2022 року № 2718- МР (зі змінами)</t>
  </si>
  <si>
    <t>від 27.10.2021 року № 2005-МР (зі змінами)</t>
  </si>
  <si>
    <t>1219800</t>
  </si>
  <si>
    <t>від 26.01.2022 року № 2712-МР (зі змінами)</t>
  </si>
  <si>
    <t>10 Відділ культури Сумської міської ради</t>
  </si>
  <si>
    <t xml:space="preserve">Програма «Відкритий інформаційний простір Сумської міської територіальної громади» на 2022 рік </t>
  </si>
  <si>
    <t>Програма «Воєнний стан: інформування Сумської міської територіальної громади» на 2022 рік</t>
  </si>
  <si>
    <t>від 16.02.2022 № 2732-МР</t>
  </si>
  <si>
    <t>від 11.05.2022 № 139</t>
  </si>
  <si>
    <t>від 11.05.2022 № 140 (зі змінами)</t>
  </si>
  <si>
    <t>від 24.11.2021 року № 2272-МР (зі змінами)</t>
  </si>
  <si>
    <t>від 24.11.2021 року № 2508-МР (зі змінами)</t>
  </si>
  <si>
    <t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t>
  </si>
  <si>
    <t>0617693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</si>
  <si>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</si>
  <si>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</si>
  <si>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</si>
  <si>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 xml:space="preserve"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</t>
  </si>
  <si>
    <t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t>
  </si>
  <si>
    <t>від 26.01.2022 року № 2715-МР (зі змінами)</t>
  </si>
  <si>
    <t xml:space="preserve">від 24.11.2021 року № 2509-МР (зі змінами) </t>
  </si>
  <si>
    <t>від 26.01.2022 року № 2705-МР (зі змінами)</t>
  </si>
  <si>
    <t>від 22.07.2022 № 295 (зі змінами)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</si>
  <si>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</si>
  <si>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>до       рішення      Сумської    міської     ради</t>
  </si>
  <si>
    <t>«Про          внесення      змін    до       рішення</t>
  </si>
  <si>
    <t>Сумської міської ради від 26 січня 2022 року</t>
  </si>
  <si>
    <t xml:space="preserve">№ 2704 - МР «Про бюджет Сумської міської </t>
  </si>
  <si>
    <t xml:space="preserve">територіальної     громади     на    2022     рік» </t>
  </si>
  <si>
    <t xml:space="preserve">(зі змінами)»  </t>
  </si>
  <si>
    <t>Сумський міський голова</t>
  </si>
  <si>
    <t>Олександр ЛИСЕНКО</t>
  </si>
  <si>
    <t>Виконавець:  _________________ Світлана ЛИПОВА</t>
  </si>
  <si>
    <t>1218312</t>
  </si>
  <si>
    <t>8312</t>
  </si>
  <si>
    <t>0512</t>
  </si>
  <si>
    <t xml:space="preserve"> 
Утилізація відходів</t>
  </si>
  <si>
    <t xml:space="preserve">                            Додаток 7</t>
  </si>
  <si>
    <t>від 27.05.2022 № 162 (зі змінами)</t>
  </si>
  <si>
    <t>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об’єктів до опалювального сезону 2022- 2023 років</t>
  </si>
  <si>
    <t>від 23.12.2022 № 3206-МР</t>
  </si>
  <si>
    <t>від 23.11.2022 року № 3206-МР</t>
  </si>
  <si>
    <t>від  30 листопада  2022   року   №  3225 -  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</si>
</sst>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35"/>
      <color indexed="8"/>
      <name val="Times New Roman"/>
      <family val="1"/>
    </font>
    <font>
      <sz val="45"/>
      <name val="Times New Roman"/>
      <family val="1"/>
    </font>
    <font>
      <sz val="23"/>
      <name val="Times New Roman"/>
      <family val="1"/>
    </font>
    <font>
      <sz val="32"/>
      <name val="Times New Roman"/>
      <family val="1"/>
    </font>
    <font>
      <sz val="68"/>
      <name val="Times New Roman"/>
      <family val="1"/>
    </font>
    <font>
      <sz val="53"/>
      <name val="Times New Roman"/>
      <family val="1"/>
    </font>
    <font>
      <sz val="60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b/>
      <sz val="45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b/>
      <sz val="4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5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6" fillId="46" borderId="0" applyNumberFormat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70" fillId="0" borderId="7" applyNumberFormat="0" applyFill="0" applyAlignment="0" applyProtection="0"/>
    <xf numFmtId="0" fontId="11" fillId="0" borderId="8" applyNumberFormat="0" applyFill="0" applyAlignment="0" applyProtection="0"/>
    <xf numFmtId="0" fontId="71" fillId="47" borderId="9" applyNumberFormat="0" applyAlignment="0" applyProtection="0"/>
    <xf numFmtId="0" fontId="9" fillId="48" borderId="10" applyNumberFormat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5" fillId="3" borderId="0" applyNumberFormat="0" applyBorder="0" applyAlignment="0" applyProtection="0"/>
    <xf numFmtId="0" fontId="75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6" fillId="50" borderId="14" applyNumberFormat="0" applyAlignment="0" applyProtection="0"/>
    <xf numFmtId="0" fontId="17" fillId="0" borderId="15" applyNumberFormat="0" applyFill="0" applyAlignment="0" applyProtection="0"/>
    <xf numFmtId="0" fontId="77" fillId="54" borderId="0" applyNumberFormat="0" applyBorder="0" applyAlignment="0" applyProtection="0"/>
    <xf numFmtId="0" fontId="19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80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81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82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83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81" fillId="0" borderId="16" xfId="0" applyNumberFormat="1" applyFont="1" applyFill="1" applyBorder="1" applyAlignment="1" applyProtection="1">
      <alignment horizontal="left" vertical="center"/>
      <protection/>
    </xf>
    <xf numFmtId="3" fontId="8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 horizontal="center" vertical="center" textRotation="180"/>
    </xf>
    <xf numFmtId="14" fontId="25" fillId="0" borderId="16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 applyProtection="1">
      <alignment horizontal="center" vertical="center"/>
      <protection/>
    </xf>
    <xf numFmtId="49" fontId="26" fillId="0" borderId="19" xfId="0" applyNumberFormat="1" applyFont="1" applyFill="1" applyBorder="1" applyAlignment="1" applyProtection="1">
      <alignment horizontal="center" vertical="center"/>
      <protection/>
    </xf>
    <xf numFmtId="4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5" fillId="0" borderId="0" xfId="95" applyNumberFormat="1" applyFont="1" applyFill="1" applyBorder="1" applyAlignment="1">
      <alignment horizontal="center" vertical="center"/>
      <protection/>
    </xf>
    <xf numFmtId="0" fontId="8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horizontal="center"/>
    </xf>
    <xf numFmtId="0" fontId="25" fillId="55" borderId="16" xfId="0" applyFont="1" applyFill="1" applyBorder="1" applyAlignment="1">
      <alignment horizontal="left" vertical="center" wrapText="1"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left" vertical="center"/>
      <protection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vertical="center"/>
    </xf>
    <xf numFmtId="49" fontId="26" fillId="0" borderId="20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Border="1" applyAlignment="1">
      <alignment vertical="center" wrapText="1"/>
    </xf>
    <xf numFmtId="202" fontId="47" fillId="0" borderId="0" xfId="0" applyNumberFormat="1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vertical="justify"/>
    </xf>
    <xf numFmtId="4" fontId="47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 applyProtection="1">
      <alignment horizontal="left" vertical="center"/>
      <protection/>
    </xf>
    <xf numFmtId="4" fontId="49" fillId="0" borderId="0" xfId="0" applyNumberFormat="1" applyFont="1" applyFill="1" applyAlignment="1" applyProtection="1">
      <alignment/>
      <protection/>
    </xf>
    <xf numFmtId="4" fontId="49" fillId="0" borderId="0" xfId="0" applyNumberFormat="1" applyFont="1" applyFill="1" applyAlignment="1" applyProtection="1">
      <alignment vertical="center"/>
      <protection/>
    </xf>
    <xf numFmtId="49" fontId="48" fillId="0" borderId="0" xfId="0" applyNumberFormat="1" applyFont="1" applyFill="1" applyAlignment="1" applyProtection="1">
      <alignment vertical="center"/>
      <protection/>
    </xf>
    <xf numFmtId="4" fontId="50" fillId="0" borderId="0" xfId="0" applyNumberFormat="1" applyFont="1" applyFill="1" applyBorder="1" applyAlignment="1">
      <alignment/>
    </xf>
    <xf numFmtId="0" fontId="44" fillId="0" borderId="21" xfId="0" applyFont="1" applyFill="1" applyBorder="1" applyAlignment="1">
      <alignment horizontal="center" vertical="center" textRotation="180"/>
    </xf>
    <xf numFmtId="4" fontId="83" fillId="0" borderId="0" xfId="0" applyNumberFormat="1" applyFont="1" applyFill="1" applyAlignment="1" applyProtection="1">
      <alignment horizontal="center" vertical="center" textRotation="180"/>
      <protection/>
    </xf>
    <xf numFmtId="0" fontId="44" fillId="0" borderId="0" xfId="0" applyFont="1" applyFill="1" applyAlignment="1">
      <alignment vertical="center" textRotation="180"/>
    </xf>
    <xf numFmtId="0" fontId="44" fillId="0" borderId="21" xfId="0" applyFont="1" applyFill="1" applyBorder="1" applyAlignment="1">
      <alignment vertical="center" textRotation="180"/>
    </xf>
    <xf numFmtId="49" fontId="26" fillId="0" borderId="22" xfId="0" applyNumberFormat="1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 horizontal="center" vertical="center" textRotation="180"/>
    </xf>
    <xf numFmtId="49" fontId="25" fillId="0" borderId="16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showZeros="0" tabSelected="1" view="pageBreakPreview" zoomScale="25" zoomScaleNormal="24" zoomScaleSheetLayoutView="25" workbookViewId="0" topLeftCell="A160">
      <selection activeCell="G164" sqref="G164:G165"/>
    </sheetView>
  </sheetViews>
  <sheetFormatPr defaultColWidth="9.16015625" defaultRowHeight="12.75"/>
  <cols>
    <col min="1" max="1" width="54.5" style="24" customWidth="1"/>
    <col min="2" max="2" width="52.16015625" style="24" customWidth="1"/>
    <col min="3" max="3" width="56" style="24" customWidth="1"/>
    <col min="4" max="4" width="137.16015625" style="17" customWidth="1"/>
    <col min="5" max="5" width="196.66015625" style="17" customWidth="1"/>
    <col min="6" max="6" width="67.16015625" style="17" customWidth="1"/>
    <col min="7" max="7" width="69" style="81" customWidth="1"/>
    <col min="8" max="8" width="69" style="40" customWidth="1"/>
    <col min="9" max="9" width="66.66015625" style="40" customWidth="1"/>
    <col min="10" max="10" width="68" style="40" customWidth="1"/>
    <col min="11" max="11" width="16.66015625" style="62" customWidth="1"/>
    <col min="12" max="12" width="40" style="68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7:10" ht="69" customHeight="1">
      <c r="G1" s="87" t="s">
        <v>610</v>
      </c>
      <c r="H1" s="84"/>
      <c r="I1" s="84"/>
      <c r="J1" s="84"/>
    </row>
    <row r="2" spans="6:11" ht="66.75" customHeight="1">
      <c r="F2" s="1"/>
      <c r="G2" s="88" t="s">
        <v>597</v>
      </c>
      <c r="H2" s="85"/>
      <c r="I2" s="85"/>
      <c r="J2" s="85"/>
      <c r="K2" s="106"/>
    </row>
    <row r="3" spans="6:11" ht="66.75" customHeight="1">
      <c r="F3" s="1"/>
      <c r="G3" s="87" t="s">
        <v>598</v>
      </c>
      <c r="H3" s="85"/>
      <c r="I3" s="85"/>
      <c r="J3" s="85"/>
      <c r="K3" s="106"/>
    </row>
    <row r="4" spans="6:11" ht="66.75" customHeight="1">
      <c r="F4" s="1"/>
      <c r="G4" s="87" t="s">
        <v>599</v>
      </c>
      <c r="H4" s="85"/>
      <c r="I4" s="85"/>
      <c r="J4" s="85"/>
      <c r="K4" s="106"/>
    </row>
    <row r="5" spans="6:11" ht="66.75" customHeight="1">
      <c r="F5" s="1"/>
      <c r="G5" s="87" t="s">
        <v>600</v>
      </c>
      <c r="H5" s="85"/>
      <c r="I5" s="85"/>
      <c r="J5" s="85"/>
      <c r="K5" s="106"/>
    </row>
    <row r="6" spans="6:11" ht="66.75" customHeight="1">
      <c r="F6" s="1"/>
      <c r="G6" s="87" t="s">
        <v>601</v>
      </c>
      <c r="H6" s="84"/>
      <c r="I6" s="84"/>
      <c r="J6" s="84"/>
      <c r="K6" s="106"/>
    </row>
    <row r="7" spans="6:11" ht="66.75" customHeight="1">
      <c r="F7" s="1"/>
      <c r="G7" s="87" t="s">
        <v>602</v>
      </c>
      <c r="H7" s="84"/>
      <c r="I7" s="84"/>
      <c r="J7" s="84"/>
      <c r="K7" s="106"/>
    </row>
    <row r="8" spans="6:11" ht="66.75" customHeight="1">
      <c r="F8" s="1"/>
      <c r="G8" s="87" t="s">
        <v>615</v>
      </c>
      <c r="H8" s="84"/>
      <c r="I8" s="84"/>
      <c r="J8" s="84"/>
      <c r="K8" s="106"/>
    </row>
    <row r="9" spans="6:11" ht="66.75" customHeight="1">
      <c r="F9" s="1"/>
      <c r="G9" s="87"/>
      <c r="H9" s="84"/>
      <c r="I9" s="84"/>
      <c r="J9" s="84"/>
      <c r="K9" s="106"/>
    </row>
    <row r="10" spans="6:11" ht="66.75" customHeight="1">
      <c r="F10" s="1"/>
      <c r="G10" s="87"/>
      <c r="H10" s="84"/>
      <c r="I10" s="84"/>
      <c r="J10" s="84"/>
      <c r="K10" s="106"/>
    </row>
    <row r="11" spans="6:11" ht="46.5" customHeight="1">
      <c r="F11" s="86"/>
      <c r="H11" s="42"/>
      <c r="I11" s="42"/>
      <c r="J11" s="42"/>
      <c r="K11" s="106"/>
    </row>
    <row r="12" spans="8:11" ht="46.5" customHeight="1">
      <c r="H12" s="42"/>
      <c r="I12" s="42"/>
      <c r="J12" s="42"/>
      <c r="K12" s="106"/>
    </row>
    <row r="13" spans="1:11" ht="162.75" customHeight="1">
      <c r="A13" s="126" t="s">
        <v>473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06"/>
    </row>
    <row r="14" spans="1:11" ht="67.5" customHeight="1">
      <c r="A14" s="128" t="s">
        <v>454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06"/>
    </row>
    <row r="15" spans="1:11" ht="55.5" customHeight="1">
      <c r="A15" s="132" t="s">
        <v>455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06"/>
    </row>
    <row r="16" spans="1:11" ht="61.5" customHeight="1">
      <c r="A16" s="46"/>
      <c r="B16" s="46"/>
      <c r="C16" s="46"/>
      <c r="D16" s="47"/>
      <c r="E16" s="48"/>
      <c r="F16" s="48"/>
      <c r="G16" s="82"/>
      <c r="H16" s="43"/>
      <c r="I16" s="43"/>
      <c r="J16" s="49" t="s">
        <v>354</v>
      </c>
      <c r="K16" s="106"/>
    </row>
    <row r="17" spans="1:11" ht="151.5" customHeight="1">
      <c r="A17" s="125" t="s">
        <v>307</v>
      </c>
      <c r="B17" s="125" t="s">
        <v>308</v>
      </c>
      <c r="C17" s="125" t="s">
        <v>309</v>
      </c>
      <c r="D17" s="127" t="s">
        <v>313</v>
      </c>
      <c r="E17" s="127" t="s">
        <v>61</v>
      </c>
      <c r="F17" s="127" t="s">
        <v>310</v>
      </c>
      <c r="G17" s="118" t="s">
        <v>311</v>
      </c>
      <c r="H17" s="118" t="s">
        <v>0</v>
      </c>
      <c r="I17" s="118" t="s">
        <v>1</v>
      </c>
      <c r="J17" s="118"/>
      <c r="K17" s="106"/>
    </row>
    <row r="18" spans="1:11" ht="265.5" customHeight="1">
      <c r="A18" s="125"/>
      <c r="B18" s="125"/>
      <c r="C18" s="125"/>
      <c r="D18" s="127"/>
      <c r="E18" s="127"/>
      <c r="F18" s="127"/>
      <c r="G18" s="118"/>
      <c r="H18" s="118"/>
      <c r="I18" s="30" t="s">
        <v>311</v>
      </c>
      <c r="J18" s="30" t="s">
        <v>312</v>
      </c>
      <c r="K18" s="106"/>
    </row>
    <row r="19" spans="1:12" s="52" customFormat="1" ht="102" customHeight="1">
      <c r="A19" s="10"/>
      <c r="B19" s="10"/>
      <c r="C19" s="10"/>
      <c r="D19" s="50" t="s">
        <v>110</v>
      </c>
      <c r="E19" s="51"/>
      <c r="F19" s="51"/>
      <c r="G19" s="35">
        <f>SUM(G20:G69)</f>
        <v>253973232</v>
      </c>
      <c r="H19" s="35">
        <f>SUM(H20:H69)</f>
        <v>212306966</v>
      </c>
      <c r="I19" s="35">
        <f>SUM(I20:I69)</f>
        <v>41666266</v>
      </c>
      <c r="J19" s="35">
        <f>SUM(J20:J69)</f>
        <v>40994606</v>
      </c>
      <c r="K19" s="107">
        <v>40</v>
      </c>
      <c r="L19" s="69"/>
    </row>
    <row r="20" spans="1:11" ht="145.5" customHeight="1">
      <c r="A20" s="122" t="s">
        <v>111</v>
      </c>
      <c r="B20" s="122" t="s">
        <v>69</v>
      </c>
      <c r="C20" s="122" t="s">
        <v>2</v>
      </c>
      <c r="D20" s="120" t="s">
        <v>408</v>
      </c>
      <c r="E20" s="5" t="str">
        <f>E284</f>
        <v>Програма «Воєнний стан: інформування Сумської міської територіальної громади» на 2022 рік</v>
      </c>
      <c r="F20" s="5" t="str">
        <f>F284</f>
        <v>від 11.05.2022 № 140 (зі змінами)</v>
      </c>
      <c r="G20" s="31">
        <f>H20+I20</f>
        <v>763500</v>
      </c>
      <c r="H20" s="31">
        <f>49000+101800+43800+186100+282800+15000+85000</f>
        <v>763500</v>
      </c>
      <c r="I20" s="31"/>
      <c r="J20" s="31"/>
      <c r="K20" s="107"/>
    </row>
    <row r="21" spans="1:11" ht="145.5" customHeight="1">
      <c r="A21" s="123"/>
      <c r="B21" s="123"/>
      <c r="C21" s="123"/>
      <c r="D21" s="121"/>
      <c r="E21" s="5" t="str">
        <f>E285</f>
        <v>Програма «Відкритий інформаційний простір Сумської міської територіальної громади» на 2022 рік </v>
      </c>
      <c r="F21" s="5" t="str">
        <f>F285</f>
        <v>від 16.02.2022 № 2732-МР</v>
      </c>
      <c r="G21" s="31">
        <f>H21+I21</f>
        <v>441600</v>
      </c>
      <c r="H21" s="31">
        <f>526600-85000</f>
        <v>441600</v>
      </c>
      <c r="I21" s="31"/>
      <c r="J21" s="31"/>
      <c r="K21" s="107"/>
    </row>
    <row r="22" spans="1:11" ht="156" customHeight="1" hidden="1">
      <c r="A22" s="4" t="s">
        <v>387</v>
      </c>
      <c r="B22" s="4" t="s">
        <v>359</v>
      </c>
      <c r="C22" s="4" t="s">
        <v>389</v>
      </c>
      <c r="D22" s="45" t="s">
        <v>388</v>
      </c>
      <c r="E22" s="5" t="s">
        <v>392</v>
      </c>
      <c r="F22" s="5" t="s">
        <v>391</v>
      </c>
      <c r="G22" s="31">
        <f aca="true" t="shared" si="0" ref="G22:G69">H22+I22</f>
        <v>0</v>
      </c>
      <c r="H22" s="31"/>
      <c r="I22" s="31"/>
      <c r="J22" s="31"/>
      <c r="K22" s="107"/>
    </row>
    <row r="23" spans="1:11" ht="200.25" customHeight="1">
      <c r="A23" s="119" t="s">
        <v>179</v>
      </c>
      <c r="B23" s="111" t="s">
        <v>26</v>
      </c>
      <c r="C23" s="119" t="s">
        <v>13</v>
      </c>
      <c r="D23" s="116" t="s">
        <v>178</v>
      </c>
      <c r="E23" s="5" t="str">
        <f>E300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23" s="5" t="str">
        <f>F300</f>
        <v>від 24.11.2021 року № 2508-МР (зі змінами)</v>
      </c>
      <c r="G23" s="31">
        <f t="shared" si="0"/>
        <v>718000</v>
      </c>
      <c r="H23" s="31">
        <f>296000+300000+75000+47000</f>
        <v>718000</v>
      </c>
      <c r="I23" s="31"/>
      <c r="J23" s="31"/>
      <c r="K23" s="107"/>
    </row>
    <row r="24" spans="1:11" ht="141.75" customHeight="1">
      <c r="A24" s="119"/>
      <c r="B24" s="111"/>
      <c r="C24" s="119"/>
      <c r="D24" s="116"/>
      <c r="E24" s="5" t="str">
        <f>E294</f>
        <v>Програма сприяння розвитку громадянського суспільства на території Сумської міської територіальної громади на 2022-2024 роки</v>
      </c>
      <c r="F24" s="5" t="str">
        <f>F294</f>
        <v>від 24.11.2021 року № 2511-МР                         </v>
      </c>
      <c r="G24" s="31">
        <f t="shared" si="0"/>
        <v>100000</v>
      </c>
      <c r="H24" s="31">
        <v>100000</v>
      </c>
      <c r="I24" s="31"/>
      <c r="J24" s="31"/>
      <c r="K24" s="107"/>
    </row>
    <row r="25" spans="1:12" s="3" customFormat="1" ht="154.5" customHeight="1">
      <c r="A25" s="6" t="s">
        <v>221</v>
      </c>
      <c r="B25" s="4" t="s">
        <v>40</v>
      </c>
      <c r="C25" s="6">
        <v>1070</v>
      </c>
      <c r="D25" s="5" t="s">
        <v>35</v>
      </c>
      <c r="E25" s="5" t="str">
        <f>E286</f>
        <v>Комплексна програма Сумської міської територіальної громади «Освіта на 2022 - 2024 роки» </v>
      </c>
      <c r="F25" s="5" t="str">
        <f>F286</f>
        <v>від 24.11.2021 року № 2512 - МР</v>
      </c>
      <c r="G25" s="31">
        <f t="shared" si="0"/>
        <v>800400</v>
      </c>
      <c r="H25" s="31">
        <v>800400</v>
      </c>
      <c r="I25" s="31"/>
      <c r="J25" s="31"/>
      <c r="K25" s="107"/>
      <c r="L25" s="70"/>
    </row>
    <row r="26" spans="1:12" s="3" customFormat="1" ht="117.75" customHeight="1">
      <c r="A26" s="119" t="s">
        <v>112</v>
      </c>
      <c r="B26" s="111" t="s">
        <v>71</v>
      </c>
      <c r="C26" s="111">
        <v>1070</v>
      </c>
      <c r="D26" s="116" t="s">
        <v>22</v>
      </c>
      <c r="E26" s="5" t="str">
        <f>E299</f>
        <v>Цільова комплексна програма «Суми - громада для молоді» на 2022-2024 роки </v>
      </c>
      <c r="F26" s="5" t="str">
        <f>F299</f>
        <v>від 23.12.2021 № 2698-МР</v>
      </c>
      <c r="G26" s="31">
        <f t="shared" si="0"/>
        <v>40300</v>
      </c>
      <c r="H26" s="31">
        <v>40300</v>
      </c>
      <c r="I26" s="31"/>
      <c r="J26" s="31"/>
      <c r="K26" s="107"/>
      <c r="L26" s="70"/>
    </row>
    <row r="27" spans="1:12" s="3" customFormat="1" ht="121.5" customHeight="1">
      <c r="A27" s="119"/>
      <c r="B27" s="111"/>
      <c r="C27" s="111"/>
      <c r="D27" s="116"/>
      <c r="E27" s="5" t="str">
        <f>E286</f>
        <v>Комплексна програма Сумської міської територіальної громади «Освіта на 2022 - 2024 роки» </v>
      </c>
      <c r="F27" s="5" t="str">
        <f>F286</f>
        <v>від 24.11.2021 року № 2512 - МР</v>
      </c>
      <c r="G27" s="31">
        <f t="shared" si="0"/>
        <v>1064400</v>
      </c>
      <c r="H27" s="31">
        <v>1064400</v>
      </c>
      <c r="I27" s="31"/>
      <c r="J27" s="31"/>
      <c r="K27" s="107"/>
      <c r="L27" s="70"/>
    </row>
    <row r="28" spans="1:12" s="3" customFormat="1" ht="169.5" customHeight="1">
      <c r="A28" s="4" t="s">
        <v>113</v>
      </c>
      <c r="B28" s="4" t="s">
        <v>72</v>
      </c>
      <c r="C28" s="4" t="s">
        <v>7</v>
      </c>
      <c r="D28" s="5" t="s">
        <v>490</v>
      </c>
      <c r="E28" s="5" t="str">
        <f>E296</f>
        <v>Програма Сумської міської територіальної громади «Соціальні служби готові прийти на допомогу на 2022 – 2024 роки»</v>
      </c>
      <c r="F28" s="5" t="str">
        <f>F296</f>
        <v>від 27.10.2021 року № 2003 -МР</v>
      </c>
      <c r="G28" s="31">
        <f t="shared" si="0"/>
        <v>129000</v>
      </c>
      <c r="H28" s="31">
        <v>129000</v>
      </c>
      <c r="I28" s="31"/>
      <c r="J28" s="31"/>
      <c r="K28" s="106"/>
      <c r="L28" s="70"/>
    </row>
    <row r="29" spans="1:12" s="3" customFormat="1" ht="216.75" customHeight="1">
      <c r="A29" s="4" t="s">
        <v>114</v>
      </c>
      <c r="B29" s="4" t="s">
        <v>73</v>
      </c>
      <c r="C29" s="4" t="s">
        <v>7</v>
      </c>
      <c r="D29" s="5" t="s">
        <v>491</v>
      </c>
      <c r="E29" s="5" t="str">
        <f>E299</f>
        <v>Цільова комплексна програма «Суми - громада для молоді» на 2022-2024 роки </v>
      </c>
      <c r="F29" s="5" t="str">
        <f>F299</f>
        <v>від 23.12.2021 № 2698-МР</v>
      </c>
      <c r="G29" s="31">
        <f t="shared" si="0"/>
        <v>2009310</v>
      </c>
      <c r="H29" s="31">
        <f>684300+1325010-1325010+1325010</f>
        <v>2009310</v>
      </c>
      <c r="I29" s="31"/>
      <c r="J29" s="31"/>
      <c r="K29" s="106"/>
      <c r="L29" s="70"/>
    </row>
    <row r="30" spans="1:12" s="3" customFormat="1" ht="126.75" customHeight="1">
      <c r="A30" s="4" t="s">
        <v>533</v>
      </c>
      <c r="B30" s="4" t="s">
        <v>486</v>
      </c>
      <c r="C30" s="4" t="s">
        <v>7</v>
      </c>
      <c r="D30" s="5" t="s">
        <v>487</v>
      </c>
      <c r="E30" s="5" t="str">
        <f>E299</f>
        <v>Цільова комплексна програма «Суми - громада для молоді» на 2022-2024 роки </v>
      </c>
      <c r="F30" s="5" t="str">
        <f>F299</f>
        <v>від 23.12.2021 № 2698-МР</v>
      </c>
      <c r="G30" s="31">
        <f t="shared" si="0"/>
        <v>6760000</v>
      </c>
      <c r="H30" s="31">
        <f>5884800-434000+434000-359800</f>
        <v>5525000</v>
      </c>
      <c r="I30" s="31">
        <f>235000+1000000</f>
        <v>1235000</v>
      </c>
      <c r="J30" s="31">
        <v>1100000</v>
      </c>
      <c r="K30" s="109">
        <v>41</v>
      </c>
      <c r="L30" s="70"/>
    </row>
    <row r="31" spans="1:12" s="8" customFormat="1" ht="283.5" customHeight="1">
      <c r="A31" s="4" t="s">
        <v>115</v>
      </c>
      <c r="B31" s="4" t="s">
        <v>38</v>
      </c>
      <c r="C31" s="4" t="s">
        <v>7</v>
      </c>
      <c r="D31" s="5" t="s">
        <v>42</v>
      </c>
      <c r="E31" s="5" t="str">
        <f>E315</f>
        <v>Програма оздоровлення та відпочинку дітей Сумської міської територіальної громади на 2022-2024 роки</v>
      </c>
      <c r="F31" s="5" t="str">
        <f>F315</f>
        <v>від 24.11.2021 року № 2507-МР </v>
      </c>
      <c r="G31" s="31">
        <f t="shared" si="0"/>
        <v>137000</v>
      </c>
      <c r="H31" s="31">
        <f>475000-120000-218000</f>
        <v>137000</v>
      </c>
      <c r="I31" s="31"/>
      <c r="J31" s="31"/>
      <c r="K31" s="109"/>
      <c r="L31" s="71"/>
    </row>
    <row r="32" spans="1:12" s="3" customFormat="1" ht="151.5" customHeight="1">
      <c r="A32" s="4" t="s">
        <v>225</v>
      </c>
      <c r="B32" s="4" t="s">
        <v>227</v>
      </c>
      <c r="C32" s="4" t="s">
        <v>6</v>
      </c>
      <c r="D32" s="29" t="s">
        <v>228</v>
      </c>
      <c r="E32" s="5" t="str">
        <f>E296</f>
        <v>Програма Сумської міської територіальної громади «Соціальні служби готові прийти на допомогу на 2022 – 2024 роки»</v>
      </c>
      <c r="F32" s="5" t="str">
        <f>F296</f>
        <v>від 27.10.2021 року № 2003 -МР</v>
      </c>
      <c r="G32" s="31">
        <f t="shared" si="0"/>
        <v>1503582</v>
      </c>
      <c r="H32" s="31">
        <f>1731600-81618-146400</f>
        <v>1503582</v>
      </c>
      <c r="I32" s="31"/>
      <c r="J32" s="32"/>
      <c r="K32" s="109"/>
      <c r="L32" s="70"/>
    </row>
    <row r="33" spans="1:12" s="3" customFormat="1" ht="141" customHeight="1">
      <c r="A33" s="111" t="s">
        <v>226</v>
      </c>
      <c r="B33" s="111" t="s">
        <v>229</v>
      </c>
      <c r="C33" s="111" t="s">
        <v>6</v>
      </c>
      <c r="D33" s="115" t="s">
        <v>492</v>
      </c>
      <c r="E33" s="5" t="str">
        <f>E293</f>
        <v>Програма Сумської міської територіальної громади «Милосердя» на 2022-2024 роки</v>
      </c>
      <c r="F33" s="5" t="str">
        <f>F293</f>
        <v>від 24.11.2021 року № 2272-МР (зі змінами)</v>
      </c>
      <c r="G33" s="31">
        <f t="shared" si="0"/>
        <v>91710</v>
      </c>
      <c r="H33" s="31">
        <f>220140-128430</f>
        <v>91710</v>
      </c>
      <c r="I33" s="31"/>
      <c r="J33" s="32"/>
      <c r="K33" s="109"/>
      <c r="L33" s="70"/>
    </row>
    <row r="34" spans="1:12" s="3" customFormat="1" ht="170.25" customHeight="1">
      <c r="A34" s="111"/>
      <c r="B34" s="111"/>
      <c r="C34" s="111"/>
      <c r="D34" s="115"/>
      <c r="E3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34" s="5" t="str">
        <f>F305</f>
        <v>від 24.11.2021 року № 2273-МР (зі змінами)</v>
      </c>
      <c r="G34" s="31">
        <f t="shared" si="0"/>
        <v>922590</v>
      </c>
      <c r="H34" s="31">
        <f>29160+255000+255000+255000+128430</f>
        <v>922590</v>
      </c>
      <c r="I34" s="31"/>
      <c r="J34" s="32"/>
      <c r="K34" s="109"/>
      <c r="L34" s="70"/>
    </row>
    <row r="35" spans="1:12" s="3" customFormat="1" ht="143.25" customHeight="1" hidden="1">
      <c r="A35" s="4" t="s">
        <v>262</v>
      </c>
      <c r="B35" s="4" t="s">
        <v>263</v>
      </c>
      <c r="C35" s="4" t="s">
        <v>264</v>
      </c>
      <c r="D35" s="29" t="s">
        <v>493</v>
      </c>
      <c r="E35" s="5" t="str">
        <f>E299</f>
        <v>Цільова комплексна програма «Суми - громада для молоді» на 2022-2024 роки </v>
      </c>
      <c r="F35" s="5" t="str">
        <f>F299</f>
        <v>від 23.12.2021 № 2698-МР</v>
      </c>
      <c r="G35" s="31">
        <f t="shared" si="0"/>
        <v>0</v>
      </c>
      <c r="H35" s="31"/>
      <c r="I35" s="31"/>
      <c r="J35" s="32"/>
      <c r="K35" s="109"/>
      <c r="L35" s="70"/>
    </row>
    <row r="36" spans="1:12" s="3" customFormat="1" ht="159.75" customHeight="1" hidden="1">
      <c r="A36" s="4" t="s">
        <v>254</v>
      </c>
      <c r="B36" s="4" t="s">
        <v>253</v>
      </c>
      <c r="C36" s="4" t="s">
        <v>9</v>
      </c>
      <c r="D36" s="29" t="s">
        <v>494</v>
      </c>
      <c r="E36" s="5" t="str">
        <f>E284</f>
        <v>Програма «Воєнний стан: інформування Сумської міської територіальної громади» на 2022 рік</v>
      </c>
      <c r="F36" s="5" t="str">
        <f>F284</f>
        <v>від 11.05.2022 № 140 (зі змінами)</v>
      </c>
      <c r="G36" s="31">
        <f t="shared" si="0"/>
        <v>0</v>
      </c>
      <c r="H36" s="31"/>
      <c r="I36" s="31"/>
      <c r="J36" s="31"/>
      <c r="K36" s="109"/>
      <c r="L36" s="70"/>
    </row>
    <row r="37" spans="1:12" s="3" customFormat="1" ht="141.75" customHeight="1" hidden="1">
      <c r="A37" s="4" t="s">
        <v>233</v>
      </c>
      <c r="B37" s="4" t="s">
        <v>231</v>
      </c>
      <c r="C37" s="4" t="s">
        <v>9</v>
      </c>
      <c r="D37" s="29" t="s">
        <v>232</v>
      </c>
      <c r="E37" s="5" t="str">
        <f>E284</f>
        <v>Програма «Воєнний стан: інформування Сумської міської територіальної громади» на 2022 рік</v>
      </c>
      <c r="F37" s="5" t="str">
        <f>F284</f>
        <v>від 11.05.2022 № 140 (зі змінами)</v>
      </c>
      <c r="G37" s="31">
        <f t="shared" si="0"/>
        <v>0</v>
      </c>
      <c r="H37" s="31"/>
      <c r="I37" s="31"/>
      <c r="J37" s="31"/>
      <c r="K37" s="109"/>
      <c r="L37" s="70"/>
    </row>
    <row r="38" spans="1:12" s="3" customFormat="1" ht="183.75" customHeight="1">
      <c r="A38" s="4" t="s">
        <v>116</v>
      </c>
      <c r="B38" s="4" t="s">
        <v>57</v>
      </c>
      <c r="C38" s="4" t="s">
        <v>10</v>
      </c>
      <c r="D38" s="29" t="s">
        <v>43</v>
      </c>
      <c r="E38" s="5" t="str">
        <f>E308</f>
        <v>Програма розвитку фізичної культури і спорту Сумської міської територіальної громади на 2022-2024 роки</v>
      </c>
      <c r="F38" s="5" t="str">
        <f>F308</f>
        <v>від 24.11.2021 року № 2509-МР (зі змінами) </v>
      </c>
      <c r="G38" s="31">
        <f t="shared" si="0"/>
        <v>398598</v>
      </c>
      <c r="H38" s="31">
        <f>600000+150000+1000000-650000-350000-158500-143905-48997</f>
        <v>398598</v>
      </c>
      <c r="I38" s="31"/>
      <c r="J38" s="31"/>
      <c r="K38" s="109"/>
      <c r="L38" s="70"/>
    </row>
    <row r="39" spans="1:12" s="3" customFormat="1" ht="180.75" customHeight="1">
      <c r="A39" s="4" t="s">
        <v>117</v>
      </c>
      <c r="B39" s="4" t="s">
        <v>58</v>
      </c>
      <c r="C39" s="4" t="s">
        <v>10</v>
      </c>
      <c r="D39" s="29" t="s">
        <v>11</v>
      </c>
      <c r="E39" s="5" t="str">
        <f>E308</f>
        <v>Програма розвитку фізичної культури і спорту Сумської міської територіальної громади на 2022-2024 роки</v>
      </c>
      <c r="F39" s="5" t="str">
        <f>F308</f>
        <v>від 24.11.2021 року № 2509-МР (зі змінами) </v>
      </c>
      <c r="G39" s="31">
        <f t="shared" si="0"/>
        <v>627000</v>
      </c>
      <c r="H39" s="31">
        <f>600000+150000-41000-82000</f>
        <v>627000</v>
      </c>
      <c r="I39" s="31"/>
      <c r="J39" s="31"/>
      <c r="K39" s="109"/>
      <c r="L39" s="70"/>
    </row>
    <row r="40" spans="1:12" s="3" customFormat="1" ht="183" customHeight="1">
      <c r="A40" s="4" t="s">
        <v>118</v>
      </c>
      <c r="B40" s="4" t="s">
        <v>64</v>
      </c>
      <c r="C40" s="4" t="s">
        <v>10</v>
      </c>
      <c r="D40" s="29" t="s">
        <v>44</v>
      </c>
      <c r="E40" s="5" t="str">
        <f>E308</f>
        <v>Програма розвитку фізичної культури і спорту Сумської міської територіальної громади на 2022-2024 роки</v>
      </c>
      <c r="F40" s="5" t="str">
        <f>F308</f>
        <v>від 24.11.2021 року № 2509-МР (зі змінами) </v>
      </c>
      <c r="G40" s="31">
        <f t="shared" si="0"/>
        <v>21635505</v>
      </c>
      <c r="H40" s="31">
        <f>19466705+622395+1000000+40000+553700+158500+143905+41000-740700</f>
        <v>21285505</v>
      </c>
      <c r="I40" s="31">
        <v>350000</v>
      </c>
      <c r="J40" s="31">
        <v>350000</v>
      </c>
      <c r="K40" s="109"/>
      <c r="L40" s="70"/>
    </row>
    <row r="41" spans="1:12" s="3" customFormat="1" ht="182.25" customHeight="1">
      <c r="A41" s="4" t="s">
        <v>119</v>
      </c>
      <c r="B41" s="4" t="s">
        <v>65</v>
      </c>
      <c r="C41" s="4" t="s">
        <v>10</v>
      </c>
      <c r="D41" s="29" t="s">
        <v>45</v>
      </c>
      <c r="E41" s="5" t="str">
        <f>E308</f>
        <v>Програма розвитку фізичної культури і спорту Сумської міської територіальної громади на 2022-2024 роки</v>
      </c>
      <c r="F41" s="5" t="str">
        <f>F308</f>
        <v>від 24.11.2021 року № 2509-МР (зі змінами) </v>
      </c>
      <c r="G41" s="31">
        <f t="shared" si="0"/>
        <v>15499300</v>
      </c>
      <c r="H41" s="31">
        <f>14463700+150000+946300-60700</f>
        <v>15499300</v>
      </c>
      <c r="I41" s="31"/>
      <c r="J41" s="31"/>
      <c r="K41" s="109"/>
      <c r="L41" s="70"/>
    </row>
    <row r="42" spans="1:12" s="3" customFormat="1" ht="260.25" customHeight="1">
      <c r="A42" s="4" t="s">
        <v>120</v>
      </c>
      <c r="B42" s="4" t="s">
        <v>67</v>
      </c>
      <c r="C42" s="4" t="s">
        <v>10</v>
      </c>
      <c r="D42" s="29" t="s">
        <v>495</v>
      </c>
      <c r="E42" s="5" t="str">
        <f>E308</f>
        <v>Програма розвитку фізичної культури і спорту Сумської міської територіальної громади на 2022-2024 роки</v>
      </c>
      <c r="F42" s="5" t="str">
        <f>F308</f>
        <v>від 24.11.2021 року № 2509-МР (зі змінами) </v>
      </c>
      <c r="G42" s="31">
        <f t="shared" si="0"/>
        <v>15794560</v>
      </c>
      <c r="H42" s="31">
        <f>5412100+100000-154200</f>
        <v>5357900</v>
      </c>
      <c r="I42" s="31">
        <v>10436660</v>
      </c>
      <c r="J42" s="31">
        <v>10000000</v>
      </c>
      <c r="K42" s="109"/>
      <c r="L42" s="70"/>
    </row>
    <row r="43" spans="1:12" s="3" customFormat="1" ht="243.75" customHeight="1">
      <c r="A43" s="4" t="s">
        <v>121</v>
      </c>
      <c r="B43" s="4" t="s">
        <v>63</v>
      </c>
      <c r="C43" s="4" t="s">
        <v>10</v>
      </c>
      <c r="D43" s="29" t="s">
        <v>66</v>
      </c>
      <c r="E43" s="5" t="str">
        <f>E308</f>
        <v>Програма розвитку фізичної культури і спорту Сумської міської територіальної громади на 2022-2024 роки</v>
      </c>
      <c r="F43" s="5" t="str">
        <f>F308</f>
        <v>від 24.11.2021 року № 2509-МР (зі змінами) </v>
      </c>
      <c r="G43" s="31">
        <f t="shared" si="0"/>
        <v>13180197</v>
      </c>
      <c r="H43" s="31">
        <f>16012700+500000+700000+700000+130997-4863500</f>
        <v>13180197</v>
      </c>
      <c r="I43" s="31"/>
      <c r="J43" s="31"/>
      <c r="K43" s="109">
        <v>42</v>
      </c>
      <c r="L43" s="70"/>
    </row>
    <row r="44" spans="1:12" s="3" customFormat="1" ht="189" customHeight="1">
      <c r="A44" s="4" t="s">
        <v>122</v>
      </c>
      <c r="B44" s="4" t="s">
        <v>83</v>
      </c>
      <c r="C44" s="4" t="s">
        <v>29</v>
      </c>
      <c r="D44" s="5" t="s">
        <v>28</v>
      </c>
      <c r="E44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F291</f>
        <v>від 26.01.2022 року № 2716-МР (зі змінами)</v>
      </c>
      <c r="G44" s="31">
        <f t="shared" si="0"/>
        <v>14468629</v>
      </c>
      <c r="H44" s="31">
        <f>17594929-600000-2526300</f>
        <v>14468629</v>
      </c>
      <c r="I44" s="31"/>
      <c r="J44" s="31"/>
      <c r="K44" s="109"/>
      <c r="L44" s="70"/>
    </row>
    <row r="45" spans="1:12" s="3" customFormat="1" ht="182.25" customHeight="1">
      <c r="A45" s="4" t="s">
        <v>369</v>
      </c>
      <c r="B45" s="4">
        <v>7413</v>
      </c>
      <c r="C45" s="4" t="s">
        <v>29</v>
      </c>
      <c r="D45" s="5" t="s">
        <v>370</v>
      </c>
      <c r="E45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5" s="5" t="str">
        <f>F291</f>
        <v>від 26.01.2022 року № 2716-МР (зі змінами)</v>
      </c>
      <c r="G45" s="31">
        <f t="shared" si="0"/>
        <v>4522500</v>
      </c>
      <c r="H45" s="31">
        <f>1600000+196200+200000+2526300</f>
        <v>4522500</v>
      </c>
      <c r="I45" s="31"/>
      <c r="J45" s="31"/>
      <c r="K45" s="109"/>
      <c r="L45" s="70"/>
    </row>
    <row r="46" spans="1:12" s="3" customFormat="1" ht="186" customHeight="1">
      <c r="A46" s="4" t="s">
        <v>448</v>
      </c>
      <c r="B46" s="4">
        <v>7422</v>
      </c>
      <c r="C46" s="4" t="s">
        <v>449</v>
      </c>
      <c r="D46" s="53" t="s">
        <v>450</v>
      </c>
      <c r="E46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6" s="5" t="str">
        <f>F291</f>
        <v>від 26.01.2022 року № 2716-МР (зі змінами)</v>
      </c>
      <c r="G46" s="31">
        <f t="shared" si="0"/>
        <v>32393517</v>
      </c>
      <c r="H46" s="31">
        <f>39414871+1852346-1400000-7473700</f>
        <v>32393517</v>
      </c>
      <c r="I46" s="31"/>
      <c r="J46" s="31"/>
      <c r="K46" s="109"/>
      <c r="L46" s="70"/>
    </row>
    <row r="47" spans="1:12" s="3" customFormat="1" ht="195" customHeight="1">
      <c r="A47" s="4" t="s">
        <v>123</v>
      </c>
      <c r="B47" s="4" t="s">
        <v>84</v>
      </c>
      <c r="C47" s="4" t="s">
        <v>449</v>
      </c>
      <c r="D47" s="5" t="s">
        <v>85</v>
      </c>
      <c r="E47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7" s="5" t="str">
        <f>F291</f>
        <v>від 26.01.2022 року № 2716-МР (зі змінами)</v>
      </c>
      <c r="G47" s="31">
        <f t="shared" si="0"/>
        <v>23310330</v>
      </c>
      <c r="H47" s="31">
        <f>1400000+4000000+8361530+403800+1671300+7473700</f>
        <v>23310330</v>
      </c>
      <c r="I47" s="31"/>
      <c r="J47" s="31"/>
      <c r="K47" s="109"/>
      <c r="L47" s="70"/>
    </row>
    <row r="48" spans="1:12" s="8" customFormat="1" ht="177">
      <c r="A48" s="4" t="s">
        <v>245</v>
      </c>
      <c r="B48" s="4" t="s">
        <v>246</v>
      </c>
      <c r="C48" s="4" t="s">
        <v>248</v>
      </c>
      <c r="D48" s="5" t="s">
        <v>247</v>
      </c>
      <c r="E48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8" s="5" t="str">
        <f>F291</f>
        <v>від 26.01.2022 року № 2716-МР (зі змінами)</v>
      </c>
      <c r="G48" s="31">
        <f t="shared" si="0"/>
        <v>2585480</v>
      </c>
      <c r="H48" s="31">
        <f>2585480</f>
        <v>2585480</v>
      </c>
      <c r="I48" s="31"/>
      <c r="J48" s="31"/>
      <c r="K48" s="109"/>
      <c r="L48" s="71"/>
    </row>
    <row r="49" spans="1:12" s="3" customFormat="1" ht="180.75" customHeight="1">
      <c r="A49" s="4" t="s">
        <v>189</v>
      </c>
      <c r="B49" s="4" t="s">
        <v>190</v>
      </c>
      <c r="C49" s="4" t="s">
        <v>191</v>
      </c>
      <c r="D49" s="5" t="s">
        <v>192</v>
      </c>
      <c r="E49" s="5" t="str">
        <f>E292</f>
        <v>Програма «Автоматизація муніципальних телекомунікаційних систем на 2022-2024 роки Сумської міської територіальної громади»</v>
      </c>
      <c r="F49" s="5" t="str">
        <f>F292</f>
        <v>від 24.11.2021 року № 2510-МР </v>
      </c>
      <c r="G49" s="31">
        <f t="shared" si="0"/>
        <v>11000000</v>
      </c>
      <c r="H49" s="31">
        <v>7850000</v>
      </c>
      <c r="I49" s="31">
        <v>3150000</v>
      </c>
      <c r="J49" s="31">
        <v>3150000</v>
      </c>
      <c r="K49" s="109"/>
      <c r="L49" s="70"/>
    </row>
    <row r="50" spans="1:12" s="8" customFormat="1" ht="165.75" customHeight="1">
      <c r="A50" s="4" t="s">
        <v>124</v>
      </c>
      <c r="B50" s="4" t="s">
        <v>86</v>
      </c>
      <c r="C50" s="4" t="s">
        <v>5</v>
      </c>
      <c r="D50" s="5" t="s">
        <v>46</v>
      </c>
      <c r="E50" s="5" t="str">
        <f>E310</f>
        <v>Цільова Програма підтримки малого і середнього підприємництва Сумської міської територіальної громади на 2022-2024 роки</v>
      </c>
      <c r="F50" s="5" t="str">
        <f>F310</f>
        <v>від 29.09.2021 року № 1601-МР</v>
      </c>
      <c r="G50" s="31">
        <f t="shared" si="0"/>
        <v>60000</v>
      </c>
      <c r="H50" s="31">
        <v>60000</v>
      </c>
      <c r="I50" s="31"/>
      <c r="J50" s="31"/>
      <c r="K50" s="109"/>
      <c r="L50" s="71"/>
    </row>
    <row r="51" spans="1:12" s="8" customFormat="1" ht="124.5" customHeight="1" hidden="1">
      <c r="A51" s="4" t="s">
        <v>193</v>
      </c>
      <c r="B51" s="4" t="s">
        <v>80</v>
      </c>
      <c r="C51" s="4" t="s">
        <v>25</v>
      </c>
      <c r="D51" s="5" t="s">
        <v>53</v>
      </c>
      <c r="E51" s="5" t="s">
        <v>390</v>
      </c>
      <c r="F51" s="5" t="s">
        <v>403</v>
      </c>
      <c r="G51" s="31">
        <f t="shared" si="0"/>
        <v>0</v>
      </c>
      <c r="H51" s="31"/>
      <c r="I51" s="31"/>
      <c r="J51" s="31"/>
      <c r="K51" s="109"/>
      <c r="L51" s="71"/>
    </row>
    <row r="52" spans="1:12" s="8" customFormat="1" ht="153" customHeight="1">
      <c r="A52" s="4" t="s">
        <v>125</v>
      </c>
      <c r="B52" s="4" t="s">
        <v>87</v>
      </c>
      <c r="C52" s="4" t="s">
        <v>4</v>
      </c>
      <c r="D52" s="5" t="s">
        <v>47</v>
      </c>
      <c r="E52" s="5" t="str">
        <f>E291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52" s="5" t="str">
        <f>F291</f>
        <v>від 26.01.2022 року № 2716-МР (зі змінами)</v>
      </c>
      <c r="G52" s="31">
        <f t="shared" si="0"/>
        <v>19800000</v>
      </c>
      <c r="H52" s="31"/>
      <c r="I52" s="31">
        <v>19800000</v>
      </c>
      <c r="J52" s="31">
        <v>19800000</v>
      </c>
      <c r="K52" s="109"/>
      <c r="L52" s="71"/>
    </row>
    <row r="53" spans="1:12" s="8" customFormat="1" ht="158.25" customHeight="1">
      <c r="A53" s="111" t="s">
        <v>182</v>
      </c>
      <c r="B53" s="111" t="s">
        <v>183</v>
      </c>
      <c r="C53" s="111" t="s">
        <v>4</v>
      </c>
      <c r="D53" s="115" t="s">
        <v>184</v>
      </c>
      <c r="E53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3" s="7" t="str">
        <f>F301</f>
        <v>від 26.01.2022 року № 2705-МР (зі змінами)</v>
      </c>
      <c r="G53" s="31">
        <f t="shared" si="0"/>
        <v>270439</v>
      </c>
      <c r="H53" s="31">
        <v>270439</v>
      </c>
      <c r="I53" s="31"/>
      <c r="J53" s="31"/>
      <c r="K53" s="109"/>
      <c r="L53" s="71"/>
    </row>
    <row r="54" spans="1:12" s="8" customFormat="1" ht="132.75">
      <c r="A54" s="111"/>
      <c r="B54" s="111"/>
      <c r="C54" s="111"/>
      <c r="D54" s="115"/>
      <c r="E54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54" s="5" t="str">
        <f>F306</f>
        <v>від 26.01.2022 року № 2715-МР (зі змінами)</v>
      </c>
      <c r="G54" s="31">
        <f t="shared" si="0"/>
        <v>96500</v>
      </c>
      <c r="H54" s="31">
        <v>96500</v>
      </c>
      <c r="I54" s="31"/>
      <c r="J54" s="31"/>
      <c r="K54" s="109"/>
      <c r="L54" s="71"/>
    </row>
    <row r="55" spans="1:12" s="3" customFormat="1" ht="183.75" customHeight="1">
      <c r="A55" s="4" t="s">
        <v>194</v>
      </c>
      <c r="B55" s="4" t="s">
        <v>195</v>
      </c>
      <c r="C55" s="4" t="s">
        <v>4</v>
      </c>
      <c r="D55" s="5" t="s">
        <v>196</v>
      </c>
      <c r="E55" s="5" t="str">
        <f>E318</f>
        <v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</v>
      </c>
      <c r="F55" s="5" t="str">
        <f>F318</f>
        <v>від 22.07.2022 № 295 (зі змінами)</v>
      </c>
      <c r="G55" s="31">
        <f t="shared" si="0"/>
        <v>930240</v>
      </c>
      <c r="H55" s="31">
        <v>930240</v>
      </c>
      <c r="I55" s="31"/>
      <c r="J55" s="31"/>
      <c r="K55" s="109"/>
      <c r="L55" s="70"/>
    </row>
    <row r="56" spans="1:11" ht="204.75" customHeight="1">
      <c r="A56" s="4" t="s">
        <v>126</v>
      </c>
      <c r="B56" s="4" t="s">
        <v>88</v>
      </c>
      <c r="C56" s="4" t="s">
        <v>89</v>
      </c>
      <c r="D56" s="5" t="s">
        <v>90</v>
      </c>
      <c r="E56" s="5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56" s="5" t="str">
        <f>F298</f>
        <v>від 27.10.2021 року № 2001-МР (зі змінами)</v>
      </c>
      <c r="G56" s="31">
        <f t="shared" si="0"/>
        <v>5823936</v>
      </c>
      <c r="H56" s="31">
        <f>282100+408750+45000+263736+61000+96850+3480000</f>
        <v>4637436</v>
      </c>
      <c r="I56" s="31">
        <f>26500+40000+120000+1000000</f>
        <v>1186500</v>
      </c>
      <c r="J56" s="31">
        <f>26500+40000+120000+1000000</f>
        <v>1186500</v>
      </c>
      <c r="K56" s="109">
        <v>43</v>
      </c>
    </row>
    <row r="57" spans="1:11" ht="132" customHeight="1">
      <c r="A57" s="4" t="s">
        <v>185</v>
      </c>
      <c r="B57" s="4" t="s">
        <v>186</v>
      </c>
      <c r="C57" s="4" t="s">
        <v>187</v>
      </c>
      <c r="D57" s="29" t="s">
        <v>188</v>
      </c>
      <c r="E57" s="5" t="str">
        <f>E290</f>
        <v>Комплексна програма «Правопорядок» на період 2022-2024 роки</v>
      </c>
      <c r="F57" s="5" t="str">
        <f>F290</f>
        <v>від 27.10.2021 року № 2005-МР (зі змінами)</v>
      </c>
      <c r="G57" s="31">
        <f>H57+I57</f>
        <v>709100</v>
      </c>
      <c r="H57" s="31">
        <f>589100+120000</f>
        <v>709100</v>
      </c>
      <c r="I57" s="31"/>
      <c r="J57" s="31"/>
      <c r="K57" s="109"/>
    </row>
    <row r="58" spans="1:11" ht="284.25" customHeight="1">
      <c r="A58" s="122" t="s">
        <v>562</v>
      </c>
      <c r="B58" s="122" t="s">
        <v>563</v>
      </c>
      <c r="C58" s="122" t="s">
        <v>187</v>
      </c>
      <c r="D58" s="120" t="s">
        <v>564</v>
      </c>
      <c r="E58" s="5" t="str">
        <f>E311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8" s="5" t="str">
        <f>F311</f>
        <v>від 27.10.2021 року № 2004-МР (зі змінами)                     </v>
      </c>
      <c r="G58" s="31">
        <f>H58+I58</f>
        <v>32189386</v>
      </c>
      <c r="H58" s="31">
        <f>263736+2700000+2761500+1110000+44968+595000+301500+100000+1000000+26230+1050000+3000000+14000+309425+16440+6312000+661000+2000000+2084967+1440000+33815+35400+600000+360000+3397304+218000+1727601</f>
        <v>32162886</v>
      </c>
      <c r="I58" s="31">
        <f>26500+1000000-1000000</f>
        <v>26500</v>
      </c>
      <c r="J58" s="31">
        <f>26500+1000000-1000000</f>
        <v>26500</v>
      </c>
      <c r="K58" s="109"/>
    </row>
    <row r="59" spans="1:11" ht="192" customHeight="1">
      <c r="A59" s="123"/>
      <c r="B59" s="123"/>
      <c r="C59" s="123"/>
      <c r="D59" s="121"/>
      <c r="E59" s="5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59" s="5" t="str">
        <f>F298</f>
        <v>від 27.10.2021 року № 2001-МР (зі змінами)</v>
      </c>
      <c r="G59" s="31">
        <f>H59+I59</f>
        <v>166600</v>
      </c>
      <c r="H59" s="31">
        <f>166600</f>
        <v>166600</v>
      </c>
      <c r="I59" s="31"/>
      <c r="J59" s="31"/>
      <c r="K59" s="109"/>
    </row>
    <row r="60" spans="1:11" ht="138" customHeight="1">
      <c r="A60" s="4" t="s">
        <v>127</v>
      </c>
      <c r="B60" s="4" t="s">
        <v>76</v>
      </c>
      <c r="C60" s="4" t="s">
        <v>12</v>
      </c>
      <c r="D60" s="5" t="s">
        <v>77</v>
      </c>
      <c r="E60" s="7" t="str">
        <f>E304</f>
        <v>Програма охорони навколишнього природного середовища Сумської міської територіальної громади на 2022-2024 роки</v>
      </c>
      <c r="F60" s="7" t="str">
        <f>F304</f>
        <v>від 27.05.2022 № 162 (зі змінами)</v>
      </c>
      <c r="G60" s="31">
        <f t="shared" si="0"/>
        <v>100000</v>
      </c>
      <c r="H60" s="31"/>
      <c r="I60" s="31">
        <v>100000</v>
      </c>
      <c r="J60" s="31"/>
      <c r="K60" s="109"/>
    </row>
    <row r="61" spans="1:11" ht="144.75" customHeight="1" hidden="1">
      <c r="A61" s="4" t="s">
        <v>222</v>
      </c>
      <c r="B61" s="4" t="s">
        <v>223</v>
      </c>
      <c r="C61" s="4" t="s">
        <v>27</v>
      </c>
      <c r="D61" s="5" t="s">
        <v>224</v>
      </c>
      <c r="E61" s="5" t="str">
        <f>E284</f>
        <v>Програма «Воєнний стан: інформування Сумської міської територіальної громади» на 2022 рік</v>
      </c>
      <c r="F61" s="5" t="str">
        <f>F284</f>
        <v>від 11.05.2022 № 140 (зі змінами)</v>
      </c>
      <c r="G61" s="31">
        <f t="shared" si="0"/>
        <v>0</v>
      </c>
      <c r="H61" s="31"/>
      <c r="I61" s="31"/>
      <c r="J61" s="31"/>
      <c r="K61" s="109"/>
    </row>
    <row r="62" spans="1:11" ht="196.5" customHeight="1" hidden="1">
      <c r="A62" s="4" t="s">
        <v>445</v>
      </c>
      <c r="B62" s="4">
        <v>8861</v>
      </c>
      <c r="C62" s="4" t="s">
        <v>4</v>
      </c>
      <c r="D62" s="5" t="s">
        <v>446</v>
      </c>
      <c r="E62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2" s="7" t="str">
        <f>F301</f>
        <v>від 26.01.2022 року № 2705-МР (зі змінами)</v>
      </c>
      <c r="G62" s="31">
        <f t="shared" si="0"/>
        <v>0</v>
      </c>
      <c r="H62" s="31"/>
      <c r="I62" s="31"/>
      <c r="J62" s="31"/>
      <c r="K62" s="109"/>
    </row>
    <row r="63" spans="1:11" ht="128.25" customHeight="1" hidden="1">
      <c r="A63" s="111" t="s">
        <v>293</v>
      </c>
      <c r="B63" s="111" t="s">
        <v>74</v>
      </c>
      <c r="C63" s="111" t="s">
        <v>26</v>
      </c>
      <c r="D63" s="116" t="s">
        <v>75</v>
      </c>
      <c r="E63" s="5" t="str">
        <f>E290</f>
        <v>Комплексна програма «Правопорядок» на період 2022-2024 роки</v>
      </c>
      <c r="F63" s="5" t="str">
        <f>F290</f>
        <v>від 27.10.2021 року № 2005-МР (зі змінами)</v>
      </c>
      <c r="G63" s="31">
        <f t="shared" si="0"/>
        <v>0</v>
      </c>
      <c r="H63" s="31"/>
      <c r="I63" s="31"/>
      <c r="J63" s="31"/>
      <c r="K63" s="109"/>
    </row>
    <row r="64" spans="1:11" ht="409.5" customHeight="1" hidden="1">
      <c r="A64" s="111"/>
      <c r="B64" s="111"/>
      <c r="C64" s="111"/>
      <c r="D64" s="116"/>
      <c r="E64" s="5" t="str">
        <f>E311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64" s="5" t="str">
        <f>F311</f>
        <v>від 27.10.2021 року № 2004-МР (зі змінами)                     </v>
      </c>
      <c r="G64" s="31">
        <f t="shared" si="0"/>
        <v>0</v>
      </c>
      <c r="H64" s="31"/>
      <c r="I64" s="31"/>
      <c r="J64" s="31"/>
      <c r="K64" s="109"/>
    </row>
    <row r="65" spans="1:11" ht="232.5" customHeight="1" hidden="1">
      <c r="A65" s="111"/>
      <c r="B65" s="111"/>
      <c r="C65" s="111"/>
      <c r="D65" s="116"/>
      <c r="E6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5" s="7" t="str">
        <f>F301</f>
        <v>від 26.01.2022 року № 2705-МР (зі змінами)</v>
      </c>
      <c r="G65" s="31">
        <f t="shared" si="0"/>
        <v>0</v>
      </c>
      <c r="H65" s="31"/>
      <c r="I65" s="31"/>
      <c r="J65" s="31"/>
      <c r="K65" s="109"/>
    </row>
    <row r="66" spans="1:11" ht="153.75" customHeight="1">
      <c r="A66" s="111" t="s">
        <v>266</v>
      </c>
      <c r="B66" s="111" t="s">
        <v>267</v>
      </c>
      <c r="C66" s="111" t="s">
        <v>26</v>
      </c>
      <c r="D66" s="115" t="s">
        <v>268</v>
      </c>
      <c r="E66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6" s="7" t="str">
        <f>F301</f>
        <v>від 26.01.2022 року № 2705-МР (зі змінами)</v>
      </c>
      <c r="G66" s="31">
        <f t="shared" si="0"/>
        <v>2701000</v>
      </c>
      <c r="H66" s="31">
        <f>500000+30000</f>
        <v>530000</v>
      </c>
      <c r="I66" s="31">
        <f>131000+1200000+840000</f>
        <v>2171000</v>
      </c>
      <c r="J66" s="31">
        <f>131000+1200000+840000</f>
        <v>2171000</v>
      </c>
      <c r="K66" s="109"/>
    </row>
    <row r="67" spans="1:11" ht="132.75" customHeight="1" hidden="1">
      <c r="A67" s="111"/>
      <c r="B67" s="111"/>
      <c r="C67" s="111"/>
      <c r="D67" s="115"/>
      <c r="E67" s="5" t="str">
        <f>E290</f>
        <v>Комплексна програма «Правопорядок» на період 2022-2024 роки</v>
      </c>
      <c r="F67" s="5" t="str">
        <f>F290</f>
        <v>від 27.10.2021 року № 2005-МР (зі змінами)</v>
      </c>
      <c r="G67" s="31">
        <f t="shared" si="0"/>
        <v>0</v>
      </c>
      <c r="H67" s="31"/>
      <c r="I67" s="31"/>
      <c r="J67" s="31"/>
      <c r="K67" s="109"/>
    </row>
    <row r="68" spans="1:11" ht="321.75" customHeight="1">
      <c r="A68" s="111"/>
      <c r="B68" s="111"/>
      <c r="C68" s="111"/>
      <c r="D68" s="115"/>
      <c r="E68" s="5" t="str">
        <f>E311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68" s="5" t="str">
        <f>F311</f>
        <v>від 27.10.2021 року № 2004-МР (зі змінами)                     </v>
      </c>
      <c r="G68" s="31">
        <f t="shared" si="0"/>
        <v>16808061</v>
      </c>
      <c r="H68" s="31">
        <f>711800+530000+1000000+1000000+700000+113000+75000+3840000+486000+171266+1068461+4700000+588000</f>
        <v>14983527</v>
      </c>
      <c r="I68" s="31">
        <f>320000+3840000-3840000+324534+680000+500000</f>
        <v>1824534</v>
      </c>
      <c r="J68" s="31">
        <f>320000+3840000-3840000+324534+680000+500000</f>
        <v>1824534</v>
      </c>
      <c r="K68" s="109"/>
    </row>
    <row r="69" spans="1:11" ht="171.75" customHeight="1">
      <c r="A69" s="111"/>
      <c r="B69" s="111"/>
      <c r="C69" s="111"/>
      <c r="D69" s="115"/>
      <c r="E69" s="5" t="str">
        <f>E290</f>
        <v>Комплексна програма «Правопорядок» на період 2022-2024 роки</v>
      </c>
      <c r="F69" s="5" t="str">
        <f>F290</f>
        <v>від 27.10.2021 року № 2005-МР (зі змінами)</v>
      </c>
      <c r="G69" s="31">
        <f t="shared" si="0"/>
        <v>3420962</v>
      </c>
      <c r="H69" s="31">
        <f>800000+474890+200000+560000</f>
        <v>2034890</v>
      </c>
      <c r="I69" s="31">
        <f>150000+560000-560000+1236072</f>
        <v>1386072</v>
      </c>
      <c r="J69" s="31">
        <f>150000+560000-560000+1236072</f>
        <v>1386072</v>
      </c>
      <c r="K69" s="109"/>
    </row>
    <row r="70" spans="1:12" s="2" customFormat="1" ht="120.75" customHeight="1">
      <c r="A70" s="10"/>
      <c r="B70" s="10"/>
      <c r="C70" s="10"/>
      <c r="D70" s="50" t="s">
        <v>128</v>
      </c>
      <c r="E70" s="50"/>
      <c r="F70" s="50"/>
      <c r="G70" s="35">
        <f>SUM(G71:G113)</f>
        <v>1504504525.3700001</v>
      </c>
      <c r="H70" s="35">
        <f>SUM(H71:H113)</f>
        <v>1362706802.3700001</v>
      </c>
      <c r="I70" s="35">
        <f>SUM(I71:I113)</f>
        <v>141797723</v>
      </c>
      <c r="J70" s="35">
        <f>SUM(J71:J113)</f>
        <v>46946124</v>
      </c>
      <c r="K70" s="109"/>
      <c r="L70" s="72"/>
    </row>
    <row r="71" spans="1:12" s="2" customFormat="1" ht="182.25" customHeight="1">
      <c r="A71" s="4" t="s">
        <v>129</v>
      </c>
      <c r="B71" s="4" t="s">
        <v>69</v>
      </c>
      <c r="C71" s="4" t="s">
        <v>2</v>
      </c>
      <c r="D71" s="5" t="s">
        <v>408</v>
      </c>
      <c r="E71" s="5" t="str">
        <f>E284</f>
        <v>Програма «Воєнний стан: інформування Сумської міської територіальної громади» на 2022 рік</v>
      </c>
      <c r="F71" s="5" t="str">
        <f>F284</f>
        <v>від 11.05.2022 № 140 (зі змінами)</v>
      </c>
      <c r="G71" s="31">
        <f aca="true" t="shared" si="1" ref="G71:G113">H71+I71</f>
        <v>16000</v>
      </c>
      <c r="H71" s="31">
        <f>31000-15000+15000-15000</f>
        <v>16000</v>
      </c>
      <c r="I71" s="31"/>
      <c r="J71" s="31"/>
      <c r="K71" s="109"/>
      <c r="L71" s="72"/>
    </row>
    <row r="72" spans="1:14" ht="138" customHeight="1">
      <c r="A72" s="111" t="s">
        <v>130</v>
      </c>
      <c r="B72" s="111" t="s">
        <v>36</v>
      </c>
      <c r="C72" s="111" t="s">
        <v>14</v>
      </c>
      <c r="D72" s="116" t="s">
        <v>81</v>
      </c>
      <c r="E72" s="5" t="str">
        <f>E286</f>
        <v>Комплексна програма Сумської міської територіальної громади «Освіта на 2022 - 2024 роки» </v>
      </c>
      <c r="F72" s="5" t="str">
        <f>F286</f>
        <v>від 24.11.2021 року № 2512 - МР</v>
      </c>
      <c r="G72" s="31">
        <f t="shared" si="1"/>
        <v>374825100</v>
      </c>
      <c r="H72" s="31">
        <f>357846200-H73-H74+720000+165000+700000-147000-12764200</f>
        <v>344568900</v>
      </c>
      <c r="I72" s="31">
        <f>33743869+5115036-4915036+80000-1918400-454283-1845086+450100</f>
        <v>30256200</v>
      </c>
      <c r="J72" s="31">
        <f>7717769+5115036-4915036+80000-1918400-454283-1845086+450100</f>
        <v>4230100</v>
      </c>
      <c r="K72" s="109"/>
      <c r="N72" s="66"/>
    </row>
    <row r="73" spans="1:12" s="14" customFormat="1" ht="135.75" customHeight="1">
      <c r="A73" s="111"/>
      <c r="B73" s="111"/>
      <c r="C73" s="111"/>
      <c r="D73" s="116"/>
      <c r="E73" s="5" t="str">
        <f>E293</f>
        <v>Програма Сумської міської територіальної громади «Милосердя» на 2022-2024 роки</v>
      </c>
      <c r="F73" s="5" t="str">
        <f>F293</f>
        <v>від 24.11.2021 року № 2272-МР (зі змінами)</v>
      </c>
      <c r="G73" s="31">
        <f t="shared" si="1"/>
        <v>16400</v>
      </c>
      <c r="H73" s="31">
        <v>16400</v>
      </c>
      <c r="I73" s="33"/>
      <c r="J73" s="33"/>
      <c r="K73" s="109"/>
      <c r="L73" s="73"/>
    </row>
    <row r="74" spans="1:12" s="14" customFormat="1" ht="183" customHeight="1">
      <c r="A74" s="111"/>
      <c r="B74" s="111"/>
      <c r="C74" s="111"/>
      <c r="D74" s="116"/>
      <c r="E7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74" s="5" t="str">
        <f>F305</f>
        <v>від 24.11.2021 року № 2273-МР (зі змінами)</v>
      </c>
      <c r="G74" s="31">
        <f t="shared" si="1"/>
        <v>1934700</v>
      </c>
      <c r="H74" s="31">
        <v>1934700</v>
      </c>
      <c r="I74" s="33"/>
      <c r="J74" s="33"/>
      <c r="K74" s="109">
        <v>44</v>
      </c>
      <c r="L74" s="73"/>
    </row>
    <row r="75" spans="1:12" s="14" customFormat="1" ht="138" customHeight="1">
      <c r="A75" s="111" t="s">
        <v>411</v>
      </c>
      <c r="B75" s="111">
        <v>1021</v>
      </c>
      <c r="C75" s="111" t="s">
        <v>15</v>
      </c>
      <c r="D75" s="116" t="s">
        <v>431</v>
      </c>
      <c r="E75" s="5" t="str">
        <f>E286</f>
        <v>Комплексна програма Сумської міської територіальної громади «Освіта на 2022 - 2024 роки» </v>
      </c>
      <c r="F75" s="5" t="str">
        <f>F286</f>
        <v>від 24.11.2021 року № 2512 - МР</v>
      </c>
      <c r="G75" s="31">
        <f t="shared" si="1"/>
        <v>340171050.25</v>
      </c>
      <c r="H75" s="31">
        <f>261136300-H76-H77+650000-120000+120000+80000+450000-98600-484920-37000-1076000-12052000</f>
        <v>244167710</v>
      </c>
      <c r="I75" s="31">
        <f>70294587+200000-427846+4080000+680000+70000-6050000-2200000-796921+892240+484920+13145256.25+3579104+12052000</f>
        <v>96003340.25</v>
      </c>
      <c r="J75" s="31">
        <f>12824767+200000-427846+4080000+680000+70000-6050000-2200000-796921+892240+484920+13145256.25+3579104+12052000</f>
        <v>38533520.25</v>
      </c>
      <c r="K75" s="109"/>
      <c r="L75" s="73"/>
    </row>
    <row r="76" spans="1:12" s="14" customFormat="1" ht="140.25" customHeight="1">
      <c r="A76" s="111"/>
      <c r="B76" s="111"/>
      <c r="C76" s="111"/>
      <c r="D76" s="116"/>
      <c r="E76" s="5" t="str">
        <f>E293</f>
        <v>Програма Сумської міської територіальної громади «Милосердя» на 2022-2024 роки</v>
      </c>
      <c r="F76" s="5" t="str">
        <f>F293</f>
        <v>від 24.11.2021 року № 2272-МР (зі змінами)</v>
      </c>
      <c r="G76" s="31">
        <f t="shared" si="1"/>
        <v>103120</v>
      </c>
      <c r="H76" s="31">
        <v>103120</v>
      </c>
      <c r="I76" s="33"/>
      <c r="J76" s="33"/>
      <c r="K76" s="109"/>
      <c r="L76" s="73"/>
    </row>
    <row r="77" spans="1:12" s="14" customFormat="1" ht="192.75" customHeight="1">
      <c r="A77" s="111"/>
      <c r="B77" s="111"/>
      <c r="C77" s="111"/>
      <c r="D77" s="116"/>
      <c r="E77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77" s="5" t="str">
        <f>F305</f>
        <v>від 24.11.2021 року № 2273-МР (зі змінами)</v>
      </c>
      <c r="G77" s="31">
        <f t="shared" si="1"/>
        <v>4296950</v>
      </c>
      <c r="H77" s="31">
        <v>4296950</v>
      </c>
      <c r="I77" s="33"/>
      <c r="J77" s="33"/>
      <c r="K77" s="109"/>
      <c r="L77" s="73"/>
    </row>
    <row r="78" spans="1:12" s="14" customFormat="1" ht="231" customHeight="1">
      <c r="A78" s="4" t="s">
        <v>413</v>
      </c>
      <c r="B78" s="4">
        <v>1022</v>
      </c>
      <c r="C78" s="4" t="s">
        <v>33</v>
      </c>
      <c r="D78" s="5" t="s">
        <v>364</v>
      </c>
      <c r="E78" s="5" t="str">
        <f>E286</f>
        <v>Комплексна програма Сумської міської територіальної громади «Освіта на 2022 - 2024 роки» </v>
      </c>
      <c r="F78" s="5" t="str">
        <f>F286</f>
        <v>від 24.11.2021 року № 2512 - МР</v>
      </c>
      <c r="G78" s="31">
        <f t="shared" si="1"/>
        <v>17951960</v>
      </c>
      <c r="H78" s="31">
        <f>17764300+103200-597600+174300</f>
        <v>17444200</v>
      </c>
      <c r="I78" s="31">
        <f>1131600+100000-831600+107760</f>
        <v>507760</v>
      </c>
      <c r="J78" s="31">
        <f>1131600+100000-831600+107760</f>
        <v>507760</v>
      </c>
      <c r="K78" s="109"/>
      <c r="L78" s="73"/>
    </row>
    <row r="79" spans="1:12" s="14" customFormat="1" ht="231" customHeight="1">
      <c r="A79" s="4" t="s">
        <v>456</v>
      </c>
      <c r="B79" s="4">
        <v>1025</v>
      </c>
      <c r="C79" s="4" t="s">
        <v>33</v>
      </c>
      <c r="D79" s="5" t="s">
        <v>458</v>
      </c>
      <c r="E79" s="5" t="str">
        <f>E286</f>
        <v>Комплексна програма Сумської міської територіальної громади «Освіта на 2022 - 2024 роки» </v>
      </c>
      <c r="F79" s="5" t="str">
        <f>F286</f>
        <v>від 24.11.2021 року № 2512 - МР</v>
      </c>
      <c r="G79" s="31">
        <f t="shared" si="1"/>
        <v>11907800</v>
      </c>
      <c r="H79" s="31">
        <f>12008200+55200+120000-492100+216500</f>
        <v>11907800</v>
      </c>
      <c r="I79" s="31">
        <f>200000-200000</f>
        <v>0</v>
      </c>
      <c r="J79" s="31">
        <f>200000-200000</f>
        <v>0</v>
      </c>
      <c r="K79" s="109"/>
      <c r="L79" s="73"/>
    </row>
    <row r="80" spans="1:11" ht="126.75" customHeight="1">
      <c r="A80" s="6" t="s">
        <v>414</v>
      </c>
      <c r="B80" s="6">
        <v>1031</v>
      </c>
      <c r="C80" s="4" t="s">
        <v>15</v>
      </c>
      <c r="D80" s="5" t="s">
        <v>412</v>
      </c>
      <c r="E80" s="5" t="str">
        <f>E286</f>
        <v>Комплексна програма Сумської міської територіальної громади «Освіта на 2022 - 2024 роки» </v>
      </c>
      <c r="F80" s="5" t="str">
        <f>F286</f>
        <v>від 24.11.2021 року № 2512 - МР</v>
      </c>
      <c r="G80" s="31">
        <f t="shared" si="1"/>
        <v>480031233</v>
      </c>
      <c r="H80" s="31">
        <f>530977270-50899800-251397+205160</f>
        <v>480031233</v>
      </c>
      <c r="I80" s="31"/>
      <c r="J80" s="31"/>
      <c r="K80" s="109"/>
    </row>
    <row r="81" spans="1:11" ht="232.5" customHeight="1">
      <c r="A81" s="6" t="s">
        <v>415</v>
      </c>
      <c r="B81" s="6">
        <v>1032</v>
      </c>
      <c r="C81" s="4" t="s">
        <v>33</v>
      </c>
      <c r="D81" s="5" t="s">
        <v>364</v>
      </c>
      <c r="E81" s="5" t="str">
        <f>E286</f>
        <v>Комплексна програма Сумської міської територіальної громади «Освіта на 2022 - 2024 роки» </v>
      </c>
      <c r="F81" s="5" t="str">
        <f>F286</f>
        <v>від 24.11.2021 року № 2512 - МР</v>
      </c>
      <c r="G81" s="31">
        <f t="shared" si="1"/>
        <v>16318900</v>
      </c>
      <c r="H81" s="31">
        <f>17946200-1627300</f>
        <v>16318900</v>
      </c>
      <c r="I81" s="31"/>
      <c r="J81" s="31"/>
      <c r="K81" s="109"/>
    </row>
    <row r="82" spans="1:11" ht="232.5" customHeight="1">
      <c r="A82" s="6" t="s">
        <v>457</v>
      </c>
      <c r="B82" s="6">
        <v>1035</v>
      </c>
      <c r="C82" s="4" t="s">
        <v>33</v>
      </c>
      <c r="D82" s="5" t="s">
        <v>458</v>
      </c>
      <c r="E82" s="5" t="str">
        <f>E286</f>
        <v>Комплексна програма Сумської міської територіальної громади «Освіта на 2022 - 2024 роки» </v>
      </c>
      <c r="F82" s="5" t="str">
        <f>F286</f>
        <v>від 24.11.2021 року № 2512 - МР</v>
      </c>
      <c r="G82" s="31">
        <f t="shared" si="1"/>
        <v>1096540</v>
      </c>
      <c r="H82" s="31">
        <f>1301700-205160</f>
        <v>1096540</v>
      </c>
      <c r="I82" s="31"/>
      <c r="J82" s="31"/>
      <c r="K82" s="109"/>
    </row>
    <row r="83" spans="1:11" ht="132.75">
      <c r="A83" s="6" t="s">
        <v>430</v>
      </c>
      <c r="B83" s="6">
        <v>1061</v>
      </c>
      <c r="C83" s="19" t="s">
        <v>15</v>
      </c>
      <c r="D83" s="45" t="s">
        <v>431</v>
      </c>
      <c r="E83" s="5" t="str">
        <f>E286</f>
        <v>Комплексна програма Сумської міської територіальної громади «Освіта на 2022 - 2024 роки» </v>
      </c>
      <c r="F83" s="5" t="str">
        <f>F286</f>
        <v>від 24.11.2021 року № 2512 - МР</v>
      </c>
      <c r="G83" s="31">
        <f t="shared" si="1"/>
        <v>204743.75</v>
      </c>
      <c r="H83" s="31"/>
      <c r="I83" s="31">
        <v>204743.75</v>
      </c>
      <c r="J83" s="31">
        <v>204743.75</v>
      </c>
      <c r="K83" s="109"/>
    </row>
    <row r="84" spans="1:11" ht="221.25" customHeight="1" hidden="1">
      <c r="A84" s="6" t="s">
        <v>437</v>
      </c>
      <c r="B84" s="6">
        <v>1062</v>
      </c>
      <c r="C84" s="20" t="s">
        <v>33</v>
      </c>
      <c r="D84" s="44" t="s">
        <v>364</v>
      </c>
      <c r="E84" s="5" t="str">
        <f>E286</f>
        <v>Комплексна програма Сумської міської територіальної громади «Освіта на 2022 - 2024 роки» </v>
      </c>
      <c r="F84" s="5" t="str">
        <f>F286</f>
        <v>від 24.11.2021 року № 2512 - МР</v>
      </c>
      <c r="G84" s="31">
        <f t="shared" si="1"/>
        <v>0</v>
      </c>
      <c r="H84" s="31"/>
      <c r="I84" s="31"/>
      <c r="J84" s="31"/>
      <c r="K84" s="109"/>
    </row>
    <row r="85" spans="1:11" ht="143.25" customHeight="1">
      <c r="A85" s="6" t="s">
        <v>425</v>
      </c>
      <c r="B85" s="6">
        <v>1070</v>
      </c>
      <c r="C85" s="4" t="s">
        <v>32</v>
      </c>
      <c r="D85" s="5" t="s">
        <v>426</v>
      </c>
      <c r="E85" s="5" t="str">
        <f>E286</f>
        <v>Комплексна програма Сумської міської територіальної громади «Освіта на 2022 - 2024 роки» </v>
      </c>
      <c r="F85" s="5" t="str">
        <f>F286</f>
        <v>від 24.11.2021 року № 2512 - МР</v>
      </c>
      <c r="G85" s="31">
        <f t="shared" si="1"/>
        <v>42446700</v>
      </c>
      <c r="H85" s="31">
        <f>43546200+7300+364200-1844200-26800</f>
        <v>42046700</v>
      </c>
      <c r="I85" s="31">
        <f>731964-331964</f>
        <v>400000</v>
      </c>
      <c r="J85" s="31">
        <f>731964-331964</f>
        <v>400000</v>
      </c>
      <c r="K85" s="109"/>
    </row>
    <row r="86" spans="1:11" ht="209.25" customHeight="1">
      <c r="A86" s="6" t="s">
        <v>479</v>
      </c>
      <c r="B86" s="6" t="s">
        <v>480</v>
      </c>
      <c r="C86" s="4" t="s">
        <v>483</v>
      </c>
      <c r="D86" s="5" t="s">
        <v>484</v>
      </c>
      <c r="E86" s="5" t="str">
        <f>E286</f>
        <v>Комплексна програма Сумської міської територіальної громади «Освіта на 2022 - 2024 роки» </v>
      </c>
      <c r="F86" s="5" t="str">
        <f>F286</f>
        <v>від 24.11.2021 року № 2512 - МР</v>
      </c>
      <c r="G86" s="31">
        <f t="shared" si="1"/>
        <v>156950630</v>
      </c>
      <c r="H86" s="31">
        <f>149164200-4799200+40000+1448351+431400</f>
        <v>146284751</v>
      </c>
      <c r="I86" s="31">
        <v>10665879</v>
      </c>
      <c r="J86" s="31"/>
      <c r="K86" s="109"/>
    </row>
    <row r="87" spans="1:11" ht="221.25">
      <c r="A87" s="6" t="s">
        <v>481</v>
      </c>
      <c r="B87" s="6" t="s">
        <v>482</v>
      </c>
      <c r="C87" s="4" t="s">
        <v>483</v>
      </c>
      <c r="D87" s="5" t="s">
        <v>485</v>
      </c>
      <c r="E87" s="5" t="str">
        <f>E286</f>
        <v>Комплексна програма Сумської міської територіальної громади «Освіта на 2022 - 2024 роки» </v>
      </c>
      <c r="F87" s="5" t="str">
        <f>F286</f>
        <v>від 24.11.2021 року № 2512 - МР</v>
      </c>
      <c r="G87" s="31">
        <f t="shared" si="1"/>
        <v>19425600</v>
      </c>
      <c r="H87" s="31">
        <f>24077400-4651800</f>
        <v>19425600</v>
      </c>
      <c r="I87" s="31"/>
      <c r="J87" s="31"/>
      <c r="K87" s="109">
        <v>45</v>
      </c>
    </row>
    <row r="88" spans="1:12" s="3" customFormat="1" ht="138" customHeight="1">
      <c r="A88" s="6" t="s">
        <v>416</v>
      </c>
      <c r="B88" s="6">
        <v>1141</v>
      </c>
      <c r="C88" s="4" t="s">
        <v>16</v>
      </c>
      <c r="D88" s="5" t="s">
        <v>250</v>
      </c>
      <c r="E88" s="5" t="str">
        <f>E286</f>
        <v>Комплексна програма Сумської міської територіальної громади «Освіта на 2022 - 2024 роки» </v>
      </c>
      <c r="F88" s="5" t="str">
        <f>F286</f>
        <v>від 24.11.2021 року № 2512 - МР</v>
      </c>
      <c r="G88" s="31">
        <f t="shared" si="1"/>
        <v>12797100</v>
      </c>
      <c r="H88" s="31">
        <f>13057600+98600-569800+147000-36300</f>
        <v>12697100</v>
      </c>
      <c r="I88" s="31">
        <v>100000</v>
      </c>
      <c r="J88" s="31">
        <v>100000</v>
      </c>
      <c r="K88" s="109"/>
      <c r="L88" s="70"/>
    </row>
    <row r="89" spans="1:12" s="3" customFormat="1" ht="136.5" customHeight="1">
      <c r="A89" s="6" t="s">
        <v>417</v>
      </c>
      <c r="B89" s="6">
        <v>1142</v>
      </c>
      <c r="C89" s="4" t="s">
        <v>16</v>
      </c>
      <c r="D89" s="5" t="s">
        <v>251</v>
      </c>
      <c r="E89" s="5" t="str">
        <f>E286</f>
        <v>Комплексна програма Сумської міської територіальної громади «Освіта на 2022 - 2024 роки» </v>
      </c>
      <c r="F89" s="5" t="str">
        <f>F286</f>
        <v>від 24.11.2021 року № 2512 - МР</v>
      </c>
      <c r="G89" s="31">
        <f t="shared" si="1"/>
        <v>1124100</v>
      </c>
      <c r="H89" s="31">
        <v>1124100</v>
      </c>
      <c r="I89" s="31"/>
      <c r="J89" s="31"/>
      <c r="K89" s="109"/>
      <c r="L89" s="70"/>
    </row>
    <row r="90" spans="1:12" s="3" customFormat="1" ht="178.5" customHeight="1">
      <c r="A90" s="6" t="s">
        <v>418</v>
      </c>
      <c r="B90" s="6">
        <v>1151</v>
      </c>
      <c r="C90" s="4" t="s">
        <v>16</v>
      </c>
      <c r="D90" s="5" t="s">
        <v>419</v>
      </c>
      <c r="E90" s="5" t="str">
        <f>E286</f>
        <v>Комплексна програма Сумської міської територіальної громади «Освіта на 2022 - 2024 роки» </v>
      </c>
      <c r="F90" s="5" t="str">
        <f>F286</f>
        <v>від 24.11.2021 року № 2512 - МР</v>
      </c>
      <c r="G90" s="31">
        <f t="shared" si="1"/>
        <v>175700</v>
      </c>
      <c r="H90" s="31">
        <f>556800-257600-94000-29500</f>
        <v>175700</v>
      </c>
      <c r="I90" s="31"/>
      <c r="J90" s="31"/>
      <c r="K90" s="109"/>
      <c r="L90" s="70"/>
    </row>
    <row r="91" spans="1:12" s="3" customFormat="1" ht="147.75" customHeight="1">
      <c r="A91" s="6" t="s">
        <v>420</v>
      </c>
      <c r="B91" s="6">
        <v>1152</v>
      </c>
      <c r="C91" s="4" t="s">
        <v>16</v>
      </c>
      <c r="D91" s="5" t="s">
        <v>428</v>
      </c>
      <c r="E91" s="5" t="str">
        <f>E286</f>
        <v>Комплексна програма Сумської міської територіальної громади «Освіта на 2022 - 2024 роки» </v>
      </c>
      <c r="F91" s="5" t="str">
        <f>F286</f>
        <v>від 24.11.2021 року № 2512 - МР</v>
      </c>
      <c r="G91" s="31">
        <f t="shared" si="1"/>
        <v>1506818</v>
      </c>
      <c r="H91" s="31">
        <f>1952020-195202-250000</f>
        <v>1506818</v>
      </c>
      <c r="I91" s="31"/>
      <c r="J91" s="31"/>
      <c r="K91" s="109"/>
      <c r="L91" s="70"/>
    </row>
    <row r="92" spans="1:12" s="3" customFormat="1" ht="147.75" customHeight="1">
      <c r="A92" s="6" t="s">
        <v>421</v>
      </c>
      <c r="B92" s="6">
        <v>1160</v>
      </c>
      <c r="C92" s="4" t="s">
        <v>16</v>
      </c>
      <c r="D92" s="5" t="s">
        <v>422</v>
      </c>
      <c r="E92" s="5" t="str">
        <f>E286</f>
        <v>Комплексна програма Сумської міської територіальної громади «Освіта на 2022 - 2024 роки» </v>
      </c>
      <c r="F92" s="5" t="str">
        <f>F286</f>
        <v>від 24.11.2021 року № 2512 - МР</v>
      </c>
      <c r="G92" s="31">
        <f t="shared" si="1"/>
        <v>3075600</v>
      </c>
      <c r="H92" s="31">
        <f>3017600+120000-128700+37000+29700</f>
        <v>3075600</v>
      </c>
      <c r="I92" s="31"/>
      <c r="J92" s="31"/>
      <c r="K92" s="109"/>
      <c r="L92" s="70"/>
    </row>
    <row r="93" spans="1:12" s="3" customFormat="1" ht="299.25" customHeight="1" hidden="1">
      <c r="A93" s="6" t="s">
        <v>459</v>
      </c>
      <c r="B93" s="6">
        <v>1171</v>
      </c>
      <c r="C93" s="4" t="s">
        <v>16</v>
      </c>
      <c r="D93" s="5" t="s">
        <v>460</v>
      </c>
      <c r="E93" s="5" t="str">
        <f>E286</f>
        <v>Комплексна програма Сумської міської територіальної громади «Освіта на 2022 - 2024 роки» </v>
      </c>
      <c r="F93" s="5" t="str">
        <f>F286</f>
        <v>від 24.11.2021 року № 2512 - МР</v>
      </c>
      <c r="G93" s="31">
        <f t="shared" si="1"/>
        <v>0</v>
      </c>
      <c r="H93" s="31"/>
      <c r="I93" s="31">
        <f>2000000-2000000</f>
        <v>0</v>
      </c>
      <c r="J93" s="31">
        <f>2000000-2000000</f>
        <v>0</v>
      </c>
      <c r="K93" s="109"/>
      <c r="L93" s="70"/>
    </row>
    <row r="94" spans="1:12" s="3" customFormat="1" ht="251.25" customHeight="1" hidden="1">
      <c r="A94" s="6" t="s">
        <v>461</v>
      </c>
      <c r="B94" s="6">
        <v>1172</v>
      </c>
      <c r="C94" s="4" t="s">
        <v>16</v>
      </c>
      <c r="D94" s="5" t="s">
        <v>524</v>
      </c>
      <c r="E94" s="5" t="str">
        <f>E286</f>
        <v>Комплексна програма Сумської міської територіальної громади «Освіта на 2022 - 2024 роки» </v>
      </c>
      <c r="F94" s="5" t="str">
        <f>F286</f>
        <v>від 24.11.2021 року № 2512 - МР</v>
      </c>
      <c r="G94" s="31">
        <f t="shared" si="1"/>
        <v>0</v>
      </c>
      <c r="H94" s="31"/>
      <c r="I94" s="31"/>
      <c r="J94" s="31"/>
      <c r="K94" s="109"/>
      <c r="L94" s="70"/>
    </row>
    <row r="95" spans="1:12" s="3" customFormat="1" ht="318.75" customHeight="1">
      <c r="A95" s="6" t="s">
        <v>452</v>
      </c>
      <c r="B95" s="6">
        <v>1181</v>
      </c>
      <c r="C95" s="4" t="s">
        <v>16</v>
      </c>
      <c r="D95" s="44" t="s">
        <v>453</v>
      </c>
      <c r="E95" s="5" t="str">
        <f>E286</f>
        <v>Комплексна програма Сумської міської територіальної громади «Освіта на 2022 - 2024 роки» </v>
      </c>
      <c r="F95" s="5" t="str">
        <f>F286</f>
        <v>від 24.11.2021 року № 2512 - МР</v>
      </c>
      <c r="G95" s="31">
        <f t="shared" si="1"/>
        <v>349470.18999999994</v>
      </c>
      <c r="H95" s="31">
        <f>3000000-2650529.81</f>
        <v>349470.18999999994</v>
      </c>
      <c r="I95" s="31"/>
      <c r="J95" s="31"/>
      <c r="K95" s="109"/>
      <c r="L95" s="70"/>
    </row>
    <row r="96" spans="1:12" s="3" customFormat="1" ht="283.5" customHeight="1" hidden="1">
      <c r="A96" s="6" t="s">
        <v>451</v>
      </c>
      <c r="B96" s="6">
        <v>1182</v>
      </c>
      <c r="C96" s="4" t="s">
        <v>16</v>
      </c>
      <c r="D96" s="44" t="s">
        <v>525</v>
      </c>
      <c r="E96" s="5" t="str">
        <f>E286</f>
        <v>Комплексна програма Сумської міської територіальної громади «Освіта на 2022 - 2024 роки» </v>
      </c>
      <c r="F96" s="5" t="str">
        <f>F286</f>
        <v>від 24.11.2021 року № 2512 - МР</v>
      </c>
      <c r="G96" s="31">
        <f t="shared" si="1"/>
        <v>0</v>
      </c>
      <c r="H96" s="31"/>
      <c r="I96" s="31"/>
      <c r="J96" s="31"/>
      <c r="K96" s="109"/>
      <c r="L96" s="70"/>
    </row>
    <row r="97" spans="1:12" s="3" customFormat="1" ht="230.25" customHeight="1">
      <c r="A97" s="6" t="s">
        <v>423</v>
      </c>
      <c r="B97" s="6">
        <v>1200</v>
      </c>
      <c r="C97" s="4" t="s">
        <v>16</v>
      </c>
      <c r="D97" s="5" t="s">
        <v>424</v>
      </c>
      <c r="E97" s="5" t="str">
        <f>E286</f>
        <v>Комплексна програма Сумської міської територіальної громади «Освіта на 2022 - 2024 роки» </v>
      </c>
      <c r="F97" s="5" t="str">
        <f>F286</f>
        <v>від 24.11.2021 року № 2512 - МР</v>
      </c>
      <c r="G97" s="31">
        <f t="shared" si="1"/>
        <v>2098714.5</v>
      </c>
      <c r="H97" s="31">
        <f>70693.5+1251644+776377</f>
        <v>2098714.5</v>
      </c>
      <c r="I97" s="31"/>
      <c r="J97" s="31"/>
      <c r="K97" s="109"/>
      <c r="L97" s="70"/>
    </row>
    <row r="98" spans="1:12" s="3" customFormat="1" ht="258.75" customHeight="1">
      <c r="A98" s="6" t="s">
        <v>432</v>
      </c>
      <c r="B98" s="6">
        <v>1210</v>
      </c>
      <c r="C98" s="4" t="s">
        <v>16</v>
      </c>
      <c r="D98" s="45" t="s">
        <v>433</v>
      </c>
      <c r="E98" s="5" t="str">
        <f>E286</f>
        <v>Комплексна програма Сумської міської територіальної громади «Освіта на 2022 - 2024 роки» </v>
      </c>
      <c r="F98" s="5" t="str">
        <f>F286</f>
        <v>від 24.11.2021 року № 2512 - МР</v>
      </c>
      <c r="G98" s="31">
        <f t="shared" si="1"/>
        <v>429496.68</v>
      </c>
      <c r="H98" s="31">
        <v>429496.68</v>
      </c>
      <c r="I98" s="31"/>
      <c r="J98" s="31"/>
      <c r="K98" s="109"/>
      <c r="L98" s="70"/>
    </row>
    <row r="99" spans="1:11" ht="288.75" customHeight="1">
      <c r="A99" s="6" t="s">
        <v>131</v>
      </c>
      <c r="B99" s="6" t="s">
        <v>38</v>
      </c>
      <c r="C99" s="4" t="s">
        <v>7</v>
      </c>
      <c r="D99" s="5" t="s">
        <v>42</v>
      </c>
      <c r="E99" s="5" t="str">
        <f>E315</f>
        <v>Програма оздоровлення та відпочинку дітей Сумської міської територіальної громади на 2022-2024 роки</v>
      </c>
      <c r="F99" s="5" t="str">
        <f>F315</f>
        <v>від 24.11.2021 року № 2507-МР </v>
      </c>
      <c r="G99" s="31">
        <f t="shared" si="1"/>
        <v>458549</v>
      </c>
      <c r="H99" s="31">
        <f>1946900-40000-1448351</f>
        <v>458549</v>
      </c>
      <c r="I99" s="31"/>
      <c r="J99" s="31"/>
      <c r="K99" s="109"/>
    </row>
    <row r="100" spans="1:11" ht="156" customHeight="1">
      <c r="A100" s="6" t="s">
        <v>327</v>
      </c>
      <c r="B100" s="6" t="s">
        <v>229</v>
      </c>
      <c r="C100" s="4" t="s">
        <v>6</v>
      </c>
      <c r="D100" s="5" t="s">
        <v>230</v>
      </c>
      <c r="E100" s="5" t="str">
        <f>E297</f>
        <v>Програма з реалізації Конвенції ООН про права дитини Сумської міської територіальної громади на 2022-2024 роки</v>
      </c>
      <c r="F100" s="5" t="str">
        <f>F297</f>
        <v>від 29.09.2021 року № 1604-МР</v>
      </c>
      <c r="G100" s="31">
        <f t="shared" si="1"/>
        <v>63350</v>
      </c>
      <c r="H100" s="31">
        <v>63350</v>
      </c>
      <c r="I100" s="31"/>
      <c r="J100" s="31"/>
      <c r="K100" s="109"/>
    </row>
    <row r="101" spans="1:12" s="3" customFormat="1" ht="141.75" customHeight="1">
      <c r="A101" s="4" t="s">
        <v>132</v>
      </c>
      <c r="B101" s="4" t="s">
        <v>64</v>
      </c>
      <c r="C101" s="4" t="s">
        <v>10</v>
      </c>
      <c r="D101" s="5" t="s">
        <v>44</v>
      </c>
      <c r="E101" s="5" t="str">
        <f>E308</f>
        <v>Програма розвитку фізичної культури і спорту Сумської міської територіальної громади на 2022-2024 роки</v>
      </c>
      <c r="F101" s="5" t="str">
        <f>F308</f>
        <v>від 24.11.2021 року № 2509-МР (зі змінами) </v>
      </c>
      <c r="G101" s="31">
        <f t="shared" si="1"/>
        <v>9566400</v>
      </c>
      <c r="H101" s="31">
        <f>9648000+323400+750000-1155000</f>
        <v>9566400</v>
      </c>
      <c r="I101" s="31"/>
      <c r="J101" s="31"/>
      <c r="K101" s="109">
        <v>46</v>
      </c>
      <c r="L101" s="70"/>
    </row>
    <row r="102" spans="1:12" s="3" customFormat="1" ht="132.75" customHeight="1" hidden="1">
      <c r="A102" s="4" t="s">
        <v>374</v>
      </c>
      <c r="B102" s="4">
        <v>7321</v>
      </c>
      <c r="C102" s="4" t="s">
        <v>62</v>
      </c>
      <c r="D102" s="5" t="s">
        <v>439</v>
      </c>
      <c r="E102" s="5" t="str">
        <f>E286</f>
        <v>Комплексна програма Сумської міської територіальної громади «Освіта на 2022 - 2024 роки» </v>
      </c>
      <c r="F102" s="5" t="str">
        <f>F286</f>
        <v>від 24.11.2021 року № 2512 - МР</v>
      </c>
      <c r="G102" s="31">
        <f t="shared" si="1"/>
        <v>0</v>
      </c>
      <c r="H102" s="31"/>
      <c r="I102" s="31"/>
      <c r="J102" s="31"/>
      <c r="K102" s="109"/>
      <c r="L102" s="70"/>
    </row>
    <row r="103" spans="1:12" s="3" customFormat="1" ht="180.75" customHeight="1" hidden="1">
      <c r="A103" s="111" t="s">
        <v>270</v>
      </c>
      <c r="B103" s="111" t="s">
        <v>271</v>
      </c>
      <c r="C103" s="111" t="s">
        <v>4</v>
      </c>
      <c r="D103" s="116" t="s">
        <v>272</v>
      </c>
      <c r="E103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03" s="5" t="str">
        <f>F306</f>
        <v>від 26.01.2022 року № 2715-МР (зі змінами)</v>
      </c>
      <c r="G103" s="31">
        <f t="shared" si="1"/>
        <v>0</v>
      </c>
      <c r="H103" s="31"/>
      <c r="I103" s="31">
        <f>3336557-3336557</f>
        <v>0</v>
      </c>
      <c r="J103" s="31">
        <f>3336557-3336557</f>
        <v>0</v>
      </c>
      <c r="K103" s="109"/>
      <c r="L103" s="70"/>
    </row>
    <row r="104" spans="1:12" s="3" customFormat="1" ht="132.75" customHeight="1" hidden="1">
      <c r="A104" s="111"/>
      <c r="B104" s="111"/>
      <c r="C104" s="111"/>
      <c r="D104" s="116"/>
      <c r="E104" s="5" t="s">
        <v>398</v>
      </c>
      <c r="F104" s="5" t="s">
        <v>339</v>
      </c>
      <c r="G104" s="31">
        <f t="shared" si="1"/>
        <v>0</v>
      </c>
      <c r="H104" s="31"/>
      <c r="I104" s="31"/>
      <c r="J104" s="31"/>
      <c r="K104" s="109"/>
      <c r="L104" s="70"/>
    </row>
    <row r="105" spans="1:12" s="3" customFormat="1" ht="177" customHeight="1">
      <c r="A105" s="4" t="s">
        <v>586</v>
      </c>
      <c r="B105" s="4" t="s">
        <v>195</v>
      </c>
      <c r="C105" s="4" t="s">
        <v>4</v>
      </c>
      <c r="D105" s="5" t="s">
        <v>196</v>
      </c>
      <c r="E10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05" s="7" t="str">
        <f>F301</f>
        <v>від 26.01.2022 року № 2705-МР (зі змінами)</v>
      </c>
      <c r="G105" s="31">
        <f>H105+I105</f>
        <v>550000</v>
      </c>
      <c r="H105" s="31">
        <f>300000+250000</f>
        <v>550000</v>
      </c>
      <c r="I105" s="31"/>
      <c r="J105" s="31"/>
      <c r="K105" s="109"/>
      <c r="L105" s="70"/>
    </row>
    <row r="106" spans="1:12" s="9" customFormat="1" ht="141" customHeight="1">
      <c r="A106" s="4" t="s">
        <v>133</v>
      </c>
      <c r="B106" s="4" t="s">
        <v>80</v>
      </c>
      <c r="C106" s="4" t="s">
        <v>25</v>
      </c>
      <c r="D106" s="5" t="s">
        <v>53</v>
      </c>
      <c r="E106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06" s="5" t="str">
        <f>F306</f>
        <v>від 26.01.2022 року № 2715-МР (зі змінами)</v>
      </c>
      <c r="G106" s="31">
        <f t="shared" si="1"/>
        <v>3922000</v>
      </c>
      <c r="H106" s="31">
        <v>952000</v>
      </c>
      <c r="I106" s="31">
        <f>8270000+1759010-1759010-5000000-500000+200000</f>
        <v>2970000</v>
      </c>
      <c r="J106" s="31">
        <f>8270000+1759010-1759010-5000000-500000+200000</f>
        <v>2970000</v>
      </c>
      <c r="K106" s="109"/>
      <c r="L106" s="74"/>
    </row>
    <row r="107" spans="1:12" s="9" customFormat="1" ht="185.25" customHeight="1" hidden="1">
      <c r="A107" s="4" t="s">
        <v>407</v>
      </c>
      <c r="B107" s="4">
        <v>7700</v>
      </c>
      <c r="C107" s="19" t="s">
        <v>13</v>
      </c>
      <c r="D107" s="5" t="s">
        <v>320</v>
      </c>
      <c r="E107" s="5" t="s">
        <v>390</v>
      </c>
      <c r="F107" s="5" t="s">
        <v>403</v>
      </c>
      <c r="G107" s="31">
        <f t="shared" si="1"/>
        <v>0</v>
      </c>
      <c r="H107" s="31"/>
      <c r="I107" s="31"/>
      <c r="J107" s="31"/>
      <c r="K107" s="109"/>
      <c r="L107" s="74"/>
    </row>
    <row r="108" spans="1:11" ht="146.25" customHeight="1">
      <c r="A108" s="6" t="s">
        <v>134</v>
      </c>
      <c r="B108" s="6" t="s">
        <v>76</v>
      </c>
      <c r="C108" s="4" t="s">
        <v>12</v>
      </c>
      <c r="D108" s="5" t="s">
        <v>77</v>
      </c>
      <c r="E108" s="7" t="str">
        <f>E304</f>
        <v>Програма охорони навколишнього природного середовища Сумської міської територіальної громади на 2022-2024 роки</v>
      </c>
      <c r="F108" s="7" t="str">
        <f>F304</f>
        <v>від 27.05.2022 № 162 (зі змінами)</v>
      </c>
      <c r="G108" s="31">
        <f t="shared" si="1"/>
        <v>689800</v>
      </c>
      <c r="H108" s="31"/>
      <c r="I108" s="31">
        <v>689800</v>
      </c>
      <c r="J108" s="31"/>
      <c r="K108" s="109"/>
    </row>
    <row r="109" spans="1:11" ht="221.25" customHeight="1" hidden="1">
      <c r="A109" s="6" t="s">
        <v>377</v>
      </c>
      <c r="B109" s="6">
        <v>9310</v>
      </c>
      <c r="C109" s="4" t="s">
        <v>26</v>
      </c>
      <c r="D109" s="5" t="s">
        <v>378</v>
      </c>
      <c r="E109" s="5" t="s">
        <v>398</v>
      </c>
      <c r="F109" s="5" t="s">
        <v>339</v>
      </c>
      <c r="G109" s="31">
        <f t="shared" si="1"/>
        <v>0</v>
      </c>
      <c r="H109" s="31"/>
      <c r="I109" s="31"/>
      <c r="J109" s="31"/>
      <c r="K109" s="109"/>
    </row>
    <row r="110" spans="1:11" ht="195" customHeight="1" hidden="1">
      <c r="A110" s="6" t="s">
        <v>462</v>
      </c>
      <c r="B110" s="6">
        <v>9320</v>
      </c>
      <c r="C110" s="4" t="s">
        <v>26</v>
      </c>
      <c r="D110" s="5" t="s">
        <v>463</v>
      </c>
      <c r="E110" s="5" t="s">
        <v>398</v>
      </c>
      <c r="F110" s="5" t="s">
        <v>339</v>
      </c>
      <c r="G110" s="31">
        <f t="shared" si="1"/>
        <v>0</v>
      </c>
      <c r="H110" s="31"/>
      <c r="I110" s="31"/>
      <c r="J110" s="31"/>
      <c r="K110" s="109"/>
    </row>
    <row r="111" spans="1:11" ht="138" customHeight="1" hidden="1">
      <c r="A111" s="119" t="s">
        <v>376</v>
      </c>
      <c r="B111" s="119">
        <v>9770</v>
      </c>
      <c r="C111" s="111" t="s">
        <v>26</v>
      </c>
      <c r="D111" s="116" t="s">
        <v>75</v>
      </c>
      <c r="E111" s="5" t="s">
        <v>398</v>
      </c>
      <c r="F111" s="5" t="s">
        <v>339</v>
      </c>
      <c r="G111" s="31">
        <f>H111+I111</f>
        <v>0</v>
      </c>
      <c r="H111" s="31"/>
      <c r="I111" s="31"/>
      <c r="J111" s="31"/>
      <c r="K111" s="109"/>
    </row>
    <row r="112" spans="1:11" ht="177" customHeight="1" hidden="1">
      <c r="A112" s="119"/>
      <c r="B112" s="119"/>
      <c r="C112" s="111"/>
      <c r="D112" s="116"/>
      <c r="E112" s="7" t="s">
        <v>402</v>
      </c>
      <c r="F112" s="5" t="s">
        <v>391</v>
      </c>
      <c r="G112" s="31">
        <f t="shared" si="1"/>
        <v>0</v>
      </c>
      <c r="H112" s="31"/>
      <c r="I112" s="31"/>
      <c r="J112" s="31"/>
      <c r="K112" s="109"/>
    </row>
    <row r="113" spans="1:11" ht="187.5" customHeight="1" hidden="1">
      <c r="A113" s="4" t="s">
        <v>269</v>
      </c>
      <c r="B113" s="4" t="s">
        <v>267</v>
      </c>
      <c r="C113" s="4" t="s">
        <v>26</v>
      </c>
      <c r="D113" s="29" t="s">
        <v>268</v>
      </c>
      <c r="E113" s="5" t="s">
        <v>397</v>
      </c>
      <c r="F113" s="5" t="s">
        <v>366</v>
      </c>
      <c r="G113" s="31">
        <f t="shared" si="1"/>
        <v>0</v>
      </c>
      <c r="H113" s="31"/>
      <c r="I113" s="31"/>
      <c r="J113" s="31"/>
      <c r="K113" s="109"/>
    </row>
    <row r="114" spans="1:11" ht="177" customHeight="1" hidden="1">
      <c r="A114" s="4" t="s">
        <v>377</v>
      </c>
      <c r="B114" s="4">
        <v>9310</v>
      </c>
      <c r="C114" s="4" t="s">
        <v>26</v>
      </c>
      <c r="D114" s="29" t="s">
        <v>378</v>
      </c>
      <c r="E114" s="5"/>
      <c r="F114" s="5"/>
      <c r="G114" s="31">
        <f>H114+I114</f>
        <v>0</v>
      </c>
      <c r="H114" s="31"/>
      <c r="I114" s="31"/>
      <c r="J114" s="31"/>
      <c r="K114" s="109"/>
    </row>
    <row r="115" spans="1:12" s="2" customFormat="1" ht="97.5" customHeight="1">
      <c r="A115" s="10"/>
      <c r="B115" s="10"/>
      <c r="C115" s="10"/>
      <c r="D115" s="50" t="s">
        <v>404</v>
      </c>
      <c r="E115" s="50"/>
      <c r="F115" s="50"/>
      <c r="G115" s="35">
        <f>SUM(G116:G141)</f>
        <v>194134200</v>
      </c>
      <c r="H115" s="35">
        <f>SUM(H116:H141)</f>
        <v>101245600</v>
      </c>
      <c r="I115" s="35">
        <f>SUM(I116:I141)</f>
        <v>92888600</v>
      </c>
      <c r="J115" s="35">
        <f>SUM(J116:J141)</f>
        <v>92888600</v>
      </c>
      <c r="K115" s="109"/>
      <c r="L115" s="72"/>
    </row>
    <row r="116" spans="1:11" ht="159.75" customHeight="1">
      <c r="A116" s="4" t="s">
        <v>135</v>
      </c>
      <c r="B116" s="4" t="s">
        <v>69</v>
      </c>
      <c r="C116" s="4" t="s">
        <v>2</v>
      </c>
      <c r="D116" s="5" t="s">
        <v>408</v>
      </c>
      <c r="E116" s="5" t="str">
        <f>E284</f>
        <v>Програма «Воєнний стан: інформування Сумської міської територіальної громади» на 2022 рік</v>
      </c>
      <c r="F116" s="5" t="str">
        <f>F284</f>
        <v>від 11.05.2022 № 140 (зі змінами)</v>
      </c>
      <c r="G116" s="31">
        <f aca="true" t="shared" si="2" ref="G116:G141">H116+I116</f>
        <v>25300</v>
      </c>
      <c r="H116" s="31">
        <f>5300+20000</f>
        <v>25300</v>
      </c>
      <c r="I116" s="31"/>
      <c r="J116" s="31"/>
      <c r="K116" s="109"/>
    </row>
    <row r="117" spans="1:11" ht="144.75" customHeight="1">
      <c r="A117" s="119" t="s">
        <v>136</v>
      </c>
      <c r="B117" s="119" t="s">
        <v>37</v>
      </c>
      <c r="C117" s="111" t="s">
        <v>17</v>
      </c>
      <c r="D117" s="116" t="s">
        <v>48</v>
      </c>
      <c r="E117" s="7" t="str">
        <f>E287</f>
        <v>Комплексна Програма Сумської міської територіальної громади «Охорона здоров’я» на 2022-2024 роки»</v>
      </c>
      <c r="F117" s="7" t="str">
        <f>F287</f>
        <v>від 26.01.2022 року № 2713- МР (зі змінами)</v>
      </c>
      <c r="G117" s="31">
        <f t="shared" si="2"/>
        <v>108414900</v>
      </c>
      <c r="H117" s="31">
        <f>52967500-1000000+570000+300000+50000+1000000+64800-360000-51300+15000</f>
        <v>53556000</v>
      </c>
      <c r="I117" s="31">
        <f>2517985+360000+51300+1929615+50000000</f>
        <v>54858900</v>
      </c>
      <c r="J117" s="31">
        <f>2517985+360000+51300+1929615+50000000</f>
        <v>54858900</v>
      </c>
      <c r="K117" s="109"/>
    </row>
    <row r="118" spans="1:12" s="14" customFormat="1" ht="207.75" customHeight="1" hidden="1">
      <c r="A118" s="119"/>
      <c r="B118" s="119"/>
      <c r="C118" s="111"/>
      <c r="D118" s="116"/>
      <c r="E118" s="5" t="s">
        <v>397</v>
      </c>
      <c r="F118" s="5" t="s">
        <v>366</v>
      </c>
      <c r="G118" s="31">
        <f t="shared" si="2"/>
        <v>0</v>
      </c>
      <c r="H118" s="31"/>
      <c r="I118" s="33"/>
      <c r="J118" s="33"/>
      <c r="K118" s="109"/>
      <c r="L118" s="73"/>
    </row>
    <row r="119" spans="1:12" s="14" customFormat="1" ht="138.75" customHeight="1" hidden="1">
      <c r="A119" s="6" t="s">
        <v>385</v>
      </c>
      <c r="B119" s="6">
        <v>2020</v>
      </c>
      <c r="C119" s="4">
        <v>732</v>
      </c>
      <c r="D119" s="5" t="s">
        <v>464</v>
      </c>
      <c r="E119" s="7" t="str">
        <f>E287</f>
        <v>Комплексна Програма Сумської міської територіальної громади «Охорона здоров’я» на 2022-2024 роки»</v>
      </c>
      <c r="F119" s="7" t="str">
        <f>F287</f>
        <v>від 26.01.2022 року № 2713- МР (зі змінами)</v>
      </c>
      <c r="G119" s="31">
        <f t="shared" si="2"/>
        <v>0</v>
      </c>
      <c r="H119" s="31"/>
      <c r="I119" s="33"/>
      <c r="J119" s="33"/>
      <c r="K119" s="109"/>
      <c r="L119" s="73"/>
    </row>
    <row r="120" spans="1:11" ht="190.5" customHeight="1">
      <c r="A120" s="119" t="s">
        <v>351</v>
      </c>
      <c r="B120" s="119">
        <v>2030</v>
      </c>
      <c r="C120" s="111" t="s">
        <v>352</v>
      </c>
      <c r="D120" s="115" t="s">
        <v>353</v>
      </c>
      <c r="E120" s="7" t="str">
        <f>E287</f>
        <v>Комплексна Програма Сумської міської територіальної громади «Охорона здоров’я» на 2022-2024 роки»</v>
      </c>
      <c r="F120" s="7" t="str">
        <f>F287</f>
        <v>від 26.01.2022 року № 2713- МР (зі змінами)</v>
      </c>
      <c r="G120" s="31">
        <f t="shared" si="2"/>
        <v>5125600</v>
      </c>
      <c r="H120" s="31">
        <v>5125600</v>
      </c>
      <c r="I120" s="31"/>
      <c r="J120" s="31"/>
      <c r="K120" s="109"/>
    </row>
    <row r="121" spans="1:11" ht="52.5" customHeight="1" hidden="1">
      <c r="A121" s="119"/>
      <c r="B121" s="119"/>
      <c r="C121" s="111"/>
      <c r="D121" s="115"/>
      <c r="E121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21" s="5" t="s">
        <v>366</v>
      </c>
      <c r="G121" s="31">
        <f t="shared" si="2"/>
        <v>0</v>
      </c>
      <c r="H121" s="31"/>
      <c r="I121" s="31"/>
      <c r="J121" s="31"/>
      <c r="K121" s="109"/>
    </row>
    <row r="122" spans="1:11" ht="141.75" customHeight="1">
      <c r="A122" s="6" t="s">
        <v>558</v>
      </c>
      <c r="B122" s="6" t="s">
        <v>559</v>
      </c>
      <c r="C122" s="4" t="s">
        <v>561</v>
      </c>
      <c r="D122" s="29" t="s">
        <v>560</v>
      </c>
      <c r="E122" s="7" t="s">
        <v>541</v>
      </c>
      <c r="F122" s="5" t="s">
        <v>554</v>
      </c>
      <c r="G122" s="31">
        <f t="shared" si="2"/>
        <v>400000</v>
      </c>
      <c r="H122" s="31"/>
      <c r="I122" s="31">
        <v>400000</v>
      </c>
      <c r="J122" s="31">
        <v>400000</v>
      </c>
      <c r="K122" s="109"/>
    </row>
    <row r="123" spans="1:11" ht="156.75" customHeight="1">
      <c r="A123" s="119" t="s">
        <v>137</v>
      </c>
      <c r="B123" s="119" t="s">
        <v>78</v>
      </c>
      <c r="C123" s="111" t="s">
        <v>18</v>
      </c>
      <c r="D123" s="116" t="s">
        <v>79</v>
      </c>
      <c r="E123" s="7" t="str">
        <f>E287</f>
        <v>Комплексна Програма Сумської міської територіальної громади «Охорона здоров’я» на 2022-2024 роки»</v>
      </c>
      <c r="F123" s="7" t="str">
        <f>F287</f>
        <v>від 26.01.2022 року № 2713- МР (зі змінами)</v>
      </c>
      <c r="G123" s="31">
        <f t="shared" si="2"/>
        <v>12328700</v>
      </c>
      <c r="H123" s="31">
        <f>12958700-H124-570000</f>
        <v>12328700</v>
      </c>
      <c r="I123" s="31"/>
      <c r="J123" s="31"/>
      <c r="K123" s="109"/>
    </row>
    <row r="124" spans="1:12" s="14" customFormat="1" ht="163.5" customHeight="1">
      <c r="A124" s="119"/>
      <c r="B124" s="119"/>
      <c r="C124" s="111"/>
      <c r="D124" s="116"/>
      <c r="E12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24" s="5" t="str">
        <f>F305</f>
        <v>від 24.11.2021 року № 2273-МР (зі змінами)</v>
      </c>
      <c r="G124" s="31">
        <f t="shared" si="2"/>
        <v>60000</v>
      </c>
      <c r="H124" s="31">
        <v>60000</v>
      </c>
      <c r="I124" s="33"/>
      <c r="J124" s="33"/>
      <c r="K124" s="109"/>
      <c r="L124" s="73"/>
    </row>
    <row r="125" spans="1:12" s="3" customFormat="1" ht="216.75" customHeight="1">
      <c r="A125" s="6" t="s">
        <v>344</v>
      </c>
      <c r="B125" s="6">
        <v>2111</v>
      </c>
      <c r="C125" s="4" t="s">
        <v>356</v>
      </c>
      <c r="D125" s="5" t="s">
        <v>355</v>
      </c>
      <c r="E125" s="7" t="str">
        <f>E287</f>
        <v>Комплексна Програма Сумської міської територіальної громади «Охорона здоров’я» на 2022-2024 роки»</v>
      </c>
      <c r="F125" s="7" t="str">
        <f>F287</f>
        <v>від 26.01.2022 року № 2713- МР (зі змінами)</v>
      </c>
      <c r="G125" s="31">
        <f t="shared" si="2"/>
        <v>5307100</v>
      </c>
      <c r="H125" s="31">
        <v>5307100</v>
      </c>
      <c r="I125" s="31"/>
      <c r="J125" s="31"/>
      <c r="K125" s="109"/>
      <c r="L125" s="70"/>
    </row>
    <row r="126" spans="1:12" s="3" customFormat="1" ht="139.5" customHeight="1" hidden="1">
      <c r="A126" s="6" t="s">
        <v>321</v>
      </c>
      <c r="B126" s="6" t="s">
        <v>322</v>
      </c>
      <c r="C126" s="6" t="s">
        <v>258</v>
      </c>
      <c r="D126" s="5" t="s">
        <v>325</v>
      </c>
      <c r="E126" s="7" t="s">
        <v>395</v>
      </c>
      <c r="F126" s="5" t="s">
        <v>338</v>
      </c>
      <c r="G126" s="31">
        <f t="shared" si="2"/>
        <v>0</v>
      </c>
      <c r="H126" s="31"/>
      <c r="I126" s="31"/>
      <c r="J126" s="31"/>
      <c r="K126" s="104"/>
      <c r="L126" s="70"/>
    </row>
    <row r="127" spans="1:12" s="3" customFormat="1" ht="138.75" customHeight="1" hidden="1">
      <c r="A127" s="6" t="s">
        <v>321</v>
      </c>
      <c r="B127" s="6">
        <v>2144</v>
      </c>
      <c r="C127" s="6" t="s">
        <v>258</v>
      </c>
      <c r="D127" s="54" t="s">
        <v>325</v>
      </c>
      <c r="E127" s="7" t="str">
        <f>E287</f>
        <v>Комплексна Програма Сумської міської територіальної громади «Охорона здоров’я» на 2022-2024 роки»</v>
      </c>
      <c r="F127" s="7" t="str">
        <f>F287</f>
        <v>від 26.01.2022 року № 2713- МР (зі змінами)</v>
      </c>
      <c r="G127" s="31">
        <f t="shared" si="2"/>
        <v>0</v>
      </c>
      <c r="H127" s="31"/>
      <c r="I127" s="31"/>
      <c r="J127" s="31"/>
      <c r="K127" s="104"/>
      <c r="L127" s="70"/>
    </row>
    <row r="128" spans="1:12" s="3" customFormat="1" ht="207" customHeight="1">
      <c r="A128" s="6" t="s">
        <v>323</v>
      </c>
      <c r="B128" s="6" t="s">
        <v>324</v>
      </c>
      <c r="C128" s="6" t="s">
        <v>258</v>
      </c>
      <c r="D128" s="5" t="s">
        <v>326</v>
      </c>
      <c r="E128" s="7" t="str">
        <f>E287</f>
        <v>Комплексна Програма Сумської міської територіальної громади «Охорона здоров’я» на 2022-2024 роки»</v>
      </c>
      <c r="F128" s="7" t="str">
        <f>F287</f>
        <v>від 26.01.2022 року № 2713- МР (зі змінами)</v>
      </c>
      <c r="G128" s="31">
        <f t="shared" si="2"/>
        <v>3233100</v>
      </c>
      <c r="H128" s="31">
        <f>3518500-161300-424100</f>
        <v>2933100</v>
      </c>
      <c r="I128" s="31">
        <v>300000</v>
      </c>
      <c r="J128" s="31">
        <v>300000</v>
      </c>
      <c r="K128" s="109">
        <v>47</v>
      </c>
      <c r="L128" s="70"/>
    </row>
    <row r="129" spans="1:12" s="3" customFormat="1" ht="169.5" customHeight="1">
      <c r="A129" s="124" t="s">
        <v>260</v>
      </c>
      <c r="B129" s="124" t="s">
        <v>257</v>
      </c>
      <c r="C129" s="124" t="s">
        <v>258</v>
      </c>
      <c r="D129" s="131" t="s">
        <v>259</v>
      </c>
      <c r="E129" s="7" t="str">
        <f>E287</f>
        <v>Комплексна Програма Сумської міської територіальної громади «Охорона здоров’я» на 2022-2024 роки»</v>
      </c>
      <c r="F129" s="7" t="str">
        <f>F287</f>
        <v>від 26.01.2022 року № 2713- МР (зі змінами)</v>
      </c>
      <c r="G129" s="31">
        <f t="shared" si="2"/>
        <v>51344400</v>
      </c>
      <c r="H129" s="31">
        <f>21723600-H130+21200</f>
        <v>21151400</v>
      </c>
      <c r="I129" s="31">
        <f>80030000-50000000+163000</f>
        <v>30193000</v>
      </c>
      <c r="J129" s="31">
        <f>80030000-50000000+163000</f>
        <v>30193000</v>
      </c>
      <c r="K129" s="109"/>
      <c r="L129" s="70"/>
    </row>
    <row r="130" spans="1:12" s="14" customFormat="1" ht="162.75" customHeight="1">
      <c r="A130" s="124"/>
      <c r="B130" s="124"/>
      <c r="C130" s="124"/>
      <c r="D130" s="131"/>
      <c r="E130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30" s="5" t="str">
        <f>F305</f>
        <v>від 24.11.2021 року № 2273-МР (зі змінами)</v>
      </c>
      <c r="G130" s="31">
        <f t="shared" si="2"/>
        <v>593400</v>
      </c>
      <c r="H130" s="31">
        <v>593400</v>
      </c>
      <c r="I130" s="31"/>
      <c r="J130" s="31"/>
      <c r="K130" s="109"/>
      <c r="L130" s="73"/>
    </row>
    <row r="131" spans="1:12" s="14" customFormat="1" ht="150.75" customHeight="1" hidden="1">
      <c r="A131" s="6" t="s">
        <v>375</v>
      </c>
      <c r="B131" s="6">
        <v>7322</v>
      </c>
      <c r="C131" s="6" t="s">
        <v>62</v>
      </c>
      <c r="D131" s="5" t="s">
        <v>440</v>
      </c>
      <c r="E131" s="7" t="str">
        <f>E287</f>
        <v>Комплексна Програма Сумської міської територіальної громади «Охорона здоров’я» на 2022-2024 роки»</v>
      </c>
      <c r="F131" s="5" t="s">
        <v>427</v>
      </c>
      <c r="G131" s="31">
        <f t="shared" si="2"/>
        <v>0</v>
      </c>
      <c r="H131" s="31"/>
      <c r="I131" s="31"/>
      <c r="J131" s="31"/>
      <c r="K131" s="109"/>
      <c r="L131" s="73"/>
    </row>
    <row r="132" spans="1:12" s="14" customFormat="1" ht="144" customHeight="1">
      <c r="A132" s="119" t="s">
        <v>367</v>
      </c>
      <c r="B132" s="119">
        <v>7361</v>
      </c>
      <c r="C132" s="119" t="s">
        <v>4</v>
      </c>
      <c r="D132" s="115" t="s">
        <v>289</v>
      </c>
      <c r="E132" s="7" t="str">
        <f>E287</f>
        <v>Комплексна Програма Сумської міської територіальної громади «Охорона здоров’я» на 2022-2024 роки»</v>
      </c>
      <c r="F132" s="7" t="str">
        <f>F287</f>
        <v>від 26.01.2022 року № 2713- МР (зі змінами)</v>
      </c>
      <c r="G132" s="31">
        <f t="shared" si="2"/>
        <v>6300000</v>
      </c>
      <c r="H132" s="31"/>
      <c r="I132" s="31">
        <f>17636700-I133+1100000-10000000-1600000</f>
        <v>6300000</v>
      </c>
      <c r="J132" s="31">
        <f>17636700-J133+1100000-10000000-1600000</f>
        <v>6300000</v>
      </c>
      <c r="K132" s="109"/>
      <c r="L132" s="73"/>
    </row>
    <row r="133" spans="1:12" s="14" customFormat="1" ht="140.25" customHeight="1">
      <c r="A133" s="119"/>
      <c r="B133" s="119"/>
      <c r="C133" s="119"/>
      <c r="D133" s="115"/>
      <c r="E133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33" s="5" t="str">
        <f>F306</f>
        <v>від 26.01.2022 року № 2715-МР (зі змінами)</v>
      </c>
      <c r="G133" s="31">
        <f t="shared" si="2"/>
        <v>836700</v>
      </c>
      <c r="H133" s="31"/>
      <c r="I133" s="31">
        <f>836700</f>
        <v>836700</v>
      </c>
      <c r="J133" s="31">
        <f>836700</f>
        <v>836700</v>
      </c>
      <c r="K133" s="109"/>
      <c r="L133" s="73"/>
    </row>
    <row r="134" spans="1:12" s="3" customFormat="1" ht="159" customHeight="1" hidden="1">
      <c r="A134" s="111" t="s">
        <v>273</v>
      </c>
      <c r="B134" s="111" t="s">
        <v>271</v>
      </c>
      <c r="C134" s="111" t="s">
        <v>4</v>
      </c>
      <c r="D134" s="116" t="s">
        <v>272</v>
      </c>
      <c r="E134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34" s="5" t="s">
        <v>429</v>
      </c>
      <c r="G134" s="31">
        <f t="shared" si="2"/>
        <v>0</v>
      </c>
      <c r="H134" s="31"/>
      <c r="I134" s="31"/>
      <c r="J134" s="31"/>
      <c r="K134" s="109"/>
      <c r="L134" s="70"/>
    </row>
    <row r="135" spans="1:12" s="3" customFormat="1" ht="192" customHeight="1" hidden="1">
      <c r="A135" s="111"/>
      <c r="B135" s="111"/>
      <c r="C135" s="111"/>
      <c r="D135" s="116"/>
      <c r="E135" s="5" t="str">
        <f>E308</f>
        <v>Програма розвитку фізичної культури і спорту Сумської міської територіальної громади на 2022-2024 роки</v>
      </c>
      <c r="F135" s="5" t="s">
        <v>427</v>
      </c>
      <c r="G135" s="31">
        <f t="shared" si="2"/>
        <v>0</v>
      </c>
      <c r="H135" s="31"/>
      <c r="I135" s="31"/>
      <c r="J135" s="31"/>
      <c r="K135" s="109"/>
      <c r="L135" s="70"/>
    </row>
    <row r="136" spans="1:11" ht="162.75" customHeight="1">
      <c r="A136" s="4" t="s">
        <v>138</v>
      </c>
      <c r="B136" s="4" t="s">
        <v>80</v>
      </c>
      <c r="C136" s="4" t="s">
        <v>25</v>
      </c>
      <c r="D136" s="5" t="s">
        <v>53</v>
      </c>
      <c r="E136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36" s="5" t="str">
        <f>F306</f>
        <v>від 26.01.2022 року № 2715-МР (зі змінами)</v>
      </c>
      <c r="G136" s="31">
        <f t="shared" si="2"/>
        <v>165000</v>
      </c>
      <c r="H136" s="31">
        <f>124500+40500</f>
        <v>165000</v>
      </c>
      <c r="I136" s="31">
        <f>8635500-6900000-700000-495000-500000-40500</f>
        <v>0</v>
      </c>
      <c r="J136" s="31">
        <f>8635500-6900000-700000-495000-500000-40500</f>
        <v>0</v>
      </c>
      <c r="K136" s="109"/>
    </row>
    <row r="137" spans="1:11" ht="183" customHeight="1" hidden="1">
      <c r="A137" s="4" t="s">
        <v>318</v>
      </c>
      <c r="B137" s="4" t="s">
        <v>319</v>
      </c>
      <c r="C137" s="4" t="s">
        <v>13</v>
      </c>
      <c r="D137" s="5" t="s">
        <v>320</v>
      </c>
      <c r="E137" s="5" t="s">
        <v>390</v>
      </c>
      <c r="F137" s="5" t="s">
        <v>403</v>
      </c>
      <c r="G137" s="31">
        <f t="shared" si="2"/>
        <v>0</v>
      </c>
      <c r="H137" s="31"/>
      <c r="I137" s="31"/>
      <c r="J137" s="31"/>
      <c r="K137" s="109"/>
    </row>
    <row r="138" spans="1:11" ht="177" customHeight="1" hidden="1">
      <c r="A138" s="4" t="s">
        <v>303</v>
      </c>
      <c r="B138" s="4" t="s">
        <v>76</v>
      </c>
      <c r="C138" s="4" t="s">
        <v>12</v>
      </c>
      <c r="D138" s="5" t="s">
        <v>77</v>
      </c>
      <c r="E138" s="7" t="s">
        <v>396</v>
      </c>
      <c r="F138" s="5" t="s">
        <v>333</v>
      </c>
      <c r="G138" s="31">
        <f t="shared" si="2"/>
        <v>0</v>
      </c>
      <c r="H138" s="34"/>
      <c r="I138" s="34"/>
      <c r="J138" s="31"/>
      <c r="K138" s="109"/>
    </row>
    <row r="139" spans="1:11" ht="177" customHeight="1" hidden="1">
      <c r="A139" s="4" t="s">
        <v>467</v>
      </c>
      <c r="B139" s="4">
        <v>8661</v>
      </c>
      <c r="C139" s="4">
        <v>490</v>
      </c>
      <c r="D139" s="5" t="s">
        <v>469</v>
      </c>
      <c r="E139" s="7" t="s">
        <v>474</v>
      </c>
      <c r="F139" s="5" t="s">
        <v>427</v>
      </c>
      <c r="G139" s="31">
        <f t="shared" si="2"/>
        <v>0</v>
      </c>
      <c r="H139" s="31"/>
      <c r="I139" s="34"/>
      <c r="J139" s="31"/>
      <c r="K139" s="109"/>
    </row>
    <row r="140" spans="1:11" ht="177" customHeight="1" hidden="1">
      <c r="A140" s="4" t="s">
        <v>468</v>
      </c>
      <c r="B140" s="4">
        <v>8662</v>
      </c>
      <c r="C140" s="4">
        <v>4090</v>
      </c>
      <c r="D140" s="5" t="s">
        <v>470</v>
      </c>
      <c r="E140" s="7" t="s">
        <v>474</v>
      </c>
      <c r="F140" s="5" t="s">
        <v>427</v>
      </c>
      <c r="G140" s="31">
        <f t="shared" si="2"/>
        <v>0</v>
      </c>
      <c r="H140" s="31"/>
      <c r="I140" s="34"/>
      <c r="J140" s="31"/>
      <c r="K140" s="109"/>
    </row>
    <row r="141" spans="1:11" ht="158.25" customHeight="1" hidden="1">
      <c r="A141" s="4" t="s">
        <v>297</v>
      </c>
      <c r="B141" s="4" t="s">
        <v>74</v>
      </c>
      <c r="C141" s="4" t="s">
        <v>298</v>
      </c>
      <c r="D141" s="55" t="s">
        <v>75</v>
      </c>
      <c r="E141" s="7" t="s">
        <v>474</v>
      </c>
      <c r="F141" s="5" t="s">
        <v>427</v>
      </c>
      <c r="G141" s="31">
        <f t="shared" si="2"/>
        <v>0</v>
      </c>
      <c r="H141" s="31"/>
      <c r="I141" s="31"/>
      <c r="J141" s="31"/>
      <c r="K141" s="109"/>
    </row>
    <row r="142" spans="1:12" s="2" customFormat="1" ht="114" customHeight="1">
      <c r="A142" s="10"/>
      <c r="B142" s="10"/>
      <c r="C142" s="10"/>
      <c r="D142" s="50" t="s">
        <v>139</v>
      </c>
      <c r="E142" s="50"/>
      <c r="F142" s="50"/>
      <c r="G142" s="35">
        <f>SUM(G143:G165)</f>
        <v>295672945</v>
      </c>
      <c r="H142" s="35">
        <f>SUM(H143:H165)</f>
        <v>295600945</v>
      </c>
      <c r="I142" s="35">
        <f>SUM(I143:I165)</f>
        <v>72000</v>
      </c>
      <c r="J142" s="35">
        <f>SUM(J143:J165)</f>
        <v>72000</v>
      </c>
      <c r="K142" s="109"/>
      <c r="L142" s="72"/>
    </row>
    <row r="143" spans="1:11" ht="162" customHeight="1">
      <c r="A143" s="4" t="s">
        <v>140</v>
      </c>
      <c r="B143" s="4" t="s">
        <v>69</v>
      </c>
      <c r="C143" s="4" t="s">
        <v>2</v>
      </c>
      <c r="D143" s="5" t="s">
        <v>408</v>
      </c>
      <c r="E143" s="5" t="str">
        <f>E284</f>
        <v>Програма «Воєнний стан: інформування Сумської міської територіальної громади» на 2022 рік</v>
      </c>
      <c r="F143" s="5" t="str">
        <f>F284</f>
        <v>від 11.05.2022 № 140 (зі змінами)</v>
      </c>
      <c r="G143" s="31">
        <f aca="true" t="shared" si="3" ref="G143:G165">H143+I143</f>
        <v>53200</v>
      </c>
      <c r="H143" s="31">
        <f>49000-10800+15000</f>
        <v>53200</v>
      </c>
      <c r="I143" s="31"/>
      <c r="J143" s="31"/>
      <c r="K143" s="109"/>
    </row>
    <row r="144" spans="1:11" ht="203.25" customHeight="1">
      <c r="A144" s="4" t="s">
        <v>434</v>
      </c>
      <c r="B144" s="4" t="s">
        <v>26</v>
      </c>
      <c r="C144" s="4" t="s">
        <v>13</v>
      </c>
      <c r="D144" s="5" t="s">
        <v>178</v>
      </c>
      <c r="E144" s="5" t="str">
        <f>E313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44" s="5" t="str">
        <f>F313</f>
        <v>від 24.03.2021 року № 517-МР</v>
      </c>
      <c r="G144" s="31">
        <f t="shared" si="3"/>
        <v>33829</v>
      </c>
      <c r="H144" s="31">
        <f>41949-8120</f>
        <v>33829</v>
      </c>
      <c r="I144" s="31"/>
      <c r="J144" s="31"/>
      <c r="K144" s="109"/>
    </row>
    <row r="145" spans="1:12" s="13" customFormat="1" ht="137.25" customHeight="1">
      <c r="A145" s="4" t="s">
        <v>141</v>
      </c>
      <c r="B145" s="4" t="s">
        <v>39</v>
      </c>
      <c r="C145" s="4">
        <v>1030</v>
      </c>
      <c r="D145" s="5" t="s">
        <v>91</v>
      </c>
      <c r="E145" s="5" t="str">
        <f>E293</f>
        <v>Програма Сумської міської територіальної громади «Милосердя» на 2022-2024 роки</v>
      </c>
      <c r="F145" s="5" t="str">
        <f>F293</f>
        <v>від 24.11.2021 року № 2272-МР (зі змінами)</v>
      </c>
      <c r="G145" s="31">
        <f t="shared" si="3"/>
        <v>648400</v>
      </c>
      <c r="H145" s="31">
        <f>675400-27000</f>
        <v>648400</v>
      </c>
      <c r="I145" s="31"/>
      <c r="J145" s="31"/>
      <c r="K145" s="109"/>
      <c r="L145" s="75"/>
    </row>
    <row r="146" spans="1:12" s="3" customFormat="1" ht="169.5" customHeight="1">
      <c r="A146" s="4" t="s">
        <v>142</v>
      </c>
      <c r="B146" s="4" t="s">
        <v>92</v>
      </c>
      <c r="C146" s="4">
        <v>1070</v>
      </c>
      <c r="D146" s="5" t="s">
        <v>49</v>
      </c>
      <c r="E146" s="5" t="str">
        <f>E293</f>
        <v>Програма Сумської міської територіальної громади «Милосердя» на 2022-2024 роки</v>
      </c>
      <c r="F146" s="5" t="str">
        <f>F293</f>
        <v>від 24.11.2021 року № 2272-МР (зі змінами)</v>
      </c>
      <c r="G146" s="31">
        <f t="shared" si="3"/>
        <v>828300</v>
      </c>
      <c r="H146" s="31">
        <f>1023300-195000</f>
        <v>828300</v>
      </c>
      <c r="I146" s="31"/>
      <c r="J146" s="31"/>
      <c r="K146" s="109"/>
      <c r="L146" s="70"/>
    </row>
    <row r="147" spans="1:12" s="3" customFormat="1" ht="195.75" customHeight="1">
      <c r="A147" s="4" t="s">
        <v>143</v>
      </c>
      <c r="B147" s="4" t="s">
        <v>40</v>
      </c>
      <c r="C147" s="4" t="s">
        <v>19</v>
      </c>
      <c r="D147" s="5" t="s">
        <v>35</v>
      </c>
      <c r="E147" s="5" t="str">
        <f>E293</f>
        <v>Програма Сумської міської територіальної громади «Милосердя» на 2022-2024 роки</v>
      </c>
      <c r="F147" s="5" t="str">
        <f>F293</f>
        <v>від 24.11.2021 року № 2272-МР (зі змінами)</v>
      </c>
      <c r="G147" s="31">
        <f t="shared" si="3"/>
        <v>27155498</v>
      </c>
      <c r="H147" s="31">
        <f>29771700-1000000-916009-700193</f>
        <v>27155498</v>
      </c>
      <c r="I147" s="31"/>
      <c r="J147" s="31"/>
      <c r="K147" s="109"/>
      <c r="L147" s="70"/>
    </row>
    <row r="148" spans="1:12" s="3" customFormat="1" ht="213.75" customHeight="1">
      <c r="A148" s="4" t="s">
        <v>144</v>
      </c>
      <c r="B148" s="4" t="s">
        <v>59</v>
      </c>
      <c r="C148" s="4" t="s">
        <v>19</v>
      </c>
      <c r="D148" s="5" t="s">
        <v>68</v>
      </c>
      <c r="E148" s="5" t="str">
        <f>E293</f>
        <v>Програма Сумської міської територіальної громади «Милосердя» на 2022-2024 роки</v>
      </c>
      <c r="F148" s="5" t="str">
        <f>F293</f>
        <v>від 24.11.2021 року № 2272-МР (зі змінами)</v>
      </c>
      <c r="G148" s="31">
        <f t="shared" si="3"/>
        <v>2000000</v>
      </c>
      <c r="H148" s="31">
        <v>2000000</v>
      </c>
      <c r="I148" s="31"/>
      <c r="J148" s="31"/>
      <c r="K148" s="109"/>
      <c r="L148" s="70"/>
    </row>
    <row r="149" spans="1:12" s="3" customFormat="1" ht="150" customHeight="1">
      <c r="A149" s="4" t="s">
        <v>145</v>
      </c>
      <c r="B149" s="4" t="s">
        <v>71</v>
      </c>
      <c r="C149" s="4" t="s">
        <v>19</v>
      </c>
      <c r="D149" s="5" t="s">
        <v>22</v>
      </c>
      <c r="E149" s="5" t="str">
        <f>E293</f>
        <v>Програма Сумської міської територіальної громади «Милосердя» на 2022-2024 роки</v>
      </c>
      <c r="F149" s="5" t="str">
        <f>F293</f>
        <v>від 24.11.2021 року № 2272-МР (зі змінами)</v>
      </c>
      <c r="G149" s="31">
        <f t="shared" si="3"/>
        <v>54816020</v>
      </c>
      <c r="H149" s="31">
        <f>58992100-4000000-176080</f>
        <v>54816020</v>
      </c>
      <c r="I149" s="31"/>
      <c r="J149" s="31"/>
      <c r="K149" s="109"/>
      <c r="L149" s="70"/>
    </row>
    <row r="150" spans="1:12" s="3" customFormat="1" ht="34.5" customHeight="1" hidden="1">
      <c r="A150" s="4" t="s">
        <v>146</v>
      </c>
      <c r="B150" s="4" t="s">
        <v>41</v>
      </c>
      <c r="C150" s="4" t="s">
        <v>34</v>
      </c>
      <c r="D150" s="5" t="s">
        <v>51</v>
      </c>
      <c r="E150" s="5" t="str">
        <f>E293</f>
        <v>Програма Сумської міської територіальної громади «Милосердя» на 2022-2024 роки</v>
      </c>
      <c r="F150" s="5" t="str">
        <f>F293</f>
        <v>від 24.11.2021 року № 2272-МР (зі змінами)</v>
      </c>
      <c r="G150" s="31">
        <f t="shared" si="3"/>
        <v>0</v>
      </c>
      <c r="H150" s="31"/>
      <c r="I150" s="31"/>
      <c r="J150" s="31"/>
      <c r="K150" s="109"/>
      <c r="L150" s="70"/>
    </row>
    <row r="151" spans="1:12" s="3" customFormat="1" ht="301.5" customHeight="1">
      <c r="A151" s="4" t="s">
        <v>488</v>
      </c>
      <c r="B151" s="4" t="s">
        <v>38</v>
      </c>
      <c r="C151" s="4" t="s">
        <v>7</v>
      </c>
      <c r="D151" s="5" t="s">
        <v>42</v>
      </c>
      <c r="E151" s="5" t="str">
        <f>E315</f>
        <v>Програма оздоровлення та відпочинку дітей Сумської міської територіальної громади на 2022-2024 роки</v>
      </c>
      <c r="F151" s="5" t="str">
        <f>F315</f>
        <v>від 24.11.2021 року № 2507-МР </v>
      </c>
      <c r="G151" s="31">
        <f t="shared" si="3"/>
        <v>6632100</v>
      </c>
      <c r="H151" s="31">
        <f>6667500-35400</f>
        <v>6632100</v>
      </c>
      <c r="I151" s="31"/>
      <c r="J151" s="31"/>
      <c r="K151" s="109"/>
      <c r="L151" s="70"/>
    </row>
    <row r="152" spans="1:12" s="3" customFormat="1" ht="334.5" customHeight="1">
      <c r="A152" s="4" t="s">
        <v>314</v>
      </c>
      <c r="B152" s="4" t="s">
        <v>316</v>
      </c>
      <c r="C152" s="4" t="s">
        <v>36</v>
      </c>
      <c r="D152" s="5" t="s">
        <v>315</v>
      </c>
      <c r="E152" s="5" t="str">
        <f>E293</f>
        <v>Програма Сумської міської територіальної громади «Милосердя» на 2022-2024 роки</v>
      </c>
      <c r="F152" s="5" t="str">
        <f>F293</f>
        <v>від 24.11.2021 року № 2272-МР (зі змінами)</v>
      </c>
      <c r="G152" s="31">
        <f t="shared" si="3"/>
        <v>6712168</v>
      </c>
      <c r="H152" s="31">
        <f>5461975+700193+550000</f>
        <v>6712168</v>
      </c>
      <c r="I152" s="31"/>
      <c r="J152" s="31"/>
      <c r="K152" s="109">
        <v>48</v>
      </c>
      <c r="L152" s="70"/>
    </row>
    <row r="153" spans="1:11" ht="150.75" customHeight="1">
      <c r="A153" s="111" t="s">
        <v>147</v>
      </c>
      <c r="B153" s="111" t="s">
        <v>93</v>
      </c>
      <c r="C153" s="111" t="s">
        <v>3</v>
      </c>
      <c r="D153" s="116" t="s">
        <v>523</v>
      </c>
      <c r="E153" s="5" t="str">
        <f>E293</f>
        <v>Програма Сумської міської територіальної громади «Милосердя» на 2022-2024 роки</v>
      </c>
      <c r="F153" s="5" t="str">
        <f>F293</f>
        <v>від 24.11.2021 року № 2272-МР (зі змінами)</v>
      </c>
      <c r="G153" s="31">
        <f t="shared" si="3"/>
        <v>301247</v>
      </c>
      <c r="H153" s="31">
        <f>312516-11269</f>
        <v>301247</v>
      </c>
      <c r="I153" s="31"/>
      <c r="J153" s="31"/>
      <c r="K153" s="109"/>
    </row>
    <row r="154" spans="1:11" ht="162" customHeight="1">
      <c r="A154" s="111"/>
      <c r="B154" s="111"/>
      <c r="C154" s="111"/>
      <c r="D154" s="116"/>
      <c r="E154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54" s="5" t="str">
        <f>F305</f>
        <v>від 24.11.2021 року № 2273-МР (зі змінами)</v>
      </c>
      <c r="G154" s="31">
        <f t="shared" si="3"/>
        <v>5096</v>
      </c>
      <c r="H154" s="31">
        <f>5830-734</f>
        <v>5096</v>
      </c>
      <c r="I154" s="31"/>
      <c r="J154" s="31"/>
      <c r="K154" s="109"/>
    </row>
    <row r="155" spans="1:12" s="3" customFormat="1" ht="114.75" customHeight="1">
      <c r="A155" s="111" t="s">
        <v>238</v>
      </c>
      <c r="B155" s="111" t="s">
        <v>256</v>
      </c>
      <c r="C155" s="111" t="s">
        <v>21</v>
      </c>
      <c r="D155" s="116" t="s">
        <v>20</v>
      </c>
      <c r="E155" s="5" t="str">
        <f>E293</f>
        <v>Програма Сумської міської територіальної громади «Милосердя» на 2022-2024 роки</v>
      </c>
      <c r="F155" s="5" t="str">
        <f>F293</f>
        <v>від 24.11.2021 року № 2272-МР (зі змінами)</v>
      </c>
      <c r="G155" s="31">
        <f t="shared" si="3"/>
        <v>956910</v>
      </c>
      <c r="H155" s="31">
        <f>1182133-225223</f>
        <v>956910</v>
      </c>
      <c r="I155" s="31"/>
      <c r="J155" s="31"/>
      <c r="K155" s="109"/>
      <c r="L155" s="70"/>
    </row>
    <row r="156" spans="1:12" s="3" customFormat="1" ht="155.25" customHeight="1">
      <c r="A156" s="111"/>
      <c r="B156" s="111"/>
      <c r="C156" s="111"/>
      <c r="D156" s="116"/>
      <c r="E156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56" s="5" t="str">
        <f>F305</f>
        <v>від 24.11.2021 року № 2273-МР (зі змінами)</v>
      </c>
      <c r="G156" s="31">
        <f t="shared" si="3"/>
        <v>1251304</v>
      </c>
      <c r="H156" s="31">
        <f>1340824+224368-313888</f>
        <v>1251304</v>
      </c>
      <c r="I156" s="31"/>
      <c r="J156" s="31"/>
      <c r="K156" s="109"/>
      <c r="L156" s="70"/>
    </row>
    <row r="157" spans="1:12" s="3" customFormat="1" ht="192" customHeight="1">
      <c r="A157" s="4" t="s">
        <v>239</v>
      </c>
      <c r="B157" s="4" t="s">
        <v>240</v>
      </c>
      <c r="C157" s="4" t="s">
        <v>21</v>
      </c>
      <c r="D157" s="5" t="s">
        <v>410</v>
      </c>
      <c r="E157" s="5" t="str">
        <f>E293</f>
        <v>Програма Сумської міської територіальної громади «Милосердя» на 2022-2024 роки</v>
      </c>
      <c r="F157" s="5" t="str">
        <f>F293</f>
        <v>від 24.11.2021 року № 2272-МР (зі змінами)</v>
      </c>
      <c r="G157" s="31">
        <f t="shared" si="3"/>
        <v>2273698</v>
      </c>
      <c r="H157" s="31">
        <f>2390210-116512</f>
        <v>2273698</v>
      </c>
      <c r="I157" s="31"/>
      <c r="J157" s="31"/>
      <c r="K157" s="109"/>
      <c r="L157" s="70"/>
    </row>
    <row r="158" spans="1:12" s="8" customFormat="1" ht="135.75" customHeight="1">
      <c r="A158" s="4" t="s">
        <v>148</v>
      </c>
      <c r="B158" s="4" t="s">
        <v>60</v>
      </c>
      <c r="C158" s="4" t="s">
        <v>6</v>
      </c>
      <c r="D158" s="5" t="s">
        <v>94</v>
      </c>
      <c r="E158" s="5" t="str">
        <f>E293</f>
        <v>Програма Сумської міської територіальної громади «Милосердя» на 2022-2024 роки</v>
      </c>
      <c r="F158" s="5" t="str">
        <f>F293</f>
        <v>від 24.11.2021 року № 2272-МР (зі змінами)</v>
      </c>
      <c r="G158" s="31">
        <f t="shared" si="3"/>
        <v>96800</v>
      </c>
      <c r="H158" s="31">
        <v>96800</v>
      </c>
      <c r="I158" s="31"/>
      <c r="J158" s="31"/>
      <c r="K158" s="109"/>
      <c r="L158" s="71"/>
    </row>
    <row r="159" spans="1:12" s="8" customFormat="1" ht="154.5" customHeight="1">
      <c r="A159" s="4" t="s">
        <v>241</v>
      </c>
      <c r="B159" s="4" t="s">
        <v>242</v>
      </c>
      <c r="C159" s="4" t="s">
        <v>30</v>
      </c>
      <c r="D159" s="5" t="s">
        <v>50</v>
      </c>
      <c r="E15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9" s="7" t="str">
        <f>F301</f>
        <v>від 26.01.2022 року № 2705-МР (зі змінами)</v>
      </c>
      <c r="G159" s="31">
        <f t="shared" si="3"/>
        <v>50000</v>
      </c>
      <c r="H159" s="31">
        <v>50000</v>
      </c>
      <c r="I159" s="31"/>
      <c r="J159" s="31"/>
      <c r="K159" s="109"/>
      <c r="L159" s="71"/>
    </row>
    <row r="160" spans="1:12" s="67" customFormat="1" ht="145.5" customHeight="1">
      <c r="A160" s="111" t="s">
        <v>243</v>
      </c>
      <c r="B160" s="119" t="s">
        <v>229</v>
      </c>
      <c r="C160" s="119" t="s">
        <v>6</v>
      </c>
      <c r="D160" s="116" t="s">
        <v>230</v>
      </c>
      <c r="E160" s="5" t="str">
        <f>E293</f>
        <v>Програма Сумської міської територіальної громади «Милосердя» на 2022-2024 роки</v>
      </c>
      <c r="F160" s="5" t="str">
        <f>F293</f>
        <v>від 24.11.2021 року № 2272-МР (зі змінами)</v>
      </c>
      <c r="G160" s="31">
        <f t="shared" si="3"/>
        <v>16088410</v>
      </c>
      <c r="H160" s="31">
        <f>11606348+50000-50000+4200000+30000+30000+60000+10000+50000+285662+100000+50000-405600</f>
        <v>16016410</v>
      </c>
      <c r="I160" s="31">
        <v>72000</v>
      </c>
      <c r="J160" s="31">
        <v>72000</v>
      </c>
      <c r="K160" s="109"/>
      <c r="L160" s="76"/>
    </row>
    <row r="161" spans="1:12" s="67" customFormat="1" ht="162" customHeight="1">
      <c r="A161" s="111"/>
      <c r="B161" s="119"/>
      <c r="C161" s="119"/>
      <c r="D161" s="116"/>
      <c r="E161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61" s="5" t="str">
        <f>F305</f>
        <v>від 24.11.2021 року № 2273-МР (зі змінами)</v>
      </c>
      <c r="G161" s="31">
        <f t="shared" si="3"/>
        <v>172900965</v>
      </c>
      <c r="H161" s="31">
        <f>24512097+15000000+15000000+2000000+60000+60000+13000000+60000+1590000+225000+14300000+6500000+13650000+400000+375000-375000+375000-30000+13650000+4200000+210450+45981700+123750+27450+865205+784313+70000+286000</f>
        <v>172900965</v>
      </c>
      <c r="I161" s="31"/>
      <c r="J161" s="31"/>
      <c r="K161" s="109"/>
      <c r="L161" s="76"/>
    </row>
    <row r="162" spans="1:12" s="8" customFormat="1" ht="143.25" customHeight="1">
      <c r="A162" s="111"/>
      <c r="B162" s="119"/>
      <c r="C162" s="119"/>
      <c r="D162" s="116"/>
      <c r="E162" s="7" t="s">
        <v>394</v>
      </c>
      <c r="F162" s="5" t="s">
        <v>393</v>
      </c>
      <c r="G162" s="31">
        <f t="shared" si="3"/>
        <v>300000</v>
      </c>
      <c r="H162" s="31">
        <v>300000</v>
      </c>
      <c r="I162" s="31"/>
      <c r="J162" s="31"/>
      <c r="K162" s="109"/>
      <c r="L162" s="71"/>
    </row>
    <row r="163" spans="1:12" s="8" customFormat="1" ht="170.25" customHeight="1">
      <c r="A163" s="4" t="s">
        <v>478</v>
      </c>
      <c r="B163" s="6" t="s">
        <v>80</v>
      </c>
      <c r="C163" s="6" t="s">
        <v>25</v>
      </c>
      <c r="D163" s="5" t="s">
        <v>53</v>
      </c>
      <c r="E163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63" s="5" t="str">
        <f>F306</f>
        <v>від 26.01.2022 року № 2715-МР (зі змінами)</v>
      </c>
      <c r="G163" s="31">
        <f t="shared" si="3"/>
        <v>69000</v>
      </c>
      <c r="H163" s="31">
        <v>69000</v>
      </c>
      <c r="I163" s="31"/>
      <c r="J163" s="31"/>
      <c r="K163" s="109">
        <v>49</v>
      </c>
      <c r="L163" s="71"/>
    </row>
    <row r="164" spans="1:12" s="3" customFormat="1" ht="138" customHeight="1">
      <c r="A164" s="130" t="s">
        <v>149</v>
      </c>
      <c r="B164" s="130" t="s">
        <v>74</v>
      </c>
      <c r="C164" s="130" t="s">
        <v>26</v>
      </c>
      <c r="D164" s="134" t="s">
        <v>75</v>
      </c>
      <c r="E164" s="5" t="str">
        <f>E293</f>
        <v>Програма Сумської міської територіальної громади «Милосердя» на 2022-2024 роки</v>
      </c>
      <c r="F164" s="5" t="str">
        <f>F293</f>
        <v>від 24.11.2021 року № 2272-МР (зі змінами)</v>
      </c>
      <c r="G164" s="31">
        <f t="shared" si="3"/>
        <v>130000</v>
      </c>
      <c r="H164" s="31">
        <v>130000</v>
      </c>
      <c r="I164" s="31"/>
      <c r="J164" s="31"/>
      <c r="K164" s="109"/>
      <c r="L164" s="70"/>
    </row>
    <row r="165" spans="1:12" s="3" customFormat="1" ht="152.25" customHeight="1">
      <c r="A165" s="130"/>
      <c r="B165" s="130"/>
      <c r="C165" s="130"/>
      <c r="D165" s="134"/>
      <c r="E165" s="5" t="str">
        <f>E305</f>
        <v>Програма Сумської міської територіальної громади «Соціальна підтримка захисників України та членів їх сімей» на 2022-2024 роки»</v>
      </c>
      <c r="F165" s="5" t="str">
        <f>F305</f>
        <v>від 24.11.2021 року № 2273-МР (зі змінами)</v>
      </c>
      <c r="G165" s="31">
        <f t="shared" si="3"/>
        <v>2370000</v>
      </c>
      <c r="H165" s="31">
        <v>2370000</v>
      </c>
      <c r="I165" s="31"/>
      <c r="J165" s="31"/>
      <c r="K165" s="109"/>
      <c r="L165" s="70"/>
    </row>
    <row r="166" spans="1:12" s="2" customFormat="1" ht="126" customHeight="1">
      <c r="A166" s="10"/>
      <c r="B166" s="10"/>
      <c r="C166" s="10"/>
      <c r="D166" s="50" t="s">
        <v>361</v>
      </c>
      <c r="E166" s="50"/>
      <c r="F166" s="50"/>
      <c r="G166" s="35">
        <f>SUM(G167:G169)</f>
        <v>422740</v>
      </c>
      <c r="H166" s="35">
        <f>SUM(H167:H169)</f>
        <v>422740</v>
      </c>
      <c r="I166" s="35">
        <f>SUM(I167:I169)</f>
        <v>0</v>
      </c>
      <c r="J166" s="35">
        <f>SUM(J167:J169)</f>
        <v>0</v>
      </c>
      <c r="K166" s="109"/>
      <c r="L166" s="72"/>
    </row>
    <row r="167" spans="1:12" s="2" customFormat="1" ht="252" customHeight="1">
      <c r="A167" s="4" t="s">
        <v>328</v>
      </c>
      <c r="B167" s="4" t="s">
        <v>329</v>
      </c>
      <c r="C167" s="4" t="s">
        <v>7</v>
      </c>
      <c r="D167" s="5" t="s">
        <v>330</v>
      </c>
      <c r="E167" s="5" t="str">
        <f>E297</f>
        <v>Програма з реалізації Конвенції ООН про права дитини Сумської міської територіальної громади на 2022-2024 роки</v>
      </c>
      <c r="F167" s="5" t="str">
        <f>F297</f>
        <v>від 29.09.2021 року № 1604-МР</v>
      </c>
      <c r="G167" s="31">
        <f>H167+I167</f>
        <v>227280</v>
      </c>
      <c r="H167" s="31">
        <v>227280</v>
      </c>
      <c r="I167" s="31"/>
      <c r="J167" s="31"/>
      <c r="K167" s="109"/>
      <c r="L167" s="72"/>
    </row>
    <row r="168" spans="1:12" s="3" customFormat="1" ht="150.75" customHeight="1">
      <c r="A168" s="4" t="s">
        <v>150</v>
      </c>
      <c r="B168" s="4" t="s">
        <v>54</v>
      </c>
      <c r="C168" s="4" t="s">
        <v>7</v>
      </c>
      <c r="D168" s="5" t="s">
        <v>52</v>
      </c>
      <c r="E168" s="5" t="str">
        <f>E297</f>
        <v>Програма з реалізації Конвенції ООН про права дитини Сумської міської територіальної громади на 2022-2024 роки</v>
      </c>
      <c r="F168" s="5" t="str">
        <f>F297</f>
        <v>від 29.09.2021 року № 1604-МР</v>
      </c>
      <c r="G168" s="31">
        <f>H168+I168</f>
        <v>195460</v>
      </c>
      <c r="H168" s="31">
        <v>195460</v>
      </c>
      <c r="I168" s="31"/>
      <c r="J168" s="31"/>
      <c r="K168" s="109"/>
      <c r="L168" s="70"/>
    </row>
    <row r="169" spans="1:14" s="3" customFormat="1" ht="350.25" customHeight="1" hidden="1">
      <c r="A169" s="4" t="s">
        <v>383</v>
      </c>
      <c r="B169" s="4">
        <v>6083</v>
      </c>
      <c r="C169" s="4" t="s">
        <v>23</v>
      </c>
      <c r="D169" s="5" t="s">
        <v>384</v>
      </c>
      <c r="E169" s="5" t="str">
        <f>E297</f>
        <v>Програма з реалізації Конвенції ООН про права дитини Сумської міської територіальної громади на 2022-2024 роки</v>
      </c>
      <c r="F169" s="5" t="str">
        <f>F297</f>
        <v>від 29.09.2021 року № 1604-МР</v>
      </c>
      <c r="G169" s="31">
        <f>H169+I169</f>
        <v>0</v>
      </c>
      <c r="H169" s="31"/>
      <c r="I169" s="31"/>
      <c r="J169" s="31"/>
      <c r="K169" s="109"/>
      <c r="L169" s="70"/>
      <c r="N169" s="16"/>
    </row>
    <row r="170" spans="1:12" s="2" customFormat="1" ht="110.25" customHeight="1">
      <c r="A170" s="10"/>
      <c r="B170" s="10"/>
      <c r="C170" s="10"/>
      <c r="D170" s="50" t="s">
        <v>577</v>
      </c>
      <c r="E170" s="50"/>
      <c r="F170" s="50"/>
      <c r="G170" s="35">
        <f>SUM(G171:G178)</f>
        <v>4511600</v>
      </c>
      <c r="H170" s="35">
        <f>SUM(H171:H178)</f>
        <v>3757100</v>
      </c>
      <c r="I170" s="35">
        <f>SUM(I171:I178)</f>
        <v>754500</v>
      </c>
      <c r="J170" s="35">
        <f>SUM(J171:J178)</f>
        <v>750000</v>
      </c>
      <c r="K170" s="109"/>
      <c r="L170" s="72"/>
    </row>
    <row r="171" spans="1:11" ht="52.5" customHeight="1" hidden="1">
      <c r="A171" s="4" t="s">
        <v>151</v>
      </c>
      <c r="B171" s="4" t="s">
        <v>69</v>
      </c>
      <c r="C171" s="4" t="s">
        <v>2</v>
      </c>
      <c r="D171" s="5" t="s">
        <v>408</v>
      </c>
      <c r="E171" s="5" t="str">
        <f>E284</f>
        <v>Програма «Воєнний стан: інформування Сумської міської територіальної громади» на 2022 рік</v>
      </c>
      <c r="F171" s="5" t="str">
        <f>F284</f>
        <v>від 11.05.2022 № 140 (зі змінами)</v>
      </c>
      <c r="G171" s="31">
        <f aca="true" t="shared" si="4" ref="G171:G177">H171+I171</f>
        <v>0</v>
      </c>
      <c r="H171" s="31"/>
      <c r="I171" s="31"/>
      <c r="J171" s="31"/>
      <c r="K171" s="109"/>
    </row>
    <row r="172" spans="1:11" ht="147" customHeight="1">
      <c r="A172" s="4" t="s">
        <v>409</v>
      </c>
      <c r="B172" s="4">
        <v>1080</v>
      </c>
      <c r="C172" s="4" t="s">
        <v>32</v>
      </c>
      <c r="D172" s="5" t="s">
        <v>489</v>
      </c>
      <c r="E172" s="5" t="str">
        <f>E295</f>
        <v>Цільова комплексна Програма розвитку культури  Сумської міської територіальної громади на 2022 - 2024 роки</v>
      </c>
      <c r="F172" s="5" t="str">
        <f>F295</f>
        <v>від 26.01.2022 року № 2714 -МР</v>
      </c>
      <c r="G172" s="31">
        <f t="shared" si="4"/>
        <v>767100</v>
      </c>
      <c r="H172" s="31">
        <f>387100+80000</f>
        <v>467100</v>
      </c>
      <c r="I172" s="31">
        <v>300000</v>
      </c>
      <c r="J172" s="31">
        <v>300000</v>
      </c>
      <c r="K172" s="109"/>
    </row>
    <row r="173" spans="1:11" ht="150.75" customHeight="1">
      <c r="A173" s="4" t="s">
        <v>152</v>
      </c>
      <c r="B173" s="4" t="s">
        <v>55</v>
      </c>
      <c r="C173" s="4" t="s">
        <v>31</v>
      </c>
      <c r="D173" s="5" t="s">
        <v>82</v>
      </c>
      <c r="E173" s="5" t="str">
        <f>E295</f>
        <v>Цільова комплексна Програма розвитку культури  Сумської міської територіальної громади на 2022 - 2024 роки</v>
      </c>
      <c r="F173" s="5" t="str">
        <f>F295</f>
        <v>від 26.01.2022 року № 2714 -МР</v>
      </c>
      <c r="G173" s="31">
        <f t="shared" si="4"/>
        <v>570000</v>
      </c>
      <c r="H173" s="31">
        <v>570000</v>
      </c>
      <c r="I173" s="31">
        <f>400000-400000</f>
        <v>0</v>
      </c>
      <c r="J173" s="31">
        <f>400000-400000</f>
        <v>0</v>
      </c>
      <c r="K173" s="109"/>
    </row>
    <row r="174" spans="1:12" s="3" customFormat="1" ht="153" customHeight="1">
      <c r="A174" s="4" t="s">
        <v>368</v>
      </c>
      <c r="B174" s="4">
        <v>4060</v>
      </c>
      <c r="C174" s="4" t="s">
        <v>264</v>
      </c>
      <c r="D174" s="5" t="s">
        <v>265</v>
      </c>
      <c r="E174" s="5" t="str">
        <f>E295</f>
        <v>Цільова комплексна Програма розвитку культури  Сумської міської територіальної громади на 2022 - 2024 роки</v>
      </c>
      <c r="F174" s="5" t="str">
        <f>F295</f>
        <v>від 26.01.2022 року № 2714 -МР</v>
      </c>
      <c r="G174" s="31">
        <f t="shared" si="4"/>
        <v>650000</v>
      </c>
      <c r="H174" s="31">
        <v>200000</v>
      </c>
      <c r="I174" s="31">
        <f>1650000-1250000+50000</f>
        <v>450000</v>
      </c>
      <c r="J174" s="31">
        <f>1650000-1250000+50000</f>
        <v>450000</v>
      </c>
      <c r="K174" s="109"/>
      <c r="L174" s="70"/>
    </row>
    <row r="175" spans="1:12" s="3" customFormat="1" ht="162.75" customHeight="1">
      <c r="A175" s="4" t="s">
        <v>234</v>
      </c>
      <c r="B175" s="4" t="s">
        <v>231</v>
      </c>
      <c r="C175" s="4" t="s">
        <v>9</v>
      </c>
      <c r="D175" s="5" t="s">
        <v>232</v>
      </c>
      <c r="E175" s="5" t="str">
        <f>E295</f>
        <v>Цільова комплексна Програма розвитку культури  Сумської міської територіальної громади на 2022 - 2024 роки</v>
      </c>
      <c r="F175" s="5" t="str">
        <f>F295</f>
        <v>від 26.01.2022 року № 2714 -МР</v>
      </c>
      <c r="G175" s="31">
        <f t="shared" si="4"/>
        <v>2520000</v>
      </c>
      <c r="H175" s="31">
        <f>2450000+70000</f>
        <v>2520000</v>
      </c>
      <c r="I175" s="31"/>
      <c r="J175" s="31"/>
      <c r="K175" s="109"/>
      <c r="L175" s="70"/>
    </row>
    <row r="176" spans="1:12" s="3" customFormat="1" ht="148.5" customHeight="1" hidden="1">
      <c r="A176" s="4" t="s">
        <v>386</v>
      </c>
      <c r="B176" s="4">
        <v>7324</v>
      </c>
      <c r="C176" s="4" t="s">
        <v>62</v>
      </c>
      <c r="D176" s="5" t="s">
        <v>441</v>
      </c>
      <c r="E176" s="5" t="str">
        <f>E295</f>
        <v>Цільова комплексна Програма розвитку культури  Сумської міської територіальної громади на 2022 - 2024 роки</v>
      </c>
      <c r="F176" s="5" t="str">
        <f>F295</f>
        <v>від 26.01.2022 року № 2714 -МР</v>
      </c>
      <c r="G176" s="31">
        <f t="shared" si="4"/>
        <v>0</v>
      </c>
      <c r="H176" s="31"/>
      <c r="I176" s="31"/>
      <c r="J176" s="31"/>
      <c r="K176" s="109"/>
      <c r="L176" s="70"/>
    </row>
    <row r="177" spans="1:11" ht="168" customHeight="1" hidden="1">
      <c r="A177" s="4" t="s">
        <v>153</v>
      </c>
      <c r="B177" s="4" t="s">
        <v>80</v>
      </c>
      <c r="C177" s="4" t="s">
        <v>25</v>
      </c>
      <c r="D177" s="5" t="s">
        <v>53</v>
      </c>
      <c r="E177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177" s="5" t="str">
        <f>F306</f>
        <v>від 26.01.2022 року № 2715-МР (зі змінами)</v>
      </c>
      <c r="G177" s="31">
        <f t="shared" si="4"/>
        <v>0</v>
      </c>
      <c r="H177" s="31"/>
      <c r="I177" s="31">
        <f>850000-500000-350000</f>
        <v>0</v>
      </c>
      <c r="J177" s="31">
        <f>850000-500000-350000</f>
        <v>0</v>
      </c>
      <c r="K177" s="109"/>
    </row>
    <row r="178" spans="1:11" ht="156.75" customHeight="1">
      <c r="A178" s="4" t="s">
        <v>346</v>
      </c>
      <c r="B178" s="4">
        <v>8340</v>
      </c>
      <c r="C178" s="4" t="s">
        <v>12</v>
      </c>
      <c r="D178" s="5" t="s">
        <v>77</v>
      </c>
      <c r="E178" s="7" t="str">
        <f>E304</f>
        <v>Програма охорони навколишнього природного середовища Сумської міської територіальної громади на 2022-2024 роки</v>
      </c>
      <c r="F178" s="7" t="str">
        <f>F304</f>
        <v>від 27.05.2022 № 162 (зі змінами)</v>
      </c>
      <c r="G178" s="31">
        <f>H178+I178</f>
        <v>4500</v>
      </c>
      <c r="H178" s="31"/>
      <c r="I178" s="31">
        <v>4500</v>
      </c>
      <c r="J178" s="31"/>
      <c r="K178" s="109"/>
    </row>
    <row r="179" spans="1:12" s="2" customFormat="1" ht="150.75" customHeight="1">
      <c r="A179" s="10"/>
      <c r="B179" s="10"/>
      <c r="C179" s="10"/>
      <c r="D179" s="50" t="s">
        <v>154</v>
      </c>
      <c r="E179" s="50"/>
      <c r="F179" s="50"/>
      <c r="G179" s="35">
        <f>SUM(G180:G223)</f>
        <v>614332885</v>
      </c>
      <c r="H179" s="35">
        <f>SUM(H180:H223)</f>
        <v>473994574</v>
      </c>
      <c r="I179" s="35">
        <f>SUM(I180:I223)</f>
        <v>140338311</v>
      </c>
      <c r="J179" s="35">
        <f>SUM(J180:J223)</f>
        <v>131639880</v>
      </c>
      <c r="K179" s="109">
        <v>50</v>
      </c>
      <c r="L179" s="72"/>
    </row>
    <row r="180" spans="1:11" ht="198" customHeight="1">
      <c r="A180" s="4" t="s">
        <v>155</v>
      </c>
      <c r="B180" s="4" t="s">
        <v>69</v>
      </c>
      <c r="C180" s="4" t="s">
        <v>2</v>
      </c>
      <c r="D180" s="5" t="s">
        <v>408</v>
      </c>
      <c r="E180" s="5" t="str">
        <f>E284</f>
        <v>Програма «Воєнний стан: інформування Сумської міської територіальної громади» на 2022 рік</v>
      </c>
      <c r="F180" s="5" t="str">
        <f>F284</f>
        <v>від 11.05.2022 № 140 (зі змінами)</v>
      </c>
      <c r="G180" s="31">
        <f aca="true" t="shared" si="5" ref="G180:G223">H180+I180</f>
        <v>34000</v>
      </c>
      <c r="H180" s="31">
        <f>31000-18000+21000</f>
        <v>34000</v>
      </c>
      <c r="I180" s="31"/>
      <c r="J180" s="31"/>
      <c r="K180" s="109"/>
    </row>
    <row r="181" spans="1:11" ht="197.25" customHeight="1">
      <c r="A181" s="4" t="s">
        <v>244</v>
      </c>
      <c r="B181" s="4" t="s">
        <v>242</v>
      </c>
      <c r="C181" s="4" t="s">
        <v>30</v>
      </c>
      <c r="D181" s="5" t="s">
        <v>50</v>
      </c>
      <c r="E181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1" s="5" t="str">
        <f>F288</f>
        <v>від 26.01.2022 року № 2718- МР (зі змінами)</v>
      </c>
      <c r="G181" s="31">
        <f t="shared" si="5"/>
        <v>124000</v>
      </c>
      <c r="H181" s="31">
        <f>200000-76000</f>
        <v>124000</v>
      </c>
      <c r="I181" s="31"/>
      <c r="J181" s="31"/>
      <c r="K181" s="109"/>
    </row>
    <row r="182" spans="1:12" s="3" customFormat="1" ht="168.75" customHeight="1">
      <c r="A182" s="4" t="s">
        <v>156</v>
      </c>
      <c r="B182" s="4" t="s">
        <v>103</v>
      </c>
      <c r="C182" s="4" t="s">
        <v>23</v>
      </c>
      <c r="D182" s="5" t="s">
        <v>104</v>
      </c>
      <c r="E182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5" t="str">
        <f>F288</f>
        <v>від 26.01.2022 року № 2718- МР (зі змінами)</v>
      </c>
      <c r="G182" s="31">
        <f t="shared" si="5"/>
        <v>1460000</v>
      </c>
      <c r="H182" s="31"/>
      <c r="I182" s="31">
        <f>4000000+700000+860000-2600000-2900000+1400000</f>
        <v>1460000</v>
      </c>
      <c r="J182" s="31">
        <f>4700000+860000-2600000-2900000+1400000</f>
        <v>1460000</v>
      </c>
      <c r="K182" s="109"/>
      <c r="L182" s="70"/>
    </row>
    <row r="183" spans="1:12" s="3" customFormat="1" ht="161.25" customHeight="1">
      <c r="A183" s="119" t="s">
        <v>157</v>
      </c>
      <c r="B183" s="119" t="s">
        <v>107</v>
      </c>
      <c r="C183" s="111" t="s">
        <v>8</v>
      </c>
      <c r="D183" s="116" t="s">
        <v>108</v>
      </c>
      <c r="E183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3" s="5" t="str">
        <f>F288</f>
        <v>від 26.01.2022 року № 2718- МР (зі змінами)</v>
      </c>
      <c r="G183" s="31">
        <f t="shared" si="5"/>
        <v>6071340</v>
      </c>
      <c r="H183" s="31">
        <f>576000+5000000+44000+120000+132000+199340</f>
        <v>6071340</v>
      </c>
      <c r="I183" s="31"/>
      <c r="J183" s="31"/>
      <c r="K183" s="109"/>
      <c r="L183" s="70"/>
    </row>
    <row r="184" spans="1:12" s="3" customFormat="1" ht="182.25" customHeight="1" hidden="1">
      <c r="A184" s="119"/>
      <c r="B184" s="119"/>
      <c r="C184" s="111"/>
      <c r="D184" s="116"/>
      <c r="E184" s="7" t="s">
        <v>396</v>
      </c>
      <c r="F184" s="5" t="s">
        <v>333</v>
      </c>
      <c r="G184" s="31">
        <f t="shared" si="5"/>
        <v>0</v>
      </c>
      <c r="H184" s="31"/>
      <c r="I184" s="31"/>
      <c r="J184" s="31"/>
      <c r="K184" s="109"/>
      <c r="L184" s="70"/>
    </row>
    <row r="185" spans="1:12" s="3" customFormat="1" ht="158.25" customHeight="1">
      <c r="A185" s="6" t="s">
        <v>566</v>
      </c>
      <c r="B185" s="6" t="s">
        <v>567</v>
      </c>
      <c r="C185" s="4" t="s">
        <v>8</v>
      </c>
      <c r="D185" s="5" t="s">
        <v>568</v>
      </c>
      <c r="E185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5" s="7" t="str">
        <f>F288</f>
        <v>від 26.01.2022 року № 2718- МР (зі змінами)</v>
      </c>
      <c r="G185" s="31">
        <f t="shared" si="5"/>
        <v>300000</v>
      </c>
      <c r="H185" s="31">
        <v>300000</v>
      </c>
      <c r="I185" s="31"/>
      <c r="J185" s="31"/>
      <c r="K185" s="109"/>
      <c r="L185" s="70"/>
    </row>
    <row r="186" spans="1:12" s="3" customFormat="1" ht="132" customHeight="1">
      <c r="A186" s="6" t="s">
        <v>197</v>
      </c>
      <c r="B186" s="6" t="s">
        <v>198</v>
      </c>
      <c r="C186" s="4" t="s">
        <v>8</v>
      </c>
      <c r="D186" s="5" t="s">
        <v>199</v>
      </c>
      <c r="E186" s="7" t="str">
        <f>E309</f>
        <v>Цільова програма капітального ремонту, модернізації, заміни та диспетчеризації ліфтів на 2022-2024 роки </v>
      </c>
      <c r="F186" s="7" t="str">
        <f>F309</f>
        <v>від 26.01.2022 року № 2717-МР </v>
      </c>
      <c r="G186" s="31">
        <f t="shared" si="5"/>
        <v>982274</v>
      </c>
      <c r="H186" s="31">
        <f>100000-100000</f>
        <v>0</v>
      </c>
      <c r="I186" s="31">
        <f>7092274+5000000+300000+2080000-4000000-3850000-5000000-640000</f>
        <v>982274</v>
      </c>
      <c r="J186" s="31">
        <f>7000000+5000000+300000+2080000-4000000-3850000-5000000-640000</f>
        <v>890000</v>
      </c>
      <c r="K186" s="109"/>
      <c r="L186" s="70"/>
    </row>
    <row r="187" spans="1:12" s="3" customFormat="1" ht="159" customHeight="1" hidden="1">
      <c r="A187" s="6" t="s">
        <v>274</v>
      </c>
      <c r="B187" s="6" t="s">
        <v>275</v>
      </c>
      <c r="C187" s="4" t="s">
        <v>8</v>
      </c>
      <c r="D187" s="5" t="s">
        <v>276</v>
      </c>
      <c r="E187" s="5" t="s">
        <v>401</v>
      </c>
      <c r="F187" s="5" t="s">
        <v>391</v>
      </c>
      <c r="G187" s="31">
        <f t="shared" si="5"/>
        <v>0</v>
      </c>
      <c r="H187" s="31"/>
      <c r="I187" s="31"/>
      <c r="J187" s="31"/>
      <c r="K187" s="109"/>
      <c r="L187" s="70"/>
    </row>
    <row r="188" spans="1:12" s="3" customFormat="1" ht="165" customHeight="1">
      <c r="A188" s="4" t="s">
        <v>158</v>
      </c>
      <c r="B188" s="4" t="s">
        <v>105</v>
      </c>
      <c r="C188" s="4" t="s">
        <v>8</v>
      </c>
      <c r="D188" s="5" t="s">
        <v>106</v>
      </c>
      <c r="E18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8" s="5" t="str">
        <f>F288</f>
        <v>від 26.01.2022 року № 2718- МР (зі змінами)</v>
      </c>
      <c r="G188" s="31">
        <f t="shared" si="5"/>
        <v>110000</v>
      </c>
      <c r="H188" s="31">
        <v>110000</v>
      </c>
      <c r="I188" s="31"/>
      <c r="J188" s="31"/>
      <c r="K188" s="109"/>
      <c r="L188" s="70"/>
    </row>
    <row r="189" spans="1:12" s="8" customFormat="1" ht="186" customHeight="1">
      <c r="A189" s="6" t="s">
        <v>159</v>
      </c>
      <c r="B189" s="6" t="s">
        <v>56</v>
      </c>
      <c r="C189" s="4" t="s">
        <v>8</v>
      </c>
      <c r="D189" s="29" t="s">
        <v>109</v>
      </c>
      <c r="E189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9" s="5" t="str">
        <f>F288</f>
        <v>від 26.01.2022 року № 2718- МР (зі змінами)</v>
      </c>
      <c r="G189" s="31">
        <f t="shared" si="5"/>
        <v>350000</v>
      </c>
      <c r="H189" s="31">
        <v>350000</v>
      </c>
      <c r="I189" s="31"/>
      <c r="J189" s="31"/>
      <c r="K189" s="109"/>
      <c r="L189" s="71"/>
    </row>
    <row r="190" spans="1:11" ht="181.5" customHeight="1">
      <c r="A190" s="119" t="s">
        <v>160</v>
      </c>
      <c r="B190" s="119" t="s">
        <v>97</v>
      </c>
      <c r="C190" s="111" t="s">
        <v>8</v>
      </c>
      <c r="D190" s="115" t="s">
        <v>98</v>
      </c>
      <c r="E190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0" s="5" t="str">
        <f>F288</f>
        <v>від 26.01.2022 року № 2718- МР (зі змінами)</v>
      </c>
      <c r="G190" s="31">
        <f t="shared" si="5"/>
        <v>253048859</v>
      </c>
      <c r="H190" s="31">
        <f>265050000-214000+250000+10400000-2690000+2600000-3885000+400000+50000+200000-81500000+150000+5000000+6000000+2000000-44000+9100000+200000-27710+27710-80000+1000000+6000000+200000+2800000+5000000-199340+3500000-500000</f>
        <v>230787660</v>
      </c>
      <c r="I190" s="31">
        <f>42950000-2200000-10000000-1088801-1000000-3500000-1400000-1500000</f>
        <v>22261199</v>
      </c>
      <c r="J190" s="31">
        <f>42950000-2200000-10000000-1088801-1000000-3500000-1400000-1500000</f>
        <v>22261199</v>
      </c>
      <c r="K190" s="109"/>
    </row>
    <row r="191" spans="1:11" ht="153.75" customHeight="1">
      <c r="A191" s="119"/>
      <c r="B191" s="119"/>
      <c r="C191" s="111"/>
      <c r="D191" s="115"/>
      <c r="E191" s="7" t="str">
        <f>E304</f>
        <v>Програма охорони навколишнього природного середовища Сумської міської територіальної громади на 2022-2024 роки</v>
      </c>
      <c r="F191" s="7" t="str">
        <f>F304</f>
        <v>від 27.05.2022 № 162 (зі змінами)</v>
      </c>
      <c r="G191" s="31">
        <f t="shared" si="5"/>
        <v>6780120</v>
      </c>
      <c r="H191" s="31"/>
      <c r="I191" s="31">
        <f>10000000-3186065-33815</f>
        <v>6780120</v>
      </c>
      <c r="J191" s="31">
        <f>10000000-3186065-33815</f>
        <v>6780120</v>
      </c>
      <c r="K191" s="109"/>
    </row>
    <row r="192" spans="1:11" ht="209.25" customHeight="1">
      <c r="A192" s="119"/>
      <c r="B192" s="119"/>
      <c r="C192" s="111"/>
      <c r="D192" s="115"/>
      <c r="E192" s="7" t="str">
        <f>E314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92" s="7" t="str">
        <f>F314</f>
        <v>від 29.09.2021 року № 1603 - МР</v>
      </c>
      <c r="G192" s="31">
        <f t="shared" si="5"/>
        <v>214000</v>
      </c>
      <c r="H192" s="31">
        <v>214000</v>
      </c>
      <c r="I192" s="31"/>
      <c r="J192" s="31"/>
      <c r="K192" s="109"/>
    </row>
    <row r="193" spans="1:11" ht="400.5" customHeight="1">
      <c r="A193" s="6" t="s">
        <v>476</v>
      </c>
      <c r="B193" s="6">
        <v>6071</v>
      </c>
      <c r="C193" s="4" t="s">
        <v>201</v>
      </c>
      <c r="D193" s="29" t="s">
        <v>477</v>
      </c>
      <c r="E193" s="45" t="str">
        <f>E316</f>
        <v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v>
      </c>
      <c r="F193" s="45" t="str">
        <f>F316</f>
        <v>від 26.01.2022 року № 2712-МР (зі змінами)</v>
      </c>
      <c r="G193" s="31">
        <f t="shared" si="5"/>
        <v>176937574</v>
      </c>
      <c r="H193" s="31">
        <f>180117574-3180000</f>
        <v>176937574</v>
      </c>
      <c r="I193" s="31"/>
      <c r="J193" s="31"/>
      <c r="K193" s="104"/>
    </row>
    <row r="194" spans="1:11" ht="398.25" customHeight="1" hidden="1">
      <c r="A194" s="6" t="s">
        <v>465</v>
      </c>
      <c r="B194" s="4">
        <v>6083</v>
      </c>
      <c r="C194" s="4" t="s">
        <v>23</v>
      </c>
      <c r="D194" s="5" t="s">
        <v>384</v>
      </c>
      <c r="E194" s="5" t="str">
        <f>E297</f>
        <v>Програма з реалізації Конвенції ООН про права дитини Сумської міської територіальної громади на 2022-2024 роки</v>
      </c>
      <c r="F194" s="5" t="str">
        <f>F297</f>
        <v>від 29.09.2021 року № 1604-МР</v>
      </c>
      <c r="G194" s="31">
        <f t="shared" si="5"/>
        <v>0</v>
      </c>
      <c r="H194" s="31"/>
      <c r="I194" s="31"/>
      <c r="J194" s="31"/>
      <c r="K194" s="104"/>
    </row>
    <row r="195" spans="1:11" ht="201" customHeight="1">
      <c r="A195" s="119" t="s">
        <v>180</v>
      </c>
      <c r="B195" s="119" t="s">
        <v>181</v>
      </c>
      <c r="C195" s="111" t="s">
        <v>201</v>
      </c>
      <c r="D195" s="115" t="s">
        <v>200</v>
      </c>
      <c r="E195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5" s="5" t="str">
        <f>F288</f>
        <v>від 26.01.2022 року № 2718- МР (зі змінами)</v>
      </c>
      <c r="G195" s="31">
        <f t="shared" si="5"/>
        <v>8060464</v>
      </c>
      <c r="H195" s="31">
        <f>6452564-120000-52000</f>
        <v>6280564</v>
      </c>
      <c r="I195" s="31">
        <v>1779900</v>
      </c>
      <c r="J195" s="31"/>
      <c r="K195" s="109">
        <v>51</v>
      </c>
    </row>
    <row r="196" spans="1:11" ht="201" customHeight="1">
      <c r="A196" s="119"/>
      <c r="B196" s="119"/>
      <c r="C196" s="111"/>
      <c r="D196" s="115"/>
      <c r="E196" s="5" t="s">
        <v>612</v>
      </c>
      <c r="F196" s="5" t="s">
        <v>613</v>
      </c>
      <c r="G196" s="31">
        <f t="shared" si="5"/>
        <v>1500000</v>
      </c>
      <c r="H196" s="31">
        <v>1500000</v>
      </c>
      <c r="I196" s="31"/>
      <c r="J196" s="31"/>
      <c r="K196" s="109"/>
    </row>
    <row r="197" spans="1:11" ht="177" customHeight="1">
      <c r="A197" s="119"/>
      <c r="B197" s="119"/>
      <c r="C197" s="111"/>
      <c r="D197" s="115"/>
      <c r="E197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97" s="7" t="str">
        <f>F301</f>
        <v>від 26.01.2022 року № 2705-МР (зі змінами)</v>
      </c>
      <c r="G197" s="31">
        <f t="shared" si="5"/>
        <v>21000000</v>
      </c>
      <c r="H197" s="31">
        <f>42000000-21000000</f>
        <v>21000000</v>
      </c>
      <c r="I197" s="31"/>
      <c r="J197" s="31"/>
      <c r="K197" s="109"/>
    </row>
    <row r="198" spans="1:11" ht="169.5" customHeight="1">
      <c r="A198" s="119"/>
      <c r="B198" s="119"/>
      <c r="C198" s="111"/>
      <c r="D198" s="115"/>
      <c r="E198" s="5" t="str">
        <f>E303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8" s="5" t="str">
        <f>F303</f>
        <v>від 11.05.2022 № 139</v>
      </c>
      <c r="G198" s="31">
        <f t="shared" si="5"/>
        <v>659196</v>
      </c>
      <c r="H198" s="31">
        <v>659196</v>
      </c>
      <c r="I198" s="31"/>
      <c r="J198" s="31"/>
      <c r="K198" s="109"/>
    </row>
    <row r="199" spans="1:11" ht="162.75" customHeight="1">
      <c r="A199" s="129" t="s">
        <v>565</v>
      </c>
      <c r="B199" s="122" t="s">
        <v>202</v>
      </c>
      <c r="C199" s="122" t="s">
        <v>62</v>
      </c>
      <c r="D199" s="113" t="s">
        <v>528</v>
      </c>
      <c r="E199" s="7" t="str">
        <f>E304</f>
        <v>Програма охорони навколишнього природного середовища Сумської міської територіальної громади на 2022-2024 роки</v>
      </c>
      <c r="F199" s="7" t="str">
        <f>F304</f>
        <v>від 27.05.2022 № 162 (зі змінами)</v>
      </c>
      <c r="G199" s="31">
        <f t="shared" si="5"/>
        <v>27383553.4</v>
      </c>
      <c r="H199" s="31"/>
      <c r="I199" s="31">
        <f>22383553.4+5000000</f>
        <v>27383553.4</v>
      </c>
      <c r="J199" s="31">
        <f>22383553.4+5000000</f>
        <v>27383553.4</v>
      </c>
      <c r="K199" s="109"/>
    </row>
    <row r="200" spans="1:11" ht="186.75" customHeight="1">
      <c r="A200" s="123"/>
      <c r="B200" s="123"/>
      <c r="C200" s="123"/>
      <c r="D200" s="114"/>
      <c r="E200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0" s="7" t="str">
        <f>F288</f>
        <v>від 26.01.2022 року № 2718- МР (зі змінами)</v>
      </c>
      <c r="G200" s="31">
        <f t="shared" si="5"/>
        <v>13583283.6</v>
      </c>
      <c r="H200" s="31"/>
      <c r="I200" s="31">
        <f>13823283.6-240000</f>
        <v>13583283.6</v>
      </c>
      <c r="J200" s="31">
        <f>13823283.6-240000</f>
        <v>13583283.6</v>
      </c>
      <c r="K200" s="109"/>
    </row>
    <row r="201" spans="1:11" ht="168" customHeight="1">
      <c r="A201" s="111" t="s">
        <v>203</v>
      </c>
      <c r="B201" s="111" t="s">
        <v>204</v>
      </c>
      <c r="C201" s="111" t="s">
        <v>62</v>
      </c>
      <c r="D201" s="116" t="s">
        <v>529</v>
      </c>
      <c r="E201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5" t="str">
        <f>F288</f>
        <v>від 26.01.2022 року № 2718- МР (зі змінами)</v>
      </c>
      <c r="G201" s="31">
        <f t="shared" si="5"/>
        <v>4777056</v>
      </c>
      <c r="H201" s="31"/>
      <c r="I201" s="31">
        <f>60600000+500000+1700000-20000000-1100000-400000-1100000-1000000-200000-24000000-12500000+76000+2200000+1056</f>
        <v>4777056</v>
      </c>
      <c r="J201" s="31">
        <f>60600000+500000+1700000-20000000-1100000-400000-1100000-1000000-200000-24000000-12500000+76000+2200000+1056</f>
        <v>4777056</v>
      </c>
      <c r="K201" s="109"/>
    </row>
    <row r="202" spans="1:11" ht="132.75" customHeight="1" hidden="1">
      <c r="A202" s="111"/>
      <c r="B202" s="111"/>
      <c r="C202" s="111"/>
      <c r="D202" s="116"/>
      <c r="E202" s="7" t="s">
        <v>396</v>
      </c>
      <c r="F202" s="5" t="s">
        <v>333</v>
      </c>
      <c r="G202" s="31">
        <f t="shared" si="5"/>
        <v>0</v>
      </c>
      <c r="H202" s="31"/>
      <c r="I202" s="31"/>
      <c r="J202" s="31"/>
      <c r="K202" s="109"/>
    </row>
    <row r="203" spans="1:11" ht="112.5" customHeight="1" hidden="1">
      <c r="A203" s="111"/>
      <c r="B203" s="111"/>
      <c r="C203" s="111"/>
      <c r="D203" s="116"/>
      <c r="E203" s="7"/>
      <c r="F203" s="5"/>
      <c r="G203" s="31">
        <f t="shared" si="5"/>
        <v>0</v>
      </c>
      <c r="H203" s="31"/>
      <c r="I203" s="31"/>
      <c r="J203" s="31"/>
      <c r="K203" s="109"/>
    </row>
    <row r="204" spans="1:11" ht="184.5" customHeight="1" hidden="1">
      <c r="A204" s="4" t="s">
        <v>161</v>
      </c>
      <c r="B204" s="4" t="s">
        <v>99</v>
      </c>
      <c r="C204" s="4" t="s">
        <v>62</v>
      </c>
      <c r="D204" s="5" t="s">
        <v>100</v>
      </c>
      <c r="E204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4" s="5" t="str">
        <f>F288</f>
        <v>від 26.01.2022 року № 2718- МР (зі змінами)</v>
      </c>
      <c r="G204" s="31">
        <f t="shared" si="5"/>
        <v>0</v>
      </c>
      <c r="H204" s="31"/>
      <c r="I204" s="31"/>
      <c r="J204" s="31"/>
      <c r="K204" s="109"/>
    </row>
    <row r="205" spans="1:12" s="3" customFormat="1" ht="177" customHeight="1" hidden="1">
      <c r="A205" s="4" t="s">
        <v>287</v>
      </c>
      <c r="B205" s="4" t="s">
        <v>288</v>
      </c>
      <c r="C205" s="4" t="s">
        <v>4</v>
      </c>
      <c r="D205" s="5" t="s">
        <v>289</v>
      </c>
      <c r="E205" s="7" t="s">
        <v>396</v>
      </c>
      <c r="F205" s="7" t="s">
        <v>396</v>
      </c>
      <c r="G205" s="31">
        <f t="shared" si="5"/>
        <v>0</v>
      </c>
      <c r="H205" s="31"/>
      <c r="I205" s="31"/>
      <c r="J205" s="31"/>
      <c r="K205" s="109"/>
      <c r="L205" s="70"/>
    </row>
    <row r="206" spans="1:12" s="3" customFormat="1" ht="409.5" customHeight="1" hidden="1">
      <c r="A206" s="4" t="s">
        <v>345</v>
      </c>
      <c r="B206" s="4">
        <v>7362</v>
      </c>
      <c r="C206" s="4" t="s">
        <v>4</v>
      </c>
      <c r="D206" s="29" t="s">
        <v>365</v>
      </c>
      <c r="E206" s="5" t="s">
        <v>401</v>
      </c>
      <c r="F206" s="5" t="s">
        <v>401</v>
      </c>
      <c r="G206" s="31">
        <f t="shared" si="5"/>
        <v>0</v>
      </c>
      <c r="H206" s="31"/>
      <c r="I206" s="31"/>
      <c r="J206" s="31"/>
      <c r="K206" s="109"/>
      <c r="L206" s="70"/>
    </row>
    <row r="207" spans="1:12" s="3" customFormat="1" ht="177">
      <c r="A207" s="4" t="s">
        <v>277</v>
      </c>
      <c r="B207" s="4" t="s">
        <v>271</v>
      </c>
      <c r="C207" s="4" t="s">
        <v>4</v>
      </c>
      <c r="D207" s="5" t="s">
        <v>272</v>
      </c>
      <c r="E207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7" s="5" t="str">
        <f>F288</f>
        <v>від 26.01.2022 року № 2718- МР (зі змінами)</v>
      </c>
      <c r="G207" s="31">
        <f t="shared" si="5"/>
        <v>6000000</v>
      </c>
      <c r="H207" s="31"/>
      <c r="I207" s="31">
        <v>6000000</v>
      </c>
      <c r="J207" s="31">
        <v>6000000</v>
      </c>
      <c r="K207" s="109"/>
      <c r="L207" s="70"/>
    </row>
    <row r="208" spans="1:12" s="8" customFormat="1" ht="174" customHeight="1">
      <c r="A208" s="4" t="s">
        <v>162</v>
      </c>
      <c r="B208" s="4" t="s">
        <v>80</v>
      </c>
      <c r="C208" s="4" t="s">
        <v>25</v>
      </c>
      <c r="D208" s="5" t="s">
        <v>53</v>
      </c>
      <c r="E20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8" s="5" t="str">
        <f>F288</f>
        <v>від 26.01.2022 року № 2718- МР (зі змінами)</v>
      </c>
      <c r="G208" s="31">
        <f t="shared" si="5"/>
        <v>2900000</v>
      </c>
      <c r="H208" s="31">
        <v>2900000</v>
      </c>
      <c r="I208" s="31"/>
      <c r="J208" s="31"/>
      <c r="K208" s="109"/>
      <c r="L208" s="71"/>
    </row>
    <row r="209" spans="1:12" s="8" customFormat="1" ht="177" customHeight="1" hidden="1">
      <c r="A209" s="122" t="s">
        <v>336</v>
      </c>
      <c r="B209" s="122">
        <v>7670</v>
      </c>
      <c r="C209" s="122" t="s">
        <v>4</v>
      </c>
      <c r="D209" s="120" t="s">
        <v>47</v>
      </c>
      <c r="E209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9" s="5" t="str">
        <f>F288</f>
        <v>від 26.01.2022 року № 2718- МР (зі змінами)</v>
      </c>
      <c r="G209" s="31">
        <f t="shared" si="5"/>
        <v>0</v>
      </c>
      <c r="H209" s="31"/>
      <c r="I209" s="31"/>
      <c r="J209" s="31"/>
      <c r="K209" s="109"/>
      <c r="L209" s="71"/>
    </row>
    <row r="210" spans="1:12" s="8" customFormat="1" ht="168" customHeight="1">
      <c r="A210" s="129"/>
      <c r="B210" s="129"/>
      <c r="C210" s="129"/>
      <c r="D210" s="133"/>
      <c r="E210" s="7" t="str">
        <f>E304</f>
        <v>Програма охорони навколишнього природного середовища Сумської міської територіальної громади на 2022-2024 роки</v>
      </c>
      <c r="F210" s="7" t="str">
        <f>F304</f>
        <v>від 27.05.2022 № 162 (зі змінами)</v>
      </c>
      <c r="G210" s="31">
        <f t="shared" si="5"/>
        <v>47115000</v>
      </c>
      <c r="H210" s="31"/>
      <c r="I210" s="31">
        <f>52115000-5000000</f>
        <v>47115000</v>
      </c>
      <c r="J210" s="31">
        <f>52115000-5000000</f>
        <v>47115000</v>
      </c>
      <c r="K210" s="109"/>
      <c r="L210" s="71"/>
    </row>
    <row r="211" spans="1:12" s="8" customFormat="1" ht="162" customHeight="1">
      <c r="A211" s="123"/>
      <c r="B211" s="123"/>
      <c r="C211" s="123"/>
      <c r="D211" s="121"/>
      <c r="E211" s="7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7" t="str">
        <f>F288</f>
        <v>від 26.01.2022 року № 2718- МР (зі змінами)</v>
      </c>
      <c r="G211" s="31">
        <f t="shared" si="5"/>
        <v>5240000</v>
      </c>
      <c r="H211" s="31"/>
      <c r="I211" s="31">
        <f>5000000+240000</f>
        <v>5240000</v>
      </c>
      <c r="J211" s="31">
        <f>5000000+240000</f>
        <v>5240000</v>
      </c>
      <c r="K211" s="109"/>
      <c r="L211" s="71"/>
    </row>
    <row r="212" spans="1:12" s="3" customFormat="1" ht="316.5" customHeight="1">
      <c r="A212" s="111" t="s">
        <v>235</v>
      </c>
      <c r="B212" s="111" t="s">
        <v>236</v>
      </c>
      <c r="C212" s="111" t="s">
        <v>4</v>
      </c>
      <c r="D212" s="116" t="s">
        <v>252</v>
      </c>
      <c r="E212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2" s="5" t="str">
        <f>F288</f>
        <v>від 26.01.2022 року № 2718- МР (зі змінами)</v>
      </c>
      <c r="G212" s="31">
        <f>H212+I212</f>
        <v>855661</v>
      </c>
      <c r="H212" s="31"/>
      <c r="I212" s="31">
        <f>2208261-I213</f>
        <v>855661</v>
      </c>
      <c r="J212" s="31"/>
      <c r="K212" s="109">
        <v>52</v>
      </c>
      <c r="L212" s="70"/>
    </row>
    <row r="213" spans="1:12" s="3" customFormat="1" ht="131.25" customHeight="1">
      <c r="A213" s="111"/>
      <c r="B213" s="111"/>
      <c r="C213" s="111"/>
      <c r="D213" s="116"/>
      <c r="E213" s="7" t="str">
        <f>E309</f>
        <v>Цільова програма капітального ремонту, модернізації, заміни та диспетчеризації ліфтів на 2022-2024 роки </v>
      </c>
      <c r="F213" s="7" t="str">
        <f>F309</f>
        <v>від 26.01.2022 року № 2717-МР </v>
      </c>
      <c r="G213" s="31">
        <f t="shared" si="5"/>
        <v>1352600</v>
      </c>
      <c r="H213" s="31"/>
      <c r="I213" s="31">
        <v>1352600</v>
      </c>
      <c r="J213" s="31"/>
      <c r="K213" s="109"/>
      <c r="L213" s="70"/>
    </row>
    <row r="214" spans="1:12" s="3" customFormat="1" ht="210.75" customHeight="1">
      <c r="A214" s="4" t="s">
        <v>372</v>
      </c>
      <c r="B214" s="4">
        <v>8110</v>
      </c>
      <c r="C214" s="4" t="s">
        <v>89</v>
      </c>
      <c r="D214" s="5" t="s">
        <v>373</v>
      </c>
      <c r="E214" s="5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214" s="5" t="str">
        <f>F298</f>
        <v>від 27.10.2021 року № 2001-МР (зі змінами)</v>
      </c>
      <c r="G214" s="31">
        <f t="shared" si="5"/>
        <v>13850000</v>
      </c>
      <c r="H214" s="31">
        <f>2775000+2225000+5000000+3850000</f>
        <v>13850000</v>
      </c>
      <c r="I214" s="31"/>
      <c r="J214" s="31"/>
      <c r="K214" s="109"/>
      <c r="L214" s="70"/>
    </row>
    <row r="215" spans="1:11" ht="221.25" customHeight="1" hidden="1">
      <c r="A215" s="4" t="s">
        <v>371</v>
      </c>
      <c r="B215" s="4">
        <v>8230</v>
      </c>
      <c r="C215" s="4" t="s">
        <v>187</v>
      </c>
      <c r="D215" s="5" t="s">
        <v>188</v>
      </c>
      <c r="E215" s="5" t="s">
        <v>401</v>
      </c>
      <c r="F215" s="5" t="s">
        <v>391</v>
      </c>
      <c r="G215" s="31">
        <f t="shared" si="5"/>
        <v>0</v>
      </c>
      <c r="H215" s="31"/>
      <c r="I215" s="31"/>
      <c r="J215" s="31"/>
      <c r="K215" s="109"/>
    </row>
    <row r="216" spans="1:11" ht="221.25" customHeight="1">
      <c r="A216" s="4" t="s">
        <v>606</v>
      </c>
      <c r="B216" s="4" t="s">
        <v>607</v>
      </c>
      <c r="C216" s="4" t="s">
        <v>608</v>
      </c>
      <c r="D216" s="5" t="s">
        <v>609</v>
      </c>
      <c r="E216" s="7" t="str">
        <f>E304</f>
        <v>Програма охорони навколишнього природного середовища Сумської міської територіальної громади на 2022-2024 роки</v>
      </c>
      <c r="F216" s="7" t="str">
        <f>F304</f>
        <v>від 27.05.2022 № 162 (зі змінами)</v>
      </c>
      <c r="G216" s="31">
        <f t="shared" si="5"/>
        <v>500000</v>
      </c>
      <c r="H216" s="31">
        <v>500000</v>
      </c>
      <c r="I216" s="31"/>
      <c r="J216" s="31"/>
      <c r="K216" s="109"/>
    </row>
    <row r="217" spans="1:11" ht="161.25" customHeight="1">
      <c r="A217" s="4" t="s">
        <v>164</v>
      </c>
      <c r="B217" s="4" t="s">
        <v>76</v>
      </c>
      <c r="C217" s="4" t="s">
        <v>12</v>
      </c>
      <c r="D217" s="5" t="s">
        <v>77</v>
      </c>
      <c r="E217" s="7" t="str">
        <f>E304</f>
        <v>Програма охорони навколишнього природного середовища Сумської міської територіальної громади на 2022-2024 роки</v>
      </c>
      <c r="F217" s="7" t="str">
        <f>F304</f>
        <v>від 27.05.2022 № 162 (зі змінами)</v>
      </c>
      <c r="G217" s="31">
        <f t="shared" si="5"/>
        <v>4617996</v>
      </c>
      <c r="H217" s="31"/>
      <c r="I217" s="31">
        <f>3591000+922996+104000</f>
        <v>4617996</v>
      </c>
      <c r="J217" s="31"/>
      <c r="K217" s="109"/>
    </row>
    <row r="218" spans="1:11" ht="177" customHeight="1" hidden="1">
      <c r="A218" s="4" t="s">
        <v>471</v>
      </c>
      <c r="B218" s="4">
        <v>8861</v>
      </c>
      <c r="C218" s="4" t="s">
        <v>4</v>
      </c>
      <c r="D218" s="5" t="s">
        <v>446</v>
      </c>
      <c r="E21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8" s="5" t="str">
        <f>F288</f>
        <v>від 26.01.2022 року № 2718- МР (зі змінами)</v>
      </c>
      <c r="G218" s="31">
        <f t="shared" si="5"/>
        <v>0</v>
      </c>
      <c r="H218" s="31"/>
      <c r="I218" s="31"/>
      <c r="J218" s="31"/>
      <c r="K218" s="109"/>
    </row>
    <row r="219" spans="1:11" ht="295.5" customHeight="1">
      <c r="A219" s="4" t="s">
        <v>587</v>
      </c>
      <c r="B219" s="4" t="s">
        <v>588</v>
      </c>
      <c r="C219" s="4" t="s">
        <v>201</v>
      </c>
      <c r="D219" s="5" t="s">
        <v>589</v>
      </c>
      <c r="E219" s="7" t="str">
        <f>E298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219" s="7" t="str">
        <f>F298</f>
        <v>від 27.10.2021 року № 2001-МР (зі змінами)</v>
      </c>
      <c r="G219" s="31">
        <f t="shared" si="5"/>
        <v>800000</v>
      </c>
      <c r="H219" s="31">
        <v>800000</v>
      </c>
      <c r="I219" s="31"/>
      <c r="J219" s="31"/>
      <c r="K219" s="109"/>
    </row>
    <row r="220" spans="1:12" s="3" customFormat="1" ht="171" customHeight="1">
      <c r="A220" s="4" t="s">
        <v>165</v>
      </c>
      <c r="B220" s="4" t="s">
        <v>101</v>
      </c>
      <c r="C220" s="4" t="s">
        <v>4</v>
      </c>
      <c r="D220" s="5" t="s">
        <v>530</v>
      </c>
      <c r="E220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0" s="5" t="str">
        <f>F288</f>
        <v>від 26.01.2022 року № 2718- МР (зі змінами)</v>
      </c>
      <c r="G220" s="31">
        <f t="shared" si="5"/>
        <v>-7754092</v>
      </c>
      <c r="H220" s="31"/>
      <c r="I220" s="31">
        <v>-7754092</v>
      </c>
      <c r="J220" s="31">
        <v>-7754092</v>
      </c>
      <c r="K220" s="109"/>
      <c r="L220" s="70"/>
    </row>
    <row r="221" spans="1:12" s="3" customFormat="1" ht="177.75" customHeight="1">
      <c r="A221" s="4" t="s">
        <v>544</v>
      </c>
      <c r="B221" s="4" t="s">
        <v>545</v>
      </c>
      <c r="C221" s="4" t="s">
        <v>26</v>
      </c>
      <c r="D221" s="5" t="s">
        <v>546</v>
      </c>
      <c r="E221" s="7" t="str">
        <f>E276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1" s="7" t="str">
        <f>F276</f>
        <v>від 26.01.2022 року № 2705-МР (зі змінами)</v>
      </c>
      <c r="G221" s="31">
        <f t="shared" si="5"/>
        <v>800000</v>
      </c>
      <c r="H221" s="31"/>
      <c r="I221" s="31">
        <v>800000</v>
      </c>
      <c r="J221" s="31">
        <v>800000</v>
      </c>
      <c r="K221" s="109"/>
      <c r="L221" s="70"/>
    </row>
    <row r="222" spans="1:12" s="8" customFormat="1" ht="170.25" customHeight="1">
      <c r="A222" s="6" t="s">
        <v>163</v>
      </c>
      <c r="B222" s="6" t="s">
        <v>74</v>
      </c>
      <c r="C222" s="4" t="s">
        <v>26</v>
      </c>
      <c r="D222" s="5" t="s">
        <v>75</v>
      </c>
      <c r="E222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2" s="5" t="str">
        <f>F288</f>
        <v>від 26.01.2022 року № 2718- МР (зі змінами)</v>
      </c>
      <c r="G222" s="31">
        <f t="shared" si="5"/>
        <v>12000000</v>
      </c>
      <c r="H222" s="31">
        <v>8896240</v>
      </c>
      <c r="I222" s="31">
        <v>3103760</v>
      </c>
      <c r="J222" s="31">
        <v>3103760</v>
      </c>
      <c r="K222" s="109"/>
      <c r="L222" s="71"/>
    </row>
    <row r="223" spans="1:12" s="8" customFormat="1" ht="409.5" customHeight="1">
      <c r="A223" s="6" t="s">
        <v>575</v>
      </c>
      <c r="B223" s="6" t="s">
        <v>267</v>
      </c>
      <c r="C223" s="4" t="s">
        <v>26</v>
      </c>
      <c r="D223" s="5" t="s">
        <v>268</v>
      </c>
      <c r="E223" s="45" t="str">
        <f>E316</f>
        <v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v>
      </c>
      <c r="F223" s="45" t="str">
        <f>F316</f>
        <v>від 26.01.2022 року № 2712-МР (зі змінами)</v>
      </c>
      <c r="G223" s="31">
        <f t="shared" si="5"/>
        <v>2680000</v>
      </c>
      <c r="H223" s="31">
        <v>2680000</v>
      </c>
      <c r="I223" s="31"/>
      <c r="J223" s="31"/>
      <c r="K223" s="109"/>
      <c r="L223" s="71"/>
    </row>
    <row r="224" spans="1:12" s="2" customFormat="1" ht="156.75" customHeight="1" hidden="1">
      <c r="A224" s="10"/>
      <c r="B224" s="10"/>
      <c r="C224" s="10"/>
      <c r="D224" s="50" t="s">
        <v>380</v>
      </c>
      <c r="E224" s="50"/>
      <c r="F224" s="50"/>
      <c r="G224" s="35">
        <f>SUM(G225)</f>
        <v>0</v>
      </c>
      <c r="H224" s="35">
        <f>SUM(H225)</f>
        <v>0</v>
      </c>
      <c r="I224" s="35">
        <f>SUM(I225)</f>
        <v>0</v>
      </c>
      <c r="J224" s="35">
        <f>SUM(J225)</f>
        <v>0</v>
      </c>
      <c r="K224" s="104"/>
      <c r="L224" s="72"/>
    </row>
    <row r="225" spans="1:11" ht="195" customHeight="1" hidden="1">
      <c r="A225" s="6" t="s">
        <v>379</v>
      </c>
      <c r="B225" s="6" t="s">
        <v>69</v>
      </c>
      <c r="C225" s="4" t="s">
        <v>2</v>
      </c>
      <c r="D225" s="5" t="s">
        <v>70</v>
      </c>
      <c r="E225" s="5" t="s">
        <v>399</v>
      </c>
      <c r="F225" s="5" t="s">
        <v>332</v>
      </c>
      <c r="G225" s="31">
        <f>H225+I225</f>
        <v>0</v>
      </c>
      <c r="H225" s="31"/>
      <c r="I225" s="31"/>
      <c r="J225" s="31"/>
      <c r="K225" s="104"/>
    </row>
    <row r="226" spans="1:12" s="2" customFormat="1" ht="174" customHeight="1">
      <c r="A226" s="10"/>
      <c r="B226" s="10"/>
      <c r="C226" s="10"/>
      <c r="D226" s="50" t="s">
        <v>169</v>
      </c>
      <c r="E226" s="50"/>
      <c r="F226" s="50"/>
      <c r="G226" s="35">
        <f>SUM(G227:G255)</f>
        <v>209022639.88</v>
      </c>
      <c r="H226" s="35">
        <f>SUM(H227:H255)</f>
        <v>2241538</v>
      </c>
      <c r="I226" s="35">
        <f>SUM(I227:I255)</f>
        <v>206781101.88</v>
      </c>
      <c r="J226" s="35">
        <f>SUM(J227:J255)</f>
        <v>202610746</v>
      </c>
      <c r="K226" s="109">
        <v>53</v>
      </c>
      <c r="L226" s="72"/>
    </row>
    <row r="227" spans="1:11" ht="174" customHeight="1" hidden="1">
      <c r="A227" s="6" t="s">
        <v>170</v>
      </c>
      <c r="B227" s="6" t="s">
        <v>69</v>
      </c>
      <c r="C227" s="4" t="s">
        <v>2</v>
      </c>
      <c r="D227" s="5" t="s">
        <v>70</v>
      </c>
      <c r="E227" s="5" t="s">
        <v>399</v>
      </c>
      <c r="F227" s="5" t="s">
        <v>332</v>
      </c>
      <c r="G227" s="31">
        <f aca="true" t="shared" si="6" ref="G227:G255">H227+I227</f>
        <v>0</v>
      </c>
      <c r="H227" s="31"/>
      <c r="I227" s="31"/>
      <c r="J227" s="31"/>
      <c r="K227" s="109"/>
    </row>
    <row r="228" spans="1:11" ht="177" customHeight="1">
      <c r="A228" s="6" t="s">
        <v>543</v>
      </c>
      <c r="B228" s="6" t="s">
        <v>36</v>
      </c>
      <c r="C228" s="4" t="s">
        <v>14</v>
      </c>
      <c r="D228" s="5" t="s">
        <v>81</v>
      </c>
      <c r="E228" s="5" t="str">
        <f>E286</f>
        <v>Комплексна програма Сумської міської територіальної громади «Освіта на 2022 - 2024 роки» </v>
      </c>
      <c r="F228" s="5" t="str">
        <f>F286</f>
        <v>від 24.11.2021 року № 2512 - МР</v>
      </c>
      <c r="G228" s="31">
        <f>H228+I228</f>
        <v>5715036</v>
      </c>
      <c r="H228" s="31"/>
      <c r="I228" s="31">
        <f>4915036+1918400-868400-250000</f>
        <v>5715036</v>
      </c>
      <c r="J228" s="31">
        <f>4915036+1918400-868400-250000</f>
        <v>5715036</v>
      </c>
      <c r="K228" s="109"/>
    </row>
    <row r="229" spans="1:11" ht="150.75" customHeight="1">
      <c r="A229" s="6" t="s">
        <v>547</v>
      </c>
      <c r="B229" s="6" t="s">
        <v>549</v>
      </c>
      <c r="C229" s="4" t="s">
        <v>15</v>
      </c>
      <c r="D229" s="5" t="s">
        <v>431</v>
      </c>
      <c r="E229" s="5" t="str">
        <f>E286</f>
        <v>Комплексна програма Сумської міської територіальної громади «Освіта на 2022 - 2024 роки» </v>
      </c>
      <c r="F229" s="5" t="str">
        <f>F286</f>
        <v>від 24.11.2021 року № 2512 - МР</v>
      </c>
      <c r="G229" s="31">
        <f>H229+I229</f>
        <v>4250000</v>
      </c>
      <c r="H229" s="31"/>
      <c r="I229" s="31">
        <f>6050000-1800000</f>
        <v>4250000</v>
      </c>
      <c r="J229" s="31">
        <f>6050000-1800000</f>
        <v>4250000</v>
      </c>
      <c r="K229" s="109"/>
    </row>
    <row r="230" spans="1:11" ht="233.25" customHeight="1" hidden="1">
      <c r="A230" s="6" t="s">
        <v>548</v>
      </c>
      <c r="B230" s="6" t="s">
        <v>550</v>
      </c>
      <c r="C230" s="4" t="s">
        <v>33</v>
      </c>
      <c r="D230" s="5" t="s">
        <v>364</v>
      </c>
      <c r="E230" s="5" t="str">
        <f aca="true" t="shared" si="7" ref="E230:F232">E286</f>
        <v>Комплексна програма Сумської міської територіальної громади «Освіта на 2022 - 2024 роки» </v>
      </c>
      <c r="F230" s="5" t="str">
        <f t="shared" si="7"/>
        <v>від 24.11.2021 року № 2512 - МР</v>
      </c>
      <c r="G230" s="31">
        <f>H230+I230</f>
        <v>0</v>
      </c>
      <c r="H230" s="31"/>
      <c r="I230" s="31">
        <f>831600-831600</f>
        <v>0</v>
      </c>
      <c r="J230" s="31">
        <f>831600-831600</f>
        <v>0</v>
      </c>
      <c r="K230" s="109"/>
    </row>
    <row r="231" spans="1:11" ht="171.75" customHeight="1">
      <c r="A231" s="6" t="s">
        <v>552</v>
      </c>
      <c r="B231" s="6" t="s">
        <v>37</v>
      </c>
      <c r="C231" s="4"/>
      <c r="D231" s="5" t="s">
        <v>48</v>
      </c>
      <c r="E231" s="7" t="str">
        <f t="shared" si="7"/>
        <v>Комплексна Програма Сумської міської територіальної громади «Охорона здоров’я» на 2022-2024 роки»</v>
      </c>
      <c r="F231" s="7" t="str">
        <f t="shared" si="7"/>
        <v>від 26.01.2022 року № 2713- МР (зі змінами)</v>
      </c>
      <c r="G231" s="31">
        <f>H231+I231</f>
        <v>5000000</v>
      </c>
      <c r="H231" s="31"/>
      <c r="I231" s="31">
        <v>5000000</v>
      </c>
      <c r="J231" s="31">
        <v>5000000</v>
      </c>
      <c r="K231" s="109"/>
    </row>
    <row r="232" spans="1:11" ht="174" customHeight="1">
      <c r="A232" s="4" t="s">
        <v>171</v>
      </c>
      <c r="B232" s="4" t="s">
        <v>97</v>
      </c>
      <c r="C232" s="4" t="s">
        <v>8</v>
      </c>
      <c r="D232" s="5" t="s">
        <v>98</v>
      </c>
      <c r="E232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32" s="5" t="str">
        <f t="shared" si="7"/>
        <v>від 26.01.2022 року № 2718- МР (зі змінами)</v>
      </c>
      <c r="G232" s="31">
        <f t="shared" si="6"/>
        <v>55800000</v>
      </c>
      <c r="H232" s="31"/>
      <c r="I232" s="31">
        <f>32000000+4800000-2600000+19800000+500000+1000000+300000</f>
        <v>55800000</v>
      </c>
      <c r="J232" s="31">
        <f>32000000+4800000-2600000+19800000+500000+1000000+300000</f>
        <v>55800000</v>
      </c>
      <c r="K232" s="109"/>
    </row>
    <row r="233" spans="1:12" s="3" customFormat="1" ht="221.25" customHeight="1" hidden="1">
      <c r="A233" s="4" t="s">
        <v>290</v>
      </c>
      <c r="B233" s="4" t="s">
        <v>291</v>
      </c>
      <c r="C233" s="4" t="s">
        <v>23</v>
      </c>
      <c r="D233" s="5" t="s">
        <v>292</v>
      </c>
      <c r="E233" s="7" t="s">
        <v>402</v>
      </c>
      <c r="F233" s="5" t="s">
        <v>391</v>
      </c>
      <c r="G233" s="31">
        <f t="shared" si="6"/>
        <v>0</v>
      </c>
      <c r="H233" s="31"/>
      <c r="I233" s="31"/>
      <c r="J233" s="31"/>
      <c r="K233" s="109"/>
      <c r="L233" s="70"/>
    </row>
    <row r="234" spans="1:12" s="3" customFormat="1" ht="158.25" customHeight="1" hidden="1">
      <c r="A234" s="4" t="s">
        <v>299</v>
      </c>
      <c r="B234" s="4" t="s">
        <v>300</v>
      </c>
      <c r="C234" s="4" t="s">
        <v>23</v>
      </c>
      <c r="D234" s="44" t="s">
        <v>301</v>
      </c>
      <c r="E234" s="5" t="s">
        <v>405</v>
      </c>
      <c r="F234" s="5" t="s">
        <v>406</v>
      </c>
      <c r="G234" s="31">
        <f t="shared" si="6"/>
        <v>0</v>
      </c>
      <c r="H234" s="31"/>
      <c r="I234" s="31"/>
      <c r="J234" s="31"/>
      <c r="K234" s="109"/>
      <c r="L234" s="70"/>
    </row>
    <row r="235" spans="1:12" s="3" customFormat="1" ht="300.75" customHeight="1">
      <c r="A235" s="4" t="s">
        <v>172</v>
      </c>
      <c r="B235" s="4" t="s">
        <v>102</v>
      </c>
      <c r="C235" s="4" t="s">
        <v>23</v>
      </c>
      <c r="D235" s="5" t="s">
        <v>531</v>
      </c>
      <c r="E235" s="7" t="str">
        <f>E302</f>
        <v>Програма молодіжного житлового кредитування Сумської міської територіальної громади на 2022-2024 роки</v>
      </c>
      <c r="F235" s="7" t="str">
        <f>F302</f>
        <v>від 29.09.2021 року № 1602-МР</v>
      </c>
      <c r="G235" s="31">
        <f t="shared" si="6"/>
        <v>135670.88</v>
      </c>
      <c r="H235" s="31"/>
      <c r="I235" s="31">
        <f>110579+25091.88</f>
        <v>135670.88</v>
      </c>
      <c r="J235" s="31"/>
      <c r="K235" s="109"/>
      <c r="L235" s="70"/>
    </row>
    <row r="236" spans="1:12" s="3" customFormat="1" ht="175.5" customHeight="1" hidden="1">
      <c r="A236" s="4" t="s">
        <v>335</v>
      </c>
      <c r="B236" s="4">
        <v>6090</v>
      </c>
      <c r="C236" s="4" t="s">
        <v>201</v>
      </c>
      <c r="D236" s="5" t="s">
        <v>337</v>
      </c>
      <c r="E236" s="7" t="s">
        <v>402</v>
      </c>
      <c r="F236" s="5" t="s">
        <v>391</v>
      </c>
      <c r="G236" s="31">
        <f t="shared" si="6"/>
        <v>0</v>
      </c>
      <c r="H236" s="31"/>
      <c r="I236" s="31"/>
      <c r="J236" s="31"/>
      <c r="K236" s="109"/>
      <c r="L236" s="70"/>
    </row>
    <row r="237" spans="1:11" ht="163.5" customHeight="1">
      <c r="A237" s="4" t="s">
        <v>205</v>
      </c>
      <c r="B237" s="4" t="s">
        <v>202</v>
      </c>
      <c r="C237" s="4" t="s">
        <v>62</v>
      </c>
      <c r="D237" s="29" t="s">
        <v>528</v>
      </c>
      <c r="E237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7" s="7" t="str">
        <f>F301</f>
        <v>від 26.01.2022 року № 2705-МР (зі змінами)</v>
      </c>
      <c r="G237" s="31">
        <f t="shared" si="6"/>
        <v>5500000</v>
      </c>
      <c r="H237" s="31"/>
      <c r="I237" s="31">
        <f>2000000+3500000</f>
        <v>5500000</v>
      </c>
      <c r="J237" s="31">
        <f>2000000+3500000</f>
        <v>5500000</v>
      </c>
      <c r="K237" s="109"/>
    </row>
    <row r="238" spans="1:12" s="3" customFormat="1" ht="221.25" customHeight="1" hidden="1">
      <c r="A238" s="111" t="s">
        <v>206</v>
      </c>
      <c r="B238" s="111" t="s">
        <v>207</v>
      </c>
      <c r="C238" s="111" t="s">
        <v>62</v>
      </c>
      <c r="D238" s="56" t="s">
        <v>442</v>
      </c>
      <c r="E238" s="7" t="s">
        <v>402</v>
      </c>
      <c r="F238" s="5" t="s">
        <v>391</v>
      </c>
      <c r="G238" s="31">
        <f t="shared" si="6"/>
        <v>0</v>
      </c>
      <c r="H238" s="31"/>
      <c r="I238" s="31"/>
      <c r="J238" s="31"/>
      <c r="K238" s="109"/>
      <c r="L238" s="70"/>
    </row>
    <row r="239" spans="1:12" s="3" customFormat="1" ht="164.25" customHeight="1">
      <c r="A239" s="111"/>
      <c r="B239" s="111"/>
      <c r="C239" s="111"/>
      <c r="D239" s="57" t="s">
        <v>439</v>
      </c>
      <c r="E23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9" s="7" t="str">
        <f>F301</f>
        <v>від 26.01.2022 року № 2705-МР (зі змінами)</v>
      </c>
      <c r="G239" s="31">
        <f t="shared" si="6"/>
        <v>8174047</v>
      </c>
      <c r="H239" s="31"/>
      <c r="I239" s="31">
        <f>7500000+300000-300000+1200000-525953</f>
        <v>8174047</v>
      </c>
      <c r="J239" s="31">
        <f>7500000+300000-300000+1200000-525953</f>
        <v>8174047</v>
      </c>
      <c r="K239" s="109"/>
      <c r="L239" s="70"/>
    </row>
    <row r="240" spans="1:12" s="3" customFormat="1" ht="165" customHeight="1">
      <c r="A240" s="4" t="s">
        <v>208</v>
      </c>
      <c r="B240" s="4" t="s">
        <v>209</v>
      </c>
      <c r="C240" s="4" t="s">
        <v>62</v>
      </c>
      <c r="D240" s="29" t="s">
        <v>443</v>
      </c>
      <c r="E240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0" s="7" t="str">
        <f>F301</f>
        <v>від 26.01.2022 року № 2705-МР (зі змінами)</v>
      </c>
      <c r="G240" s="31">
        <f t="shared" si="6"/>
        <v>3000000</v>
      </c>
      <c r="H240" s="31"/>
      <c r="I240" s="31">
        <v>3000000</v>
      </c>
      <c r="J240" s="31">
        <v>3000000</v>
      </c>
      <c r="K240" s="109"/>
      <c r="L240" s="70"/>
    </row>
    <row r="241" spans="1:12" s="3" customFormat="1" ht="165" customHeight="1">
      <c r="A241" s="4" t="s">
        <v>466</v>
      </c>
      <c r="B241" s="4">
        <v>7324</v>
      </c>
      <c r="C241" s="4">
        <v>443</v>
      </c>
      <c r="D241" s="29" t="s">
        <v>441</v>
      </c>
      <c r="E241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1" s="7" t="str">
        <f>F301</f>
        <v>від 26.01.2022 року № 2705-МР (зі змінами)</v>
      </c>
      <c r="G241" s="31">
        <f t="shared" si="6"/>
        <v>300000</v>
      </c>
      <c r="H241" s="31"/>
      <c r="I241" s="31">
        <v>300000</v>
      </c>
      <c r="J241" s="31">
        <v>300000</v>
      </c>
      <c r="K241" s="109"/>
      <c r="L241" s="70"/>
    </row>
    <row r="242" spans="1:12" s="3" customFormat="1" ht="178.5" customHeight="1">
      <c r="A242" s="4" t="s">
        <v>210</v>
      </c>
      <c r="B242" s="4" t="s">
        <v>211</v>
      </c>
      <c r="C242" s="4" t="s">
        <v>62</v>
      </c>
      <c r="D242" s="29" t="s">
        <v>438</v>
      </c>
      <c r="E242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2" s="7" t="str">
        <f>F301</f>
        <v>від 26.01.2022 року № 2705-МР (зі змінами)</v>
      </c>
      <c r="G242" s="31">
        <f t="shared" si="6"/>
        <v>635000</v>
      </c>
      <c r="H242" s="31"/>
      <c r="I242" s="31">
        <f>20768133-768133+150000-115000-6400000-13000000</f>
        <v>635000</v>
      </c>
      <c r="J242" s="31">
        <f>20768133-768133+150000-115000-6400000-13000000</f>
        <v>635000</v>
      </c>
      <c r="K242" s="109"/>
      <c r="L242" s="70"/>
    </row>
    <row r="243" spans="1:11" ht="183.75" customHeight="1">
      <c r="A243" s="111" t="s">
        <v>212</v>
      </c>
      <c r="B243" s="111" t="s">
        <v>204</v>
      </c>
      <c r="C243" s="111" t="s">
        <v>62</v>
      </c>
      <c r="D243" s="29" t="s">
        <v>444</v>
      </c>
      <c r="E243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3" s="7" t="str">
        <f>F301</f>
        <v>від 26.01.2022 року № 2705-МР (зі змінами)</v>
      </c>
      <c r="G243" s="31">
        <f t="shared" si="6"/>
        <v>13859209</v>
      </c>
      <c r="H243" s="31"/>
      <c r="I243" s="31">
        <v>13859209</v>
      </c>
      <c r="J243" s="31">
        <v>13859209</v>
      </c>
      <c r="K243" s="109"/>
    </row>
    <row r="244" spans="1:11" ht="157.5" customHeight="1" hidden="1">
      <c r="A244" s="111"/>
      <c r="B244" s="111"/>
      <c r="C244" s="111"/>
      <c r="D244" s="29"/>
      <c r="E244" s="7" t="s">
        <v>396</v>
      </c>
      <c r="F244" s="5" t="s">
        <v>333</v>
      </c>
      <c r="G244" s="31">
        <f t="shared" si="6"/>
        <v>0</v>
      </c>
      <c r="H244" s="31"/>
      <c r="I244" s="31"/>
      <c r="J244" s="31"/>
      <c r="K244" s="104"/>
    </row>
    <row r="245" spans="1:11" ht="179.25" customHeight="1">
      <c r="A245" s="4" t="s">
        <v>261</v>
      </c>
      <c r="B245" s="4" t="s">
        <v>99</v>
      </c>
      <c r="C245" s="4" t="s">
        <v>62</v>
      </c>
      <c r="D245" s="41" t="s">
        <v>100</v>
      </c>
      <c r="E24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5" s="7" t="str">
        <f>F301</f>
        <v>від 26.01.2022 року № 2705-МР (зі змінами)</v>
      </c>
      <c r="G245" s="31">
        <f t="shared" si="6"/>
        <v>500000</v>
      </c>
      <c r="H245" s="31"/>
      <c r="I245" s="31">
        <v>500000</v>
      </c>
      <c r="J245" s="31">
        <v>500000</v>
      </c>
      <c r="K245" s="109">
        <v>54</v>
      </c>
    </row>
    <row r="246" spans="1:12" s="3" customFormat="1" ht="185.25" customHeight="1" hidden="1">
      <c r="A246" s="111" t="s">
        <v>302</v>
      </c>
      <c r="B246" s="111" t="s">
        <v>288</v>
      </c>
      <c r="C246" s="111" t="s">
        <v>4</v>
      </c>
      <c r="D246" s="116" t="s">
        <v>289</v>
      </c>
      <c r="E246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6" s="7" t="str">
        <f>F301</f>
        <v>від 26.01.2022 року № 2705-МР (зі змінами)</v>
      </c>
      <c r="G246" s="31">
        <f t="shared" si="6"/>
        <v>0</v>
      </c>
      <c r="H246" s="31"/>
      <c r="I246" s="31"/>
      <c r="J246" s="31"/>
      <c r="K246" s="109"/>
      <c r="L246" s="70"/>
    </row>
    <row r="247" spans="1:12" s="3" customFormat="1" ht="204.75" customHeight="1">
      <c r="A247" s="111"/>
      <c r="B247" s="111"/>
      <c r="C247" s="111"/>
      <c r="D247" s="116"/>
      <c r="E247" s="7" t="str">
        <f>E304</f>
        <v>Програма охорони навколишнього природного середовища Сумської міської територіальної громади на 2022-2024 роки</v>
      </c>
      <c r="F247" s="7" t="str">
        <f>F304</f>
        <v>від 27.05.2022 № 162 (зі змінами)</v>
      </c>
      <c r="G247" s="31">
        <f t="shared" si="6"/>
        <v>34844084</v>
      </c>
      <c r="H247" s="31"/>
      <c r="I247" s="31">
        <f>21844084+13000000</f>
        <v>34844084</v>
      </c>
      <c r="J247" s="31">
        <f>21844084+13000000</f>
        <v>34844084</v>
      </c>
      <c r="K247" s="109"/>
      <c r="L247" s="70"/>
    </row>
    <row r="248" spans="1:12" s="3" customFormat="1" ht="195" customHeight="1">
      <c r="A248" s="4" t="s">
        <v>286</v>
      </c>
      <c r="B248" s="4" t="s">
        <v>271</v>
      </c>
      <c r="C248" s="4" t="s">
        <v>4</v>
      </c>
      <c r="D248" s="5" t="s">
        <v>272</v>
      </c>
      <c r="E248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8" s="7" t="str">
        <f>F301</f>
        <v>від 26.01.2022 року № 2705-МР (зі змінами)</v>
      </c>
      <c r="G248" s="31">
        <f t="shared" si="6"/>
        <v>957453</v>
      </c>
      <c r="H248" s="31"/>
      <c r="I248" s="31">
        <f>1200000-242547</f>
        <v>957453</v>
      </c>
      <c r="J248" s="31">
        <f>1200000-242547</f>
        <v>957453</v>
      </c>
      <c r="K248" s="109"/>
      <c r="L248" s="70"/>
    </row>
    <row r="249" spans="1:12" s="3" customFormat="1" ht="177" customHeight="1" hidden="1">
      <c r="A249" s="4" t="s">
        <v>340</v>
      </c>
      <c r="B249" s="4">
        <v>7370</v>
      </c>
      <c r="C249" s="4" t="s">
        <v>4</v>
      </c>
      <c r="D249" s="5" t="s">
        <v>305</v>
      </c>
      <c r="E24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9" s="7" t="str">
        <f>F301</f>
        <v>від 26.01.2022 року № 2705-МР (зі змінами)</v>
      </c>
      <c r="G249" s="31">
        <f t="shared" si="6"/>
        <v>0</v>
      </c>
      <c r="H249" s="31"/>
      <c r="I249" s="31"/>
      <c r="J249" s="31"/>
      <c r="K249" s="109"/>
      <c r="L249" s="70"/>
    </row>
    <row r="250" spans="1:12" s="3" customFormat="1" ht="177" customHeight="1" hidden="1">
      <c r="A250" s="4" t="s">
        <v>279</v>
      </c>
      <c r="B250" s="4" t="s">
        <v>280</v>
      </c>
      <c r="C250" s="4" t="s">
        <v>248</v>
      </c>
      <c r="D250" s="5" t="s">
        <v>281</v>
      </c>
      <c r="E250" s="5" t="s">
        <v>401</v>
      </c>
      <c r="F250" s="5" t="s">
        <v>391</v>
      </c>
      <c r="G250" s="31">
        <f t="shared" si="6"/>
        <v>0</v>
      </c>
      <c r="H250" s="31"/>
      <c r="I250" s="31"/>
      <c r="J250" s="31"/>
      <c r="K250" s="109"/>
      <c r="L250" s="70"/>
    </row>
    <row r="251" spans="1:12" s="3" customFormat="1" ht="183" customHeight="1" hidden="1">
      <c r="A251" s="4" t="s">
        <v>294</v>
      </c>
      <c r="B251" s="4" t="s">
        <v>295</v>
      </c>
      <c r="C251" s="4" t="s">
        <v>248</v>
      </c>
      <c r="D251" s="58" t="s">
        <v>296</v>
      </c>
      <c r="E251" s="7" t="s">
        <v>402</v>
      </c>
      <c r="F251" s="5" t="s">
        <v>391</v>
      </c>
      <c r="G251" s="31">
        <f t="shared" si="6"/>
        <v>0</v>
      </c>
      <c r="H251" s="31"/>
      <c r="I251" s="31"/>
      <c r="J251" s="31"/>
      <c r="K251" s="109"/>
      <c r="L251" s="70"/>
    </row>
    <row r="252" spans="1:12" ht="151.5" customHeight="1">
      <c r="A252" s="4" t="s">
        <v>173</v>
      </c>
      <c r="B252" s="4" t="s">
        <v>80</v>
      </c>
      <c r="C252" s="4" t="s">
        <v>25</v>
      </c>
      <c r="D252" s="5" t="s">
        <v>53</v>
      </c>
      <c r="E252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252" s="5" t="str">
        <f>F306</f>
        <v>від 26.01.2022 року № 2715-МР (зі змінами)</v>
      </c>
      <c r="G252" s="31">
        <f t="shared" si="6"/>
        <v>68812645</v>
      </c>
      <c r="H252" s="31">
        <v>741538</v>
      </c>
      <c r="I252" s="31">
        <f>179357536-191276+717229-111812382</f>
        <v>68071107</v>
      </c>
      <c r="J252" s="31">
        <f>175888299-111812382</f>
        <v>64075917</v>
      </c>
      <c r="K252" s="109"/>
      <c r="L252" s="103"/>
    </row>
    <row r="253" spans="1:12" s="3" customFormat="1" ht="409.5" customHeight="1" hidden="1">
      <c r="A253" s="4" t="s">
        <v>331</v>
      </c>
      <c r="B253" s="4" t="s">
        <v>236</v>
      </c>
      <c r="C253" s="4" t="s">
        <v>4</v>
      </c>
      <c r="D253" s="5" t="s">
        <v>252</v>
      </c>
      <c r="E253" s="7" t="e">
        <f>#REF!</f>
        <v>#REF!</v>
      </c>
      <c r="F253" s="5"/>
      <c r="G253" s="31">
        <f t="shared" si="6"/>
        <v>0</v>
      </c>
      <c r="H253" s="31"/>
      <c r="I253" s="31"/>
      <c r="J253" s="31"/>
      <c r="K253" s="109"/>
      <c r="L253" s="70"/>
    </row>
    <row r="254" spans="1:12" s="3" customFormat="1" ht="246.75" customHeight="1">
      <c r="A254" s="4" t="s">
        <v>284</v>
      </c>
      <c r="B254" s="4" t="s">
        <v>282</v>
      </c>
      <c r="C254" s="4" t="s">
        <v>3</v>
      </c>
      <c r="D254" s="5" t="s">
        <v>527</v>
      </c>
      <c r="E254" s="7" t="str">
        <f>E302</f>
        <v>Програма молодіжного житлового кредитування Сумської міської територіальної громади на 2022-2024 роки</v>
      </c>
      <c r="F254" s="7" t="str">
        <f>F302</f>
        <v>від 29.09.2021 року № 1602-МР</v>
      </c>
      <c r="G254" s="31">
        <f t="shared" si="6"/>
        <v>2639495</v>
      </c>
      <c r="H254" s="31">
        <v>1500000</v>
      </c>
      <c r="I254" s="31">
        <v>1139495</v>
      </c>
      <c r="J254" s="31"/>
      <c r="K254" s="109"/>
      <c r="L254" s="70"/>
    </row>
    <row r="255" spans="1:12" s="3" customFormat="1" ht="256.5" customHeight="1">
      <c r="A255" s="4" t="s">
        <v>285</v>
      </c>
      <c r="B255" s="4" t="s">
        <v>283</v>
      </c>
      <c r="C255" s="4" t="s">
        <v>3</v>
      </c>
      <c r="D255" s="5" t="s">
        <v>526</v>
      </c>
      <c r="E255" s="7" t="str">
        <f>E302</f>
        <v>Програма молодіжного житлового кредитування Сумської міської територіальної громади на 2022-2024 роки</v>
      </c>
      <c r="F255" s="7" t="str">
        <f>F302</f>
        <v>від 29.09.2021 року № 1602-МР</v>
      </c>
      <c r="G255" s="31">
        <f t="shared" si="6"/>
        <v>-1100000</v>
      </c>
      <c r="H255" s="31"/>
      <c r="I255" s="31">
        <v>-1100000</v>
      </c>
      <c r="J255" s="31"/>
      <c r="K255" s="109"/>
      <c r="L255" s="70"/>
    </row>
    <row r="256" spans="1:12" s="2" customFormat="1" ht="141.75" customHeight="1">
      <c r="A256" s="10"/>
      <c r="B256" s="10"/>
      <c r="C256" s="10"/>
      <c r="D256" s="50" t="s">
        <v>174</v>
      </c>
      <c r="E256" s="59"/>
      <c r="F256" s="59"/>
      <c r="G256" s="35">
        <f>SUM(G257:G262)</f>
        <v>4469982</v>
      </c>
      <c r="H256" s="35">
        <f>SUM(H257:H262)</f>
        <v>3532500</v>
      </c>
      <c r="I256" s="35">
        <f>SUM(I257:I262)</f>
        <v>937482</v>
      </c>
      <c r="J256" s="35">
        <f>SUM(J257:J262)</f>
        <v>0</v>
      </c>
      <c r="K256" s="109"/>
      <c r="L256" s="72"/>
    </row>
    <row r="257" spans="1:11" ht="180" customHeight="1" hidden="1">
      <c r="A257" s="4" t="s">
        <v>175</v>
      </c>
      <c r="B257" s="4" t="s">
        <v>69</v>
      </c>
      <c r="C257" s="4" t="s">
        <v>2</v>
      </c>
      <c r="D257" s="5" t="s">
        <v>408</v>
      </c>
      <c r="E257" s="5" t="str">
        <f>E284</f>
        <v>Програма «Воєнний стан: інформування Сумської міської територіальної громади» на 2022 рік</v>
      </c>
      <c r="F257" s="5" t="str">
        <f>F284</f>
        <v>від 11.05.2022 № 140 (зі змінами)</v>
      </c>
      <c r="G257" s="31">
        <f aca="true" t="shared" si="8" ref="G257:G262">H257+I257</f>
        <v>0</v>
      </c>
      <c r="H257" s="31"/>
      <c r="I257" s="31"/>
      <c r="J257" s="31"/>
      <c r="K257" s="109"/>
    </row>
    <row r="258" spans="1:11" ht="184.5" customHeight="1">
      <c r="A258" s="4" t="s">
        <v>249</v>
      </c>
      <c r="B258" s="4" t="s">
        <v>181</v>
      </c>
      <c r="C258" s="4" t="s">
        <v>201</v>
      </c>
      <c r="D258" s="5" t="s">
        <v>200</v>
      </c>
      <c r="E258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8" s="5" t="str">
        <f>F288</f>
        <v>від 26.01.2022 року № 2718- МР (зі змінами)</v>
      </c>
      <c r="G258" s="31">
        <f t="shared" si="8"/>
        <v>135000</v>
      </c>
      <c r="H258" s="31">
        <v>135000</v>
      </c>
      <c r="I258" s="31"/>
      <c r="J258" s="31"/>
      <c r="K258" s="109"/>
    </row>
    <row r="259" spans="1:11" ht="206.25" customHeight="1">
      <c r="A259" s="4" t="s">
        <v>475</v>
      </c>
      <c r="B259" s="4">
        <v>7340</v>
      </c>
      <c r="C259" s="4" t="s">
        <v>62</v>
      </c>
      <c r="D259" s="5" t="s">
        <v>100</v>
      </c>
      <c r="E259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59" s="5" t="str">
        <f>F307</f>
        <v>від 27.10.2021 року № 2002 - МР</v>
      </c>
      <c r="G259" s="31">
        <f t="shared" si="8"/>
        <v>247500</v>
      </c>
      <c r="H259" s="31">
        <v>247500</v>
      </c>
      <c r="I259" s="31"/>
      <c r="J259" s="31"/>
      <c r="K259" s="109"/>
    </row>
    <row r="260" spans="1:11" ht="223.5" customHeight="1">
      <c r="A260" s="4" t="s">
        <v>447</v>
      </c>
      <c r="B260" s="4">
        <v>7370</v>
      </c>
      <c r="C260" s="4" t="s">
        <v>4</v>
      </c>
      <c r="D260" s="5" t="s">
        <v>305</v>
      </c>
      <c r="E260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0" s="5" t="str">
        <f>F307</f>
        <v>від 27.10.2021 року № 2002 - МР</v>
      </c>
      <c r="G260" s="31">
        <f t="shared" si="8"/>
        <v>3150000</v>
      </c>
      <c r="H260" s="31">
        <v>3150000</v>
      </c>
      <c r="I260" s="31"/>
      <c r="J260" s="31"/>
      <c r="K260" s="109"/>
    </row>
    <row r="261" spans="1:12" s="3" customFormat="1" ht="202.5" customHeight="1">
      <c r="A261" s="111" t="s">
        <v>237</v>
      </c>
      <c r="B261" s="111" t="s">
        <v>236</v>
      </c>
      <c r="C261" s="111" t="s">
        <v>4</v>
      </c>
      <c r="D261" s="116" t="s">
        <v>252</v>
      </c>
      <c r="E261" s="5" t="str">
        <f>E288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61" s="5" t="str">
        <f>F288</f>
        <v>від 26.01.2022 року № 2718- МР (зі змінами)</v>
      </c>
      <c r="G261" s="31">
        <f t="shared" si="8"/>
        <v>267200</v>
      </c>
      <c r="H261" s="31"/>
      <c r="I261" s="31">
        <f>937482-I262</f>
        <v>267200</v>
      </c>
      <c r="J261" s="31"/>
      <c r="K261" s="109">
        <v>55</v>
      </c>
      <c r="L261" s="70"/>
    </row>
    <row r="262" spans="1:12" s="3" customFormat="1" ht="257.25" customHeight="1">
      <c r="A262" s="111"/>
      <c r="B262" s="111"/>
      <c r="C262" s="111"/>
      <c r="D262" s="116"/>
      <c r="E262" s="5" t="str">
        <f>E307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2" s="5" t="str">
        <f>F307</f>
        <v>від 27.10.2021 року № 2002 - МР</v>
      </c>
      <c r="G262" s="31">
        <f t="shared" si="8"/>
        <v>670282</v>
      </c>
      <c r="H262" s="31"/>
      <c r="I262" s="31">
        <v>670282</v>
      </c>
      <c r="J262" s="31"/>
      <c r="K262" s="109"/>
      <c r="L262" s="70"/>
    </row>
    <row r="263" spans="1:12" s="2" customFormat="1" ht="150.75" customHeight="1">
      <c r="A263" s="10"/>
      <c r="B263" s="10"/>
      <c r="C263" s="10"/>
      <c r="D263" s="50" t="s">
        <v>166</v>
      </c>
      <c r="E263" s="50"/>
      <c r="F263" s="50"/>
      <c r="G263" s="35">
        <f>SUM(G264:G270)</f>
        <v>3025000</v>
      </c>
      <c r="H263" s="35">
        <f>SUM(H264:H270)</f>
        <v>2850000</v>
      </c>
      <c r="I263" s="35">
        <f>SUM(I264:I270)</f>
        <v>175000</v>
      </c>
      <c r="J263" s="35">
        <f>SUM(J264:J270)</f>
        <v>175000</v>
      </c>
      <c r="K263" s="109"/>
      <c r="L263" s="72"/>
    </row>
    <row r="264" spans="1:12" s="2" customFormat="1" ht="177" customHeight="1" hidden="1">
      <c r="A264" s="4" t="s">
        <v>381</v>
      </c>
      <c r="B264" s="4" t="s">
        <v>69</v>
      </c>
      <c r="C264" s="4" t="s">
        <v>2</v>
      </c>
      <c r="D264" s="5" t="s">
        <v>70</v>
      </c>
      <c r="E264" s="5" t="s">
        <v>399</v>
      </c>
      <c r="F264" s="5" t="s">
        <v>334</v>
      </c>
      <c r="G264" s="31">
        <f>H264+I264</f>
        <v>0</v>
      </c>
      <c r="H264" s="31"/>
      <c r="I264" s="35"/>
      <c r="J264" s="35"/>
      <c r="K264" s="109"/>
      <c r="L264" s="72"/>
    </row>
    <row r="265" spans="1:11" ht="217.5" customHeight="1">
      <c r="A265" s="4" t="s">
        <v>167</v>
      </c>
      <c r="B265" s="4" t="s">
        <v>95</v>
      </c>
      <c r="C265" s="4" t="s">
        <v>24</v>
      </c>
      <c r="D265" s="5" t="s">
        <v>96</v>
      </c>
      <c r="E265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5" s="7" t="str">
        <f>F289</f>
        <v>від 29.09.2021 року № 1600-МР</v>
      </c>
      <c r="G265" s="31">
        <f aca="true" t="shared" si="9" ref="G265:G270">H265+I265</f>
        <v>990000</v>
      </c>
      <c r="H265" s="31">
        <v>990000</v>
      </c>
      <c r="I265" s="31"/>
      <c r="J265" s="31"/>
      <c r="K265" s="109"/>
    </row>
    <row r="266" spans="1:11" ht="208.5" customHeight="1" hidden="1">
      <c r="A266" s="4" t="s">
        <v>306</v>
      </c>
      <c r="B266" s="4" t="s">
        <v>304</v>
      </c>
      <c r="C266" s="4" t="s">
        <v>4</v>
      </c>
      <c r="D266" s="5" t="s">
        <v>305</v>
      </c>
      <c r="E266" s="7" t="s">
        <v>402</v>
      </c>
      <c r="F266" s="5" t="s">
        <v>391</v>
      </c>
      <c r="G266" s="31">
        <f t="shared" si="9"/>
        <v>0</v>
      </c>
      <c r="H266" s="31"/>
      <c r="I266" s="31"/>
      <c r="J266" s="31"/>
      <c r="K266" s="109"/>
    </row>
    <row r="267" spans="1:11" ht="163.5" customHeight="1">
      <c r="A267" s="4" t="s">
        <v>168</v>
      </c>
      <c r="B267" s="4" t="s">
        <v>86</v>
      </c>
      <c r="C267" s="4" t="s">
        <v>5</v>
      </c>
      <c r="D267" s="5" t="s">
        <v>46</v>
      </c>
      <c r="E267" s="5" t="str">
        <f>E310</f>
        <v>Цільова Програма підтримки малого і середнього підприємництва Сумської міської територіальної громади на 2022-2024 роки</v>
      </c>
      <c r="F267" s="5" t="str">
        <f>F310</f>
        <v>від 29.09.2021 року № 1601-МР</v>
      </c>
      <c r="G267" s="31">
        <f t="shared" si="9"/>
        <v>1000000</v>
      </c>
      <c r="H267" s="31">
        <v>1000000</v>
      </c>
      <c r="I267" s="31"/>
      <c r="J267" s="31"/>
      <c r="K267" s="109"/>
    </row>
    <row r="268" spans="1:11" ht="198.75" customHeight="1">
      <c r="A268" s="4" t="s">
        <v>214</v>
      </c>
      <c r="B268" s="4" t="s">
        <v>213</v>
      </c>
      <c r="C268" s="4" t="s">
        <v>4</v>
      </c>
      <c r="D268" s="5" t="s">
        <v>215</v>
      </c>
      <c r="E268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8" s="7" t="str">
        <f>F289</f>
        <v>від 29.09.2021 року № 1600-МР</v>
      </c>
      <c r="G268" s="31">
        <f t="shared" si="9"/>
        <v>30000</v>
      </c>
      <c r="H268" s="31"/>
      <c r="I268" s="31">
        <v>30000</v>
      </c>
      <c r="J268" s="31">
        <v>30000</v>
      </c>
      <c r="K268" s="109"/>
    </row>
    <row r="269" spans="1:11" ht="230.25" customHeight="1">
      <c r="A269" s="4" t="s">
        <v>217</v>
      </c>
      <c r="B269" s="4" t="s">
        <v>218</v>
      </c>
      <c r="C269" s="4" t="s">
        <v>4</v>
      </c>
      <c r="D269" s="5" t="s">
        <v>219</v>
      </c>
      <c r="E269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9" s="7" t="str">
        <f>F289</f>
        <v>від 29.09.2021 року № 1600-МР</v>
      </c>
      <c r="G269" s="31">
        <f t="shared" si="9"/>
        <v>145000</v>
      </c>
      <c r="H269" s="31"/>
      <c r="I269" s="31">
        <v>145000</v>
      </c>
      <c r="J269" s="31">
        <v>145000</v>
      </c>
      <c r="K269" s="109"/>
    </row>
    <row r="270" spans="1:12" s="3" customFormat="1" ht="206.25" customHeight="1">
      <c r="A270" s="4" t="s">
        <v>216</v>
      </c>
      <c r="B270" s="4" t="s">
        <v>195</v>
      </c>
      <c r="C270" s="4" t="s">
        <v>4</v>
      </c>
      <c r="D270" s="5" t="s">
        <v>196</v>
      </c>
      <c r="E270" s="7" t="str">
        <f>E289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70" s="7" t="str">
        <f>F289</f>
        <v>від 29.09.2021 року № 1600-МР</v>
      </c>
      <c r="G270" s="31">
        <f t="shared" si="9"/>
        <v>860000</v>
      </c>
      <c r="H270" s="31">
        <v>860000</v>
      </c>
      <c r="I270" s="31"/>
      <c r="J270" s="31"/>
      <c r="K270" s="109"/>
      <c r="L270" s="70"/>
    </row>
    <row r="271" spans="1:11" ht="187.5" customHeight="1" hidden="1">
      <c r="A271" s="4" t="s">
        <v>278</v>
      </c>
      <c r="B271" s="4" t="s">
        <v>267</v>
      </c>
      <c r="C271" s="4" t="s">
        <v>26</v>
      </c>
      <c r="D271" s="29" t="s">
        <v>268</v>
      </c>
      <c r="E271" s="5" t="s">
        <v>400</v>
      </c>
      <c r="F271" s="5" t="s">
        <v>363</v>
      </c>
      <c r="G271" s="31">
        <f>H271+I271</f>
        <v>0</v>
      </c>
      <c r="H271" s="31"/>
      <c r="I271" s="31"/>
      <c r="J271" s="31"/>
      <c r="K271" s="109"/>
    </row>
    <row r="272" spans="1:12" s="2" customFormat="1" ht="130.5" customHeight="1">
      <c r="A272" s="10"/>
      <c r="B272" s="10"/>
      <c r="C272" s="10"/>
      <c r="D272" s="50" t="s">
        <v>176</v>
      </c>
      <c r="E272" s="59"/>
      <c r="F272" s="59"/>
      <c r="G272" s="35">
        <f>SUM(G273:G280)</f>
        <v>801471</v>
      </c>
      <c r="H272" s="35">
        <f>SUM(H273:H280)</f>
        <v>801471</v>
      </c>
      <c r="I272" s="35">
        <f>SUM(I273:I280)</f>
        <v>0</v>
      </c>
      <c r="J272" s="35">
        <f>SUM(J273:J280)</f>
        <v>0</v>
      </c>
      <c r="K272" s="109"/>
      <c r="L272" s="72"/>
    </row>
    <row r="273" spans="1:12" s="2" customFormat="1" ht="177" customHeight="1" hidden="1">
      <c r="A273" s="4" t="s">
        <v>382</v>
      </c>
      <c r="B273" s="4" t="s">
        <v>69</v>
      </c>
      <c r="C273" s="4" t="s">
        <v>2</v>
      </c>
      <c r="D273" s="5" t="s">
        <v>70</v>
      </c>
      <c r="E273" s="5" t="s">
        <v>399</v>
      </c>
      <c r="F273" s="5" t="s">
        <v>334</v>
      </c>
      <c r="G273" s="31">
        <f aca="true" t="shared" si="10" ref="G273:G282">H273+I273</f>
        <v>0</v>
      </c>
      <c r="H273" s="31"/>
      <c r="I273" s="35"/>
      <c r="J273" s="35"/>
      <c r="K273" s="109"/>
      <c r="L273" s="72"/>
    </row>
    <row r="274" spans="1:12" s="2" customFormat="1" ht="156.75" customHeight="1">
      <c r="A274" s="4" t="s">
        <v>220</v>
      </c>
      <c r="B274" s="4" t="s">
        <v>80</v>
      </c>
      <c r="C274" s="4" t="s">
        <v>25</v>
      </c>
      <c r="D274" s="5" t="s">
        <v>53</v>
      </c>
      <c r="E274" s="5" t="str">
        <f>E306</f>
        <v>Програма підвищення енергоефективності в бюджетній сфері Сумської міської територіальної громади на 2022-2024 роки</v>
      </c>
      <c r="F274" s="5" t="str">
        <f>F306</f>
        <v>від 26.01.2022 року № 2715-МР (зі змінами)</v>
      </c>
      <c r="G274" s="31">
        <f t="shared" si="10"/>
        <v>415000</v>
      </c>
      <c r="H274" s="31">
        <v>415000</v>
      </c>
      <c r="I274" s="31"/>
      <c r="J274" s="31"/>
      <c r="K274" s="109"/>
      <c r="L274" s="72"/>
    </row>
    <row r="275" spans="1:12" s="2" customFormat="1" ht="188.25" customHeight="1">
      <c r="A275" s="4" t="s">
        <v>317</v>
      </c>
      <c r="B275" s="4" t="s">
        <v>195</v>
      </c>
      <c r="C275" s="4" t="s">
        <v>4</v>
      </c>
      <c r="D275" s="5" t="s">
        <v>196</v>
      </c>
      <c r="E275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5" s="7" t="str">
        <f>F301</f>
        <v>від 26.01.2022 року № 2705-МР (зі змінами)</v>
      </c>
      <c r="G275" s="31">
        <f t="shared" si="10"/>
        <v>34710</v>
      </c>
      <c r="H275" s="31">
        <f>132800-98090</f>
        <v>34710</v>
      </c>
      <c r="I275" s="31"/>
      <c r="J275" s="31"/>
      <c r="K275" s="109"/>
      <c r="L275" s="72"/>
    </row>
    <row r="276" spans="1:12" s="2" customFormat="1" ht="242.25" customHeight="1">
      <c r="A276" s="4" t="s">
        <v>347</v>
      </c>
      <c r="B276" s="4">
        <v>8330</v>
      </c>
      <c r="C276" s="4" t="s">
        <v>12</v>
      </c>
      <c r="D276" s="5" t="s">
        <v>357</v>
      </c>
      <c r="E276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6" s="7" t="str">
        <f>F301</f>
        <v>від 26.01.2022 року № 2705-МР (зі змінами)</v>
      </c>
      <c r="G276" s="31">
        <f t="shared" si="10"/>
        <v>80000</v>
      </c>
      <c r="H276" s="31">
        <v>80000</v>
      </c>
      <c r="I276" s="31"/>
      <c r="J276" s="31"/>
      <c r="K276" s="109">
        <v>56</v>
      </c>
      <c r="L276" s="72"/>
    </row>
    <row r="277" spans="1:11" ht="213.75" customHeight="1" hidden="1">
      <c r="A277" s="4" t="s">
        <v>177</v>
      </c>
      <c r="B277" s="4" t="s">
        <v>76</v>
      </c>
      <c r="C277" s="4" t="s">
        <v>12</v>
      </c>
      <c r="D277" s="5" t="s">
        <v>77</v>
      </c>
      <c r="E277" s="7" t="str">
        <f>E304</f>
        <v>Програма охорони навколишнього природного середовища Сумської міської територіальної громади на 2022-2024 роки</v>
      </c>
      <c r="F277" s="7" t="str">
        <f>F304</f>
        <v>від 27.05.2022 № 162 (зі змінами)</v>
      </c>
      <c r="G277" s="31">
        <f t="shared" si="10"/>
        <v>0</v>
      </c>
      <c r="H277" s="31"/>
      <c r="I277" s="31">
        <f>104000-104000</f>
        <v>0</v>
      </c>
      <c r="J277" s="31"/>
      <c r="K277" s="109"/>
    </row>
    <row r="278" spans="1:11" ht="174" customHeight="1">
      <c r="A278" s="4" t="s">
        <v>358</v>
      </c>
      <c r="B278" s="4">
        <v>8600</v>
      </c>
      <c r="C278" s="4" t="s">
        <v>359</v>
      </c>
      <c r="D278" s="5" t="s">
        <v>360</v>
      </c>
      <c r="E278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8" s="7" t="str">
        <f>F301</f>
        <v>від 26.01.2022 року № 2705-МР (зі змінами)</v>
      </c>
      <c r="G278" s="31">
        <f t="shared" si="10"/>
        <v>271761</v>
      </c>
      <c r="H278" s="31">
        <f>3807000-3535239</f>
        <v>271761</v>
      </c>
      <c r="I278" s="31"/>
      <c r="J278" s="31"/>
      <c r="K278" s="109"/>
    </row>
    <row r="279" spans="1:11" ht="182.25" customHeight="1">
      <c r="A279" s="4" t="s">
        <v>348</v>
      </c>
      <c r="B279" s="4">
        <v>8881</v>
      </c>
      <c r="C279" s="4" t="s">
        <v>4</v>
      </c>
      <c r="D279" s="5" t="s">
        <v>350</v>
      </c>
      <c r="E279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9" s="7" t="str">
        <f>F301</f>
        <v>від 26.01.2022 року № 2705-МР (зі змінами)</v>
      </c>
      <c r="G279" s="31">
        <f t="shared" si="10"/>
        <v>1852346</v>
      </c>
      <c r="H279" s="31"/>
      <c r="I279" s="31">
        <v>1852346</v>
      </c>
      <c r="J279" s="31">
        <v>1852346</v>
      </c>
      <c r="K279" s="109"/>
    </row>
    <row r="280" spans="1:11" ht="219.75" customHeight="1">
      <c r="A280" s="4" t="s">
        <v>349</v>
      </c>
      <c r="B280" s="4">
        <v>8882</v>
      </c>
      <c r="C280" s="4" t="s">
        <v>4</v>
      </c>
      <c r="D280" s="83" t="s">
        <v>596</v>
      </c>
      <c r="E280" s="7" t="str">
        <f>E301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80" s="7" t="str">
        <f>F301</f>
        <v>від 26.01.2022 року № 2705-МР (зі змінами)</v>
      </c>
      <c r="G280" s="31">
        <f t="shared" si="10"/>
        <v>-1852346</v>
      </c>
      <c r="H280" s="31"/>
      <c r="I280" s="31">
        <v>-1852346</v>
      </c>
      <c r="J280" s="31">
        <v>-1852346</v>
      </c>
      <c r="K280" s="109"/>
    </row>
    <row r="281" spans="1:11" ht="409.5" customHeight="1" hidden="1">
      <c r="A281" s="4" t="s">
        <v>341</v>
      </c>
      <c r="B281" s="25" t="s">
        <v>343</v>
      </c>
      <c r="C281" s="25" t="s">
        <v>26</v>
      </c>
      <c r="D281" s="45" t="s">
        <v>342</v>
      </c>
      <c r="E281" s="7" t="s">
        <v>402</v>
      </c>
      <c r="F281" s="5" t="s">
        <v>391</v>
      </c>
      <c r="G281" s="31">
        <f t="shared" si="10"/>
        <v>0</v>
      </c>
      <c r="H281" s="31"/>
      <c r="I281" s="31"/>
      <c r="J281" s="31"/>
      <c r="K281" s="109"/>
    </row>
    <row r="282" spans="1:11" ht="177" customHeight="1" hidden="1">
      <c r="A282" s="4" t="s">
        <v>255</v>
      </c>
      <c r="B282" s="4" t="s">
        <v>74</v>
      </c>
      <c r="C282" s="4" t="s">
        <v>26</v>
      </c>
      <c r="D282" s="5" t="s">
        <v>75</v>
      </c>
      <c r="E282" s="7" t="s">
        <v>402</v>
      </c>
      <c r="F282" s="5" t="s">
        <v>391</v>
      </c>
      <c r="G282" s="31">
        <f t="shared" si="10"/>
        <v>0</v>
      </c>
      <c r="H282" s="31"/>
      <c r="I282" s="31"/>
      <c r="J282" s="31"/>
      <c r="K282" s="109"/>
    </row>
    <row r="283" spans="1:12" s="12" customFormat="1" ht="94.5" customHeight="1">
      <c r="A283" s="11"/>
      <c r="B283" s="135" t="s">
        <v>362</v>
      </c>
      <c r="C283" s="135"/>
      <c r="D283" s="135"/>
      <c r="E283" s="135"/>
      <c r="F283" s="23"/>
      <c r="G283" s="36">
        <f>G19+G70+G115+G142+G166+G170+G179+G224+G226+G256+G263+G272</f>
        <v>3084871220.25</v>
      </c>
      <c r="H283" s="36">
        <f>H19+H70+H115+H142+H166+H170+H179+H224+H226+H256+H263+H272</f>
        <v>2459460236.37</v>
      </c>
      <c r="I283" s="36">
        <f>I19+I70+I115+I142+I166+I170+I179+I224+I226+I256+I263+I272</f>
        <v>625410983.88</v>
      </c>
      <c r="J283" s="36">
        <f>J19+J70+J115+J142+J166+J170+J179+J224+J226+J256+J263+J272</f>
        <v>516076956</v>
      </c>
      <c r="K283" s="109"/>
      <c r="L283" s="77"/>
    </row>
    <row r="284" spans="1:14" ht="117.75" customHeight="1">
      <c r="A284" s="26"/>
      <c r="B284" s="27"/>
      <c r="C284" s="27"/>
      <c r="D284" s="5"/>
      <c r="E284" s="5" t="s">
        <v>579</v>
      </c>
      <c r="F284" s="5" t="s">
        <v>582</v>
      </c>
      <c r="G284" s="37">
        <f>G20+G36+G37+G61+G71+G116+G143+G171+G180+G225+G227+G257+G264+G273</f>
        <v>892000</v>
      </c>
      <c r="H284" s="37">
        <f>H20+H36+H37+H61+H71+H116+H143+H171+H180+H225+H227+H257+H264+H273</f>
        <v>892000</v>
      </c>
      <c r="I284" s="37">
        <f>I20+I36+I37+I61+I71+I116+I143+I171+I180+I225+I227+I257+I264+I273</f>
        <v>0</v>
      </c>
      <c r="J284" s="37">
        <f>J20+J36+J37+J61+J71+J116+J143+J171+J180+J225+J227+J257+J264+J273</f>
        <v>0</v>
      </c>
      <c r="K284" s="109"/>
      <c r="L284" s="78"/>
      <c r="N284" s="22"/>
    </row>
    <row r="285" spans="1:14" ht="115.5" customHeight="1">
      <c r="A285" s="26"/>
      <c r="B285" s="27"/>
      <c r="C285" s="27"/>
      <c r="D285" s="5"/>
      <c r="E285" s="5" t="s">
        <v>578</v>
      </c>
      <c r="F285" s="5" t="s">
        <v>580</v>
      </c>
      <c r="G285" s="37">
        <f>G21</f>
        <v>441600</v>
      </c>
      <c r="H285" s="37">
        <f>H21</f>
        <v>441600</v>
      </c>
      <c r="I285" s="37">
        <f>I21</f>
        <v>0</v>
      </c>
      <c r="J285" s="37">
        <f>J21</f>
        <v>0</v>
      </c>
      <c r="K285" s="109"/>
      <c r="N285" s="22"/>
    </row>
    <row r="286" spans="1:11" ht="118.5" customHeight="1">
      <c r="A286" s="26"/>
      <c r="B286" s="27"/>
      <c r="C286" s="27"/>
      <c r="D286" s="18"/>
      <c r="E286" s="5" t="s">
        <v>504</v>
      </c>
      <c r="F286" s="5" t="s">
        <v>555</v>
      </c>
      <c r="G286" s="37">
        <f>G25+G27+G72+G75+G78+G80+G81+G85+G88+G89+G90+G91+G92+G97+G102+G109+G111+G83+G98+G84+G96+G95+G79+G82+G93+G94+G104+G110+G86+G87+G228+G229+G230</f>
        <v>1494717092.3700001</v>
      </c>
      <c r="H286" s="37">
        <f>H25+H27+H72+H75+H78+H80+H81+H85+H88+H89+H90+H91+H92+H97+H102+H109+H111+H83+H98+H84+H96+H95+H79+H82+H93+H94+H104+H110+H86+H87+H228+H229+H230</f>
        <v>1346614133.3700001</v>
      </c>
      <c r="I286" s="37">
        <f>I25+I27+I72+I75+I78+I80+I81+I85+I88+I89+I90+I91+I92+I97+I102+I109+I111+I83+I98+I84+I96+I95+I79+I82+I93+I94+I104+I110+I86+I87+I228+I229+I230</f>
        <v>148102959</v>
      </c>
      <c r="J286" s="37">
        <f>J25+J27+J72+J75+J78+J80+J81+J85+J88+J89+J90+J91+J92+J97+J102+J109+J111+J83+J98+J84+J96+J95+J79+J82+J93+J94+J104+J110+J86+J87+J228+J229+J230</f>
        <v>53941160</v>
      </c>
      <c r="K286" s="109"/>
    </row>
    <row r="287" spans="1:11" ht="119.25" customHeight="1">
      <c r="A287" s="26"/>
      <c r="B287" s="27"/>
      <c r="C287" s="27"/>
      <c r="D287" s="18"/>
      <c r="E287" s="7" t="s">
        <v>541</v>
      </c>
      <c r="F287" s="5" t="s">
        <v>569</v>
      </c>
      <c r="G287" s="37">
        <f>G117+G119+G120+G123+G125+G126+G128+G129+G131+G141+G127+G132+G139+G140+G135+G231+G122</f>
        <v>197453800</v>
      </c>
      <c r="H287" s="37">
        <f>H117+H119+H120+H123+H125+H126+H128+H129+H131+H141+H127+H132+H139+H140+H135+H231+H122</f>
        <v>100401900</v>
      </c>
      <c r="I287" s="37">
        <f>I117+I119+I120+I123+I125+I126+I128+I129+I131+I141+I127+I132+I139+I140+I135+I231+I122</f>
        <v>97051900</v>
      </c>
      <c r="J287" s="37">
        <f>J117+J119+J120+J123+J125+J126+J128+J129+J131+J141+J127+J132+J139+J140+J135+J231+J122</f>
        <v>97051900</v>
      </c>
      <c r="K287" s="109"/>
    </row>
    <row r="288" spans="1:11" ht="160.5" customHeight="1">
      <c r="A288" s="26"/>
      <c r="B288" s="27"/>
      <c r="C288" s="27"/>
      <c r="D288" s="18"/>
      <c r="E288" s="5" t="s">
        <v>518</v>
      </c>
      <c r="F288" s="5" t="s">
        <v>573</v>
      </c>
      <c r="G288" s="37">
        <f>G181+G182+G183+G187+G188+G189+G190+G195+G201+G204+G206+G208+G209+G212+G215+G220+G222+G232+G250+G258+G261+G218+G200+G207+G185+G211</f>
        <v>363328771.6</v>
      </c>
      <c r="H288" s="37">
        <f>H181+H182+H183+H187+H188+H189+H190+H195+H201+H204+H206+H208+H209+H212+H215+H220+H222+H232+H250+H258+H261+H218+H200+H207+H185+H211</f>
        <v>255954804</v>
      </c>
      <c r="I288" s="37">
        <f>I181+I182+I183+I187+I188+I189+I190+I195+I201+I204+I206+I208+I209+I212+I215+I220+I222+I232+I250+I258+I261+I218+I200+I207+I185+I211</f>
        <v>107373967.6</v>
      </c>
      <c r="J288" s="37">
        <f>J181+J182+J183+J187+J188+J189+J190+J195+J201+J204+J206+J208+J209+J212+J215+J220+J222+J232+J250+J258+J261+J218+J200+J207+J185+J211</f>
        <v>104471206.6</v>
      </c>
      <c r="K288" s="109"/>
    </row>
    <row r="289" spans="1:11" ht="201.75" customHeight="1">
      <c r="A289" s="26"/>
      <c r="B289" s="27"/>
      <c r="C289" s="27"/>
      <c r="D289" s="18"/>
      <c r="E289" s="7" t="s">
        <v>509</v>
      </c>
      <c r="F289" s="7" t="s">
        <v>510</v>
      </c>
      <c r="G289" s="37">
        <f>G265+G268+G269+G270</f>
        <v>2025000</v>
      </c>
      <c r="H289" s="37">
        <f>H265+H268+H269+H270</f>
        <v>1850000</v>
      </c>
      <c r="I289" s="37">
        <f>I265+I268+I269+I270</f>
        <v>175000</v>
      </c>
      <c r="J289" s="37">
        <f>J265+J268+J269+J270</f>
        <v>175000</v>
      </c>
      <c r="K289" s="109"/>
    </row>
    <row r="290" spans="1:11" ht="131.25" customHeight="1">
      <c r="A290" s="26"/>
      <c r="B290" s="27"/>
      <c r="C290" s="27"/>
      <c r="D290" s="18"/>
      <c r="E290" s="5" t="s">
        <v>508</v>
      </c>
      <c r="F290" s="5" t="s">
        <v>574</v>
      </c>
      <c r="G290" s="37">
        <f>G57+G67+G69</f>
        <v>4130062</v>
      </c>
      <c r="H290" s="37">
        <f>H57+H67+H69</f>
        <v>2743990</v>
      </c>
      <c r="I290" s="37">
        <f>I57+I67+I69</f>
        <v>1386072</v>
      </c>
      <c r="J290" s="37">
        <f>J57+J67+J69</f>
        <v>1386072</v>
      </c>
      <c r="K290" s="109"/>
    </row>
    <row r="291" spans="1:11" ht="158.25" customHeight="1">
      <c r="A291" s="26"/>
      <c r="B291" s="27"/>
      <c r="C291" s="27"/>
      <c r="D291" s="18"/>
      <c r="E291" s="5" t="s">
        <v>536</v>
      </c>
      <c r="F291" s="5" t="s">
        <v>570</v>
      </c>
      <c r="G291" s="37">
        <f>G44+G45+G47+G48+G52+G46</f>
        <v>97080456</v>
      </c>
      <c r="H291" s="37">
        <f>H44+H45+H47+H48+H52+H46</f>
        <v>77280456</v>
      </c>
      <c r="I291" s="37">
        <f>I44+I45+I47+I48+I52+I46</f>
        <v>19800000</v>
      </c>
      <c r="J291" s="37">
        <f>J44+J45+J47+J48+J52+J46</f>
        <v>19800000</v>
      </c>
      <c r="K291" s="109"/>
    </row>
    <row r="292" spans="1:11" ht="188.25" customHeight="1">
      <c r="A292" s="26"/>
      <c r="B292" s="27"/>
      <c r="C292" s="27"/>
      <c r="D292" s="18"/>
      <c r="E292" s="5" t="s">
        <v>534</v>
      </c>
      <c r="F292" s="5" t="s">
        <v>501</v>
      </c>
      <c r="G292" s="37">
        <f>G49</f>
        <v>11000000</v>
      </c>
      <c r="H292" s="37">
        <f>H49</f>
        <v>7850000</v>
      </c>
      <c r="I292" s="37">
        <f>I49</f>
        <v>3150000</v>
      </c>
      <c r="J292" s="37">
        <f>J49</f>
        <v>3150000</v>
      </c>
      <c r="K292" s="109">
        <v>57</v>
      </c>
    </row>
    <row r="293" spans="1:11" ht="179.25" customHeight="1">
      <c r="A293" s="26"/>
      <c r="B293" s="27"/>
      <c r="C293" s="27"/>
      <c r="D293" s="18"/>
      <c r="E293" s="5" t="s">
        <v>497</v>
      </c>
      <c r="F293" s="5" t="s">
        <v>583</v>
      </c>
      <c r="G293" s="37">
        <f>G33+G73+G76+G145+G146+G147+G148+G149+G150+G152+G153+G155+G157+G158+G160+G164</f>
        <v>112218681</v>
      </c>
      <c r="H293" s="37">
        <f>H33+H73+H76+H145+H146+H147+H148+H149+H150+H152+H153+H155+H157+H158+H160+H164</f>
        <v>112146681</v>
      </c>
      <c r="I293" s="37">
        <f>I33+I73+I76+I145+I146+I147+I148+I149+I150+I152+I153+I155+I157+I158+I160+I164</f>
        <v>72000</v>
      </c>
      <c r="J293" s="37">
        <f>J33+J73+J76+J145+J146+J147+J148+J149+J150+J152+J153+J155+J157+J158+J160+J164</f>
        <v>72000</v>
      </c>
      <c r="K293" s="109"/>
    </row>
    <row r="294" spans="1:11" ht="148.5" customHeight="1">
      <c r="A294" s="26"/>
      <c r="B294" s="27"/>
      <c r="C294" s="27"/>
      <c r="D294" s="18"/>
      <c r="E294" s="5" t="s">
        <v>503</v>
      </c>
      <c r="F294" s="5" t="s">
        <v>502</v>
      </c>
      <c r="G294" s="38">
        <f>G24</f>
        <v>100000</v>
      </c>
      <c r="H294" s="38">
        <f>H24</f>
        <v>100000</v>
      </c>
      <c r="I294" s="38">
        <f>I24</f>
        <v>0</v>
      </c>
      <c r="J294" s="38">
        <f>J24</f>
        <v>0</v>
      </c>
      <c r="K294" s="109"/>
    </row>
    <row r="295" spans="1:11" ht="143.25" customHeight="1">
      <c r="A295" s="26"/>
      <c r="B295" s="27"/>
      <c r="C295" s="27"/>
      <c r="D295" s="18"/>
      <c r="E295" s="5" t="s">
        <v>517</v>
      </c>
      <c r="F295" s="5" t="s">
        <v>551</v>
      </c>
      <c r="G295" s="38">
        <f>G172+G173+G174+G175+G176</f>
        <v>4507100</v>
      </c>
      <c r="H295" s="38">
        <f>H172+H173+H174+H175+H176</f>
        <v>3757100</v>
      </c>
      <c r="I295" s="38">
        <f>I172+I173+I174+I175+I176</f>
        <v>750000</v>
      </c>
      <c r="J295" s="38">
        <f>J172+J173+J174+J175+J176</f>
        <v>750000</v>
      </c>
      <c r="K295" s="109"/>
    </row>
    <row r="296" spans="1:11" ht="141.75" customHeight="1">
      <c r="A296" s="26"/>
      <c r="B296" s="27"/>
      <c r="C296" s="27"/>
      <c r="D296" s="18"/>
      <c r="E296" s="5" t="s">
        <v>506</v>
      </c>
      <c r="F296" s="5" t="s">
        <v>537</v>
      </c>
      <c r="G296" s="37">
        <f>G28+G32</f>
        <v>1632582</v>
      </c>
      <c r="H296" s="37">
        <f>H28+H32</f>
        <v>1632582</v>
      </c>
      <c r="I296" s="37">
        <f>I28+I32</f>
        <v>0</v>
      </c>
      <c r="J296" s="37">
        <f>J28+J32</f>
        <v>0</v>
      </c>
      <c r="K296" s="109"/>
    </row>
    <row r="297" spans="1:12" s="15" customFormat="1" ht="147.75" customHeight="1">
      <c r="A297" s="26"/>
      <c r="B297" s="28"/>
      <c r="C297" s="27"/>
      <c r="D297" s="60"/>
      <c r="E297" s="5" t="s">
        <v>515</v>
      </c>
      <c r="F297" s="5" t="s">
        <v>516</v>
      </c>
      <c r="G297" s="37">
        <f>G100+G167+G168+G169+G234+G194</f>
        <v>486090</v>
      </c>
      <c r="H297" s="37">
        <f>H100+H167+H168+H169+H234+H194</f>
        <v>486090</v>
      </c>
      <c r="I297" s="37">
        <f>I100+I167+I168+I169+I234+I194</f>
        <v>0</v>
      </c>
      <c r="J297" s="37">
        <f>J100+J167+J168+J169+J234+J194</f>
        <v>0</v>
      </c>
      <c r="K297" s="109"/>
      <c r="L297" s="79"/>
    </row>
    <row r="298" spans="1:11" ht="193.5" customHeight="1">
      <c r="A298" s="26"/>
      <c r="B298" s="27"/>
      <c r="C298" s="27"/>
      <c r="D298" s="18"/>
      <c r="E298" s="5" t="s">
        <v>591</v>
      </c>
      <c r="F298" s="5" t="s">
        <v>571</v>
      </c>
      <c r="G298" s="37">
        <f>G56+G214+G59+G219</f>
        <v>20640536</v>
      </c>
      <c r="H298" s="37">
        <f>H56+H214+H59+H219</f>
        <v>19454036</v>
      </c>
      <c r="I298" s="37">
        <f>I56+I214+I59+I219</f>
        <v>1186500</v>
      </c>
      <c r="J298" s="37">
        <f>J56+J214+J59+J219</f>
        <v>1186500</v>
      </c>
      <c r="K298" s="109"/>
    </row>
    <row r="299" spans="1:11" ht="101.25" customHeight="1">
      <c r="A299" s="26"/>
      <c r="B299" s="27"/>
      <c r="C299" s="27"/>
      <c r="D299" s="18"/>
      <c r="E299" s="5" t="s">
        <v>519</v>
      </c>
      <c r="F299" s="5" t="s">
        <v>542</v>
      </c>
      <c r="G299" s="37">
        <f>G26+G29+G35+G30</f>
        <v>8809610</v>
      </c>
      <c r="H299" s="37">
        <f>H26+H29+H35+H30</f>
        <v>7574610</v>
      </c>
      <c r="I299" s="37">
        <f>I26+I29+I35+I30</f>
        <v>1235000</v>
      </c>
      <c r="J299" s="37">
        <f>J26+J29+J35+J30</f>
        <v>1100000</v>
      </c>
      <c r="K299" s="109"/>
    </row>
    <row r="300" spans="1:11" ht="199.5" customHeight="1">
      <c r="A300" s="26"/>
      <c r="B300" s="27"/>
      <c r="C300" s="27"/>
      <c r="D300" s="18"/>
      <c r="E300" s="5" t="s">
        <v>499</v>
      </c>
      <c r="F300" s="5" t="s">
        <v>584</v>
      </c>
      <c r="G300" s="37">
        <f>G23</f>
        <v>718000</v>
      </c>
      <c r="H300" s="37">
        <f>H23</f>
        <v>718000</v>
      </c>
      <c r="I300" s="37">
        <f>I23</f>
        <v>0</v>
      </c>
      <c r="J300" s="37">
        <f>J23</f>
        <v>0</v>
      </c>
      <c r="K300" s="109"/>
    </row>
    <row r="301" spans="1:11" ht="144" customHeight="1">
      <c r="A301" s="26"/>
      <c r="B301" s="27"/>
      <c r="C301" s="27"/>
      <c r="D301" s="18"/>
      <c r="E301" s="7" t="s">
        <v>496</v>
      </c>
      <c r="F301" s="5" t="s">
        <v>594</v>
      </c>
      <c r="G301" s="37">
        <f>G53+G66+G112+G159+G197+G233+G236+G237+G238+G239+G240+G242+G243+G245+G246+G248+G249+G251+G266+G275+G276+G278+G279+G280+G281+G282+G62+G241+G65+G221+G105</f>
        <v>58683619</v>
      </c>
      <c r="H301" s="37">
        <f>H53+H66+H112+H159+H197+H233+H236+H237+H238+H239+H240+H242+H243+H245+H246+H248+H249+H251+H266+H275+H276+H278+H279+H280+H281+H282+H62+H241+H65+H221+H105</f>
        <v>22786910</v>
      </c>
      <c r="I301" s="37">
        <f>I53+I66+I112+I159+I197+I233+I236+I237+I238+I239+I240+I242+I243+I245+I246+I248+I249+I251+I266+I275+I276+I278+I279+I280+I281+I282+I62+I241+I65+I221+I105</f>
        <v>35896709</v>
      </c>
      <c r="J301" s="37">
        <f>J53+J66+J112+J159+J197+J233+J236+J237+J238+J239+J240+J242+J243+J245+J246+J248+J249+J251+J266+J275+J276+J278+J279+J280+J281+J282+J62+J241+J65+J221+J105</f>
        <v>35896709</v>
      </c>
      <c r="K301" s="109"/>
    </row>
    <row r="302" spans="1:11" ht="111.75" customHeight="1">
      <c r="A302" s="26"/>
      <c r="B302" s="27"/>
      <c r="C302" s="27"/>
      <c r="D302" s="18"/>
      <c r="E302" s="7" t="s">
        <v>512</v>
      </c>
      <c r="F302" s="7" t="s">
        <v>513</v>
      </c>
      <c r="G302" s="37">
        <f>G235+G254+G255</f>
        <v>1675165.88</v>
      </c>
      <c r="H302" s="37">
        <f>H235+H254+H255</f>
        <v>1500000</v>
      </c>
      <c r="I302" s="37">
        <f>I235+I254+I255</f>
        <v>175165.8799999999</v>
      </c>
      <c r="J302" s="37">
        <f>J235+J254+J255</f>
        <v>0</v>
      </c>
      <c r="K302" s="109"/>
    </row>
    <row r="303" spans="1:11" ht="162" customHeight="1">
      <c r="A303" s="26"/>
      <c r="B303" s="27"/>
      <c r="C303" s="27"/>
      <c r="D303" s="18"/>
      <c r="E303" s="5" t="s">
        <v>521</v>
      </c>
      <c r="F303" s="63" t="s">
        <v>581</v>
      </c>
      <c r="G303" s="37">
        <f>G198</f>
        <v>659196</v>
      </c>
      <c r="H303" s="37">
        <f>H198</f>
        <v>659196</v>
      </c>
      <c r="I303" s="37">
        <f>I198</f>
        <v>0</v>
      </c>
      <c r="J303" s="37">
        <f>J198</f>
        <v>0</v>
      </c>
      <c r="K303" s="109"/>
    </row>
    <row r="304" spans="1:11" ht="141.75" customHeight="1">
      <c r="A304" s="26"/>
      <c r="B304" s="27"/>
      <c r="C304" s="27"/>
      <c r="D304" s="18"/>
      <c r="E304" s="7" t="s">
        <v>540</v>
      </c>
      <c r="F304" s="5" t="s">
        <v>611</v>
      </c>
      <c r="G304" s="37">
        <f>G60+G108+G138+G178+G184+G191+G199+G202+G205+G210+G217+G244+G277+G247+G216</f>
        <v>122035053.4</v>
      </c>
      <c r="H304" s="37">
        <f>H60+H108+H138+H178+H184+H191+H199+H202+H205+H210+H217+H244+H277+H247+H216</f>
        <v>500000</v>
      </c>
      <c r="I304" s="37">
        <f>I60+I108+I138+I178+I184+I191+I199+I202+I205+I210+I217+I244+I277+I247+I216</f>
        <v>121535053.4</v>
      </c>
      <c r="J304" s="37">
        <f>J60+J108+J138+J178+J184+J191+J199+J202+J205+J210+J217+J244+J277+J247+J216</f>
        <v>116122757.4</v>
      </c>
      <c r="K304" s="109"/>
    </row>
    <row r="305" spans="1:11" ht="151.5" customHeight="1">
      <c r="A305" s="26"/>
      <c r="B305" s="27"/>
      <c r="C305" s="27"/>
      <c r="D305" s="18"/>
      <c r="E305" s="5" t="s">
        <v>532</v>
      </c>
      <c r="F305" s="5" t="s">
        <v>572</v>
      </c>
      <c r="G305" s="37">
        <f>G34+G74+G113+G118+G121+G124+G130+G154+G156+G161+G165+G77</f>
        <v>184335005</v>
      </c>
      <c r="H305" s="37">
        <f>H34+H74+H113+H118+H121+H124+H130+H154+H156+H161+H165+H77</f>
        <v>184335005</v>
      </c>
      <c r="I305" s="37">
        <f>I34+I74+I113+I118+I121+I124+I130+I154+I156+I161+I165+I77</f>
        <v>0</v>
      </c>
      <c r="J305" s="37">
        <f>J34+J74+J113+J118+J121+J124+J130+J154+J156+J161+J165+J77</f>
        <v>0</v>
      </c>
      <c r="K305" s="109"/>
    </row>
    <row r="306" spans="1:11" ht="140.25" customHeight="1">
      <c r="A306" s="26"/>
      <c r="B306" s="27"/>
      <c r="C306" s="27"/>
      <c r="D306" s="18"/>
      <c r="E306" s="5" t="s">
        <v>522</v>
      </c>
      <c r="F306" s="5" t="s">
        <v>592</v>
      </c>
      <c r="G306" s="37">
        <f>G51+G54+G106+G136+G137+G177+G252+G274+G107+G103+G134+G133+G163</f>
        <v>74316845</v>
      </c>
      <c r="H306" s="37">
        <f>H51+H54+H106+H136+H137+H177+H252+H274+H107+H103+H134+H133+H163</f>
        <v>2439038</v>
      </c>
      <c r="I306" s="37">
        <f>I51+I54+I106+I136+I137+I177+I252+I274+I107+I103+I134+I133+I163</f>
        <v>71877807</v>
      </c>
      <c r="J306" s="37">
        <f>J51+J54+J106+J136+J137+J177+J252+J274+J107+J103+J134+J133+J163</f>
        <v>67882617</v>
      </c>
      <c r="K306" s="109">
        <v>58</v>
      </c>
    </row>
    <row r="307" spans="1:11" ht="231" customHeight="1">
      <c r="A307" s="26"/>
      <c r="B307" s="27"/>
      <c r="C307" s="27"/>
      <c r="D307" s="18"/>
      <c r="E307" s="5" t="s">
        <v>505</v>
      </c>
      <c r="F307" s="5" t="s">
        <v>556</v>
      </c>
      <c r="G307" s="37">
        <f>G260+G262+G259</f>
        <v>4067782</v>
      </c>
      <c r="H307" s="37">
        <f>H260+H262+H259</f>
        <v>3397500</v>
      </c>
      <c r="I307" s="37">
        <f>I260+I262+I259</f>
        <v>670282</v>
      </c>
      <c r="J307" s="37">
        <f>J260+J262+J259</f>
        <v>0</v>
      </c>
      <c r="K307" s="109"/>
    </row>
    <row r="308" spans="1:11" ht="147" customHeight="1">
      <c r="A308" s="26"/>
      <c r="B308" s="27"/>
      <c r="C308" s="27"/>
      <c r="D308" s="18"/>
      <c r="E308" s="5" t="s">
        <v>500</v>
      </c>
      <c r="F308" s="5" t="s">
        <v>593</v>
      </c>
      <c r="G308" s="37">
        <f>G38+G39+G40+G41+G42+G43+G101</f>
        <v>76701560</v>
      </c>
      <c r="H308" s="37">
        <f>H38+H39+H40+H41+H42+H43+H101</f>
        <v>65914900</v>
      </c>
      <c r="I308" s="37">
        <f>I38+I39+I40+I41+I42+I43+I101</f>
        <v>10786660</v>
      </c>
      <c r="J308" s="37">
        <f>J38+J39+J40+J41+J42+J43+J101</f>
        <v>10350000</v>
      </c>
      <c r="K308" s="109"/>
    </row>
    <row r="309" spans="1:11" ht="105" customHeight="1">
      <c r="A309" s="26"/>
      <c r="B309" s="27"/>
      <c r="C309" s="27"/>
      <c r="D309" s="18"/>
      <c r="E309" s="7" t="s">
        <v>520</v>
      </c>
      <c r="F309" s="5" t="s">
        <v>553</v>
      </c>
      <c r="G309" s="37">
        <f>G186+G213</f>
        <v>2334874</v>
      </c>
      <c r="H309" s="37">
        <f>H186+H213</f>
        <v>0</v>
      </c>
      <c r="I309" s="37">
        <f>I186+I213</f>
        <v>2334874</v>
      </c>
      <c r="J309" s="37">
        <f>J186+J213</f>
        <v>890000</v>
      </c>
      <c r="K309" s="109"/>
    </row>
    <row r="310" spans="1:11" ht="148.5" customHeight="1">
      <c r="A310" s="26"/>
      <c r="B310" s="27"/>
      <c r="C310" s="27"/>
      <c r="D310" s="18"/>
      <c r="E310" s="5" t="s">
        <v>535</v>
      </c>
      <c r="F310" s="5" t="s">
        <v>511</v>
      </c>
      <c r="G310" s="37">
        <f>G50+G267+G271</f>
        <v>1060000</v>
      </c>
      <c r="H310" s="37">
        <f>H50+H267+H271</f>
        <v>1060000</v>
      </c>
      <c r="I310" s="37">
        <f>I50+I267+I271</f>
        <v>0</v>
      </c>
      <c r="J310" s="37">
        <f>J50+J267+J271</f>
        <v>0</v>
      </c>
      <c r="K310" s="109"/>
    </row>
    <row r="311" spans="1:11" ht="362.25" customHeight="1">
      <c r="A311" s="27"/>
      <c r="B311" s="27"/>
      <c r="C311" s="27"/>
      <c r="D311" s="18"/>
      <c r="E311" s="5" t="s">
        <v>507</v>
      </c>
      <c r="F311" s="5" t="s">
        <v>557</v>
      </c>
      <c r="G311" s="37">
        <f>G68+G58</f>
        <v>48997447</v>
      </c>
      <c r="H311" s="37">
        <f>H68+H58</f>
        <v>47146413</v>
      </c>
      <c r="I311" s="37">
        <f>I68+I58</f>
        <v>1851034</v>
      </c>
      <c r="J311" s="37">
        <f>J68+J58</f>
        <v>1851034</v>
      </c>
      <c r="K311" s="109"/>
    </row>
    <row r="312" spans="1:12" s="3" customFormat="1" ht="128.25" customHeight="1">
      <c r="A312" s="27"/>
      <c r="B312" s="27"/>
      <c r="C312" s="27"/>
      <c r="D312" s="18"/>
      <c r="E312" s="7" t="s">
        <v>538</v>
      </c>
      <c r="F312" s="5" t="s">
        <v>393</v>
      </c>
      <c r="G312" s="31">
        <f>G162</f>
        <v>300000</v>
      </c>
      <c r="H312" s="31">
        <f>H162</f>
        <v>300000</v>
      </c>
      <c r="I312" s="31">
        <f>I162</f>
        <v>0</v>
      </c>
      <c r="J312" s="31">
        <f>J162</f>
        <v>0</v>
      </c>
      <c r="K312" s="109"/>
      <c r="L312" s="70"/>
    </row>
    <row r="313" spans="1:12" s="3" customFormat="1" ht="238.5" customHeight="1">
      <c r="A313" s="27"/>
      <c r="B313" s="27"/>
      <c r="C313" s="27"/>
      <c r="D313" s="18"/>
      <c r="E313" s="5" t="s">
        <v>435</v>
      </c>
      <c r="F313" s="5" t="s">
        <v>436</v>
      </c>
      <c r="G313" s="37">
        <f>G144</f>
        <v>33829</v>
      </c>
      <c r="H313" s="37">
        <f>H144</f>
        <v>33829</v>
      </c>
      <c r="I313" s="37">
        <f>I144</f>
        <v>0</v>
      </c>
      <c r="J313" s="37">
        <f>J144</f>
        <v>0</v>
      </c>
      <c r="K313" s="109"/>
      <c r="L313" s="70"/>
    </row>
    <row r="314" spans="1:12" s="3" customFormat="1" ht="322.5" customHeight="1">
      <c r="A314" s="27"/>
      <c r="B314" s="27"/>
      <c r="C314" s="27"/>
      <c r="D314" s="18"/>
      <c r="E314" s="5" t="s">
        <v>472</v>
      </c>
      <c r="F314" s="5" t="s">
        <v>514</v>
      </c>
      <c r="G314" s="37">
        <f>G192</f>
        <v>214000</v>
      </c>
      <c r="H314" s="37">
        <f>H192</f>
        <v>214000</v>
      </c>
      <c r="I314" s="37">
        <f>I192</f>
        <v>0</v>
      </c>
      <c r="J314" s="37">
        <f>J192</f>
        <v>0</v>
      </c>
      <c r="K314" s="109"/>
      <c r="L314" s="70"/>
    </row>
    <row r="315" spans="1:12" s="3" customFormat="1" ht="238.5" customHeight="1">
      <c r="A315" s="27"/>
      <c r="B315" s="27"/>
      <c r="C315" s="27"/>
      <c r="D315" s="18"/>
      <c r="E315" s="5" t="s">
        <v>539</v>
      </c>
      <c r="F315" s="5" t="s">
        <v>498</v>
      </c>
      <c r="G315" s="37">
        <f>G31+G99+G151</f>
        <v>7227649</v>
      </c>
      <c r="H315" s="37">
        <f>H31+H99+H151</f>
        <v>7227649</v>
      </c>
      <c r="I315" s="37">
        <f>I31+I99+I151</f>
        <v>0</v>
      </c>
      <c r="J315" s="37">
        <f>J31+J99+J151</f>
        <v>0</v>
      </c>
      <c r="K315" s="109"/>
      <c r="L315" s="70"/>
    </row>
    <row r="316" spans="1:12" s="21" customFormat="1" ht="363.75" customHeight="1">
      <c r="A316" s="64"/>
      <c r="B316" s="27"/>
      <c r="C316" s="27"/>
      <c r="D316" s="18"/>
      <c r="E316" s="44" t="s">
        <v>585</v>
      </c>
      <c r="F316" s="5" t="s">
        <v>576</v>
      </c>
      <c r="G316" s="37">
        <f>G193+G223</f>
        <v>179617574</v>
      </c>
      <c r="H316" s="37">
        <f>H193+H223</f>
        <v>179617574</v>
      </c>
      <c r="I316" s="37">
        <f>I193+I223</f>
        <v>0</v>
      </c>
      <c r="J316" s="37">
        <f>J193+J223</f>
        <v>0</v>
      </c>
      <c r="K316" s="110">
        <v>59</v>
      </c>
      <c r="L316" s="80"/>
    </row>
    <row r="317" spans="1:12" s="21" customFormat="1" ht="363.75" customHeight="1">
      <c r="A317" s="108"/>
      <c r="B317" s="27"/>
      <c r="C317" s="27"/>
      <c r="D317" s="18"/>
      <c r="E317" s="44" t="s">
        <v>612</v>
      </c>
      <c r="F317" s="5" t="s">
        <v>614</v>
      </c>
      <c r="G317" s="37">
        <f>G196</f>
        <v>1500000</v>
      </c>
      <c r="H317" s="37">
        <f>H196</f>
        <v>1500000</v>
      </c>
      <c r="I317" s="37">
        <f>I196</f>
        <v>0</v>
      </c>
      <c r="J317" s="37">
        <f>J196</f>
        <v>0</v>
      </c>
      <c r="K317" s="110"/>
      <c r="L317" s="80"/>
    </row>
    <row r="318" spans="1:12" s="21" customFormat="1" ht="163.5" customHeight="1">
      <c r="A318" s="65"/>
      <c r="B318" s="27"/>
      <c r="C318" s="27"/>
      <c r="D318" s="18"/>
      <c r="E318" s="5" t="s">
        <v>590</v>
      </c>
      <c r="F318" s="5" t="s">
        <v>595</v>
      </c>
      <c r="G318" s="37">
        <f>G55</f>
        <v>930240</v>
      </c>
      <c r="H318" s="37">
        <f>H55</f>
        <v>930240</v>
      </c>
      <c r="I318" s="37">
        <f>I55</f>
        <v>0</v>
      </c>
      <c r="J318" s="37">
        <f>J55</f>
        <v>0</v>
      </c>
      <c r="K318" s="110"/>
      <c r="L318" s="80"/>
    </row>
    <row r="319" spans="1:12" s="21" customFormat="1" ht="53.2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110"/>
      <c r="L319" s="80"/>
    </row>
    <row r="320" spans="1:12" s="21" customFormat="1" ht="53.2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110"/>
      <c r="L320" s="80"/>
    </row>
    <row r="321" spans="1:12" s="92" customFormat="1" ht="93.75" customHeight="1">
      <c r="A321" s="117" t="s">
        <v>603</v>
      </c>
      <c r="B321" s="117"/>
      <c r="C321" s="117"/>
      <c r="D321" s="117"/>
      <c r="E321" s="117"/>
      <c r="F321" s="96"/>
      <c r="G321" s="97"/>
      <c r="H321" s="112" t="s">
        <v>604</v>
      </c>
      <c r="I321" s="112"/>
      <c r="J321" s="112"/>
      <c r="K321" s="110"/>
      <c r="L321" s="91"/>
    </row>
    <row r="322" spans="1:12" s="21" customFormat="1" ht="53.25" customHeight="1">
      <c r="A322" s="95"/>
      <c r="B322" s="95"/>
      <c r="C322" s="95"/>
      <c r="D322" s="95"/>
      <c r="E322" s="95"/>
      <c r="F322" s="96"/>
      <c r="G322" s="97"/>
      <c r="H322" s="98"/>
      <c r="I322" s="98"/>
      <c r="J322" s="98"/>
      <c r="K322" s="110"/>
      <c r="L322" s="80"/>
    </row>
    <row r="323" spans="1:12" s="94" customFormat="1" ht="88.5" customHeight="1">
      <c r="A323" s="102" t="s">
        <v>605</v>
      </c>
      <c r="B323" s="102"/>
      <c r="C323" s="102"/>
      <c r="D323" s="99"/>
      <c r="E323" s="99"/>
      <c r="F323" s="99"/>
      <c r="G323" s="100"/>
      <c r="H323" s="101"/>
      <c r="I323" s="101"/>
      <c r="J323" s="101"/>
      <c r="K323" s="110"/>
      <c r="L323" s="93"/>
    </row>
    <row r="324" spans="1:12" s="94" customFormat="1" ht="88.5" customHeight="1">
      <c r="A324" s="102"/>
      <c r="B324" s="102"/>
      <c r="C324" s="102"/>
      <c r="D324" s="99"/>
      <c r="E324" s="99"/>
      <c r="F324" s="99"/>
      <c r="G324" s="100"/>
      <c r="H324" s="101"/>
      <c r="I324" s="101"/>
      <c r="J324" s="101"/>
      <c r="K324" s="110"/>
      <c r="L324" s="93"/>
    </row>
    <row r="325" spans="1:12" s="94" customFormat="1" ht="88.5" customHeight="1">
      <c r="A325" s="102"/>
      <c r="B325" s="102"/>
      <c r="C325" s="102"/>
      <c r="D325" s="99"/>
      <c r="E325" s="99"/>
      <c r="F325" s="99"/>
      <c r="G325" s="100"/>
      <c r="H325" s="101"/>
      <c r="I325" s="101"/>
      <c r="J325" s="101"/>
      <c r="K325" s="110"/>
      <c r="L325" s="93"/>
    </row>
    <row r="326" spans="1:12" s="94" customFormat="1" ht="88.5" customHeight="1">
      <c r="A326" s="102"/>
      <c r="B326" s="102"/>
      <c r="C326" s="102"/>
      <c r="D326" s="99"/>
      <c r="E326" s="99"/>
      <c r="F326" s="99"/>
      <c r="G326" s="100"/>
      <c r="H326" s="101"/>
      <c r="I326" s="101"/>
      <c r="J326" s="101"/>
      <c r="K326" s="110"/>
      <c r="L326" s="93"/>
    </row>
    <row r="327" spans="1:12" s="94" customFormat="1" ht="88.5" customHeight="1">
      <c r="A327" s="102"/>
      <c r="B327" s="102"/>
      <c r="C327" s="102"/>
      <c r="D327" s="99"/>
      <c r="E327" s="99"/>
      <c r="F327" s="99"/>
      <c r="G327" s="100"/>
      <c r="H327" s="101"/>
      <c r="I327" s="101"/>
      <c r="J327" s="101"/>
      <c r="K327" s="110"/>
      <c r="L327" s="93"/>
    </row>
    <row r="328" spans="1:12" s="94" customFormat="1" ht="88.5" customHeight="1">
      <c r="A328" s="102"/>
      <c r="B328" s="102"/>
      <c r="C328" s="102"/>
      <c r="D328" s="99"/>
      <c r="E328" s="99"/>
      <c r="F328" s="99"/>
      <c r="G328" s="100"/>
      <c r="H328" s="101"/>
      <c r="I328" s="101"/>
      <c r="J328" s="101"/>
      <c r="K328" s="110"/>
      <c r="L328" s="93"/>
    </row>
    <row r="329" spans="1:12" s="94" customFormat="1" ht="88.5" customHeight="1">
      <c r="A329" s="102"/>
      <c r="B329" s="102"/>
      <c r="C329" s="102"/>
      <c r="D329" s="99"/>
      <c r="E329" s="99"/>
      <c r="F329" s="99"/>
      <c r="G329" s="100"/>
      <c r="H329" s="101"/>
      <c r="I329" s="101"/>
      <c r="J329" s="101"/>
      <c r="K329" s="110"/>
      <c r="L329" s="93"/>
    </row>
    <row r="330" spans="1:12" s="94" customFormat="1" ht="88.5" customHeight="1">
      <c r="A330" s="102"/>
      <c r="B330" s="102"/>
      <c r="C330" s="102"/>
      <c r="D330" s="99"/>
      <c r="E330" s="99"/>
      <c r="F330" s="99"/>
      <c r="G330" s="100"/>
      <c r="H330" s="101"/>
      <c r="I330" s="101"/>
      <c r="J330" s="101"/>
      <c r="K330" s="110"/>
      <c r="L330" s="93"/>
    </row>
    <row r="331" spans="1:12" s="94" customFormat="1" ht="88.5" customHeight="1">
      <c r="A331" s="102"/>
      <c r="B331" s="102"/>
      <c r="C331" s="102"/>
      <c r="D331" s="99"/>
      <c r="E331" s="99"/>
      <c r="F331" s="99"/>
      <c r="G331" s="100"/>
      <c r="H331" s="101"/>
      <c r="I331" s="101"/>
      <c r="J331" s="101"/>
      <c r="K331" s="110"/>
      <c r="L331" s="93"/>
    </row>
    <row r="332" spans="1:12" s="94" customFormat="1" ht="88.5" customHeight="1">
      <c r="A332" s="102"/>
      <c r="B332" s="102"/>
      <c r="C332" s="102"/>
      <c r="D332" s="99"/>
      <c r="E332" s="99"/>
      <c r="F332" s="99"/>
      <c r="G332" s="100"/>
      <c r="H332" s="101"/>
      <c r="I332" s="101"/>
      <c r="J332" s="101"/>
      <c r="K332" s="110"/>
      <c r="L332" s="93"/>
    </row>
    <row r="333" spans="1:12" s="94" customFormat="1" ht="88.5" customHeight="1">
      <c r="A333" s="102"/>
      <c r="B333" s="102"/>
      <c r="C333" s="102"/>
      <c r="D333" s="99"/>
      <c r="E333" s="99"/>
      <c r="F333" s="99"/>
      <c r="G333" s="100"/>
      <c r="H333" s="101"/>
      <c r="I333" s="101"/>
      <c r="J333" s="101"/>
      <c r="K333" s="110"/>
      <c r="L333" s="93"/>
    </row>
    <row r="334" spans="7:10" ht="84.75" customHeight="1">
      <c r="G334" s="61">
        <f>G283-G284-G286-G287-G288-G289-G290-G291-G292-G293-G294-G295-G296-G297-G298-G299-G300-G301-G302-G303-G304-G305-G306-G307-G308-G309-G310-G311-G312-G313-G314-G315-G316-G285-G318-G317</f>
        <v>-1.1920928955078125E-07</v>
      </c>
      <c r="H334" s="61">
        <f>H283-H284-H286-H287-H288-H289-H290-H291-H292-H293-H294-H295-H296-H297-H298-H299-H300-H301-H302-H303-H304-H305-H306-H307-H308-H309-H310-H311-H312-H313-H314-H315-H316-H285-H318-H317</f>
        <v>-2.384185791015625E-07</v>
      </c>
      <c r="I334" s="61">
        <f>I283-I284-I286-I287-I288-I289-I290-I291-I292-I293-I294-I295-I296-I297-I298-I299-I300-I301-I302-I303-I304-I305-I306-I307-I308-I309-I310-I311-I312-I313-I314-I315-I316-I285-I318-I317</f>
        <v>-2.9802322387695312E-08</v>
      </c>
      <c r="J334" s="61">
        <f>J283-J284-J286-J287-J288-J289-J290-J291-J292-J293-J294-J295-J296-J297-J298-J299-J300-J301-J302-J303-J304-J305-J306-J307-J308-J309-J310-J311-J312-J313-J314-J315-J316-J285-J318-J317</f>
        <v>0</v>
      </c>
    </row>
    <row r="335" spans="7:11" ht="83.25" customHeight="1">
      <c r="G335" s="39">
        <f>G283-G231-G20-G23-G24-G25-G26-G27-G28-G29-G30-G31-G32-G33-G34-G35-G36-G37-G38-G39-G40-G41-G42-G43-G44-G46-G47-G48-G49-G50-G52-G53-G54-G55-G56-G57-G60-G71-G72-G73-G74-G75-G76-G77-G78-G79-G80-G81-G82-G85-G86-G87-G88-G89-G90-G91-G92-G93-G95-G99-G100-G101-G102-G106-G108-G116-G117-G120-G123-G124-G125-G128-G129-G130-G132-G133-G136-G143-G144-G145-G146-G147-G148-G149-G151-G152-G153-G154-G155-G156-G157-G158-G159-G160-G161-G162-G163-G164-G165-G167-G168-G171-G172-G173-G174-G175-G177-G178-G180-G181-G182-G183-G186-G188-G189-G190-G191-G192-G193-G195-G197-G198-G199-G201-G208-G209-G210-G212-G217-G220-G222-G232-G235-G237-G239-G240-G241-G242-G243-G246-G247-G252-G254-G255-G257-G258-G259-G260-G261-G262-G265-G267-G268-G269-G270-G274-G275-G276-G277-G278-G279-G280-G213-G200-G228-G221-G207-G229-G230-G245-G68-G58-G69-G122-G185-G97-G98-G45-G223-G21-G59-G214-G211-G105-G219-G83-G248-G103-G66-G65-G216-G196</f>
        <v>-2.2351741790771484E-08</v>
      </c>
      <c r="H335" s="39">
        <f>H283-H231-H20-H23-H24-H25-H26-H27-H28-H29-H30-H31-H32-H33-H34-H35-H36-H37-H38-H39-H40-H41-H42-H43-H44-H46-H47-H48-H49-H50-H52-H53-H54-H55-H56-H57-H60-H71-H72-H73-H74-H75-H76-H77-H78-H79-H80-H81-H82-H85-H86-H87-H88-H89-H90-H91-H92-H93-H95-H99-H100-H101-H102-H106-H108-H116-H117-H120-H123-H124-H125-H128-H129-H130-H132-H133-H136-H143-H144-H145-H146-H147-H148-H149-H151-H152-H153-H154-H155-H156-H157-H158-H159-H160-H161-H162-H163-H164-H165-H167-H168-H171-H172-H173-H174-H175-H177-H178-H180-H181-H182-H183-H186-H188-H189-H190-H191-H192-H193-H195-H197-H198-H199-H201-H208-H209-H210-H212-H217-H220-H222-H232-H235-H237-H239-H240-H241-H242-H243-H246-H247-H252-H254-H255-H257-H258-H259-H260-H261-H262-H265-H267-H268-H269-H270-H274-H275-H276-H277-H278-H279-H280-H213-H200-H228-H221-H207-H229-H230-H245-H68-H58-H69-H122-H185-H97-H98-H45-H223-H21-H59-H214-H211-H105-H219-H83-H248-H103-H66-H65-H216-H196</f>
        <v>-1.7136335372924805E-07</v>
      </c>
      <c r="I335" s="39">
        <f>I283-I231-I20-I23-I24-I25-I26-I27-I28-I29-I30-I31-I32-I33-I34-I35-I36-I37-I38-I39-I40-I41-I42-I43-I44-I46-I47-I48-I49-I50-I52-I53-I54-I55-I56-I57-I60-I71-I72-I73-I74-I75-I76-I77-I78-I79-I80-I81-I82-I85-I86-I87-I88-I89-I90-I91-I92-I93-I95-I99-I100-I101-I102-I106-I108-I116-I117-I120-I123-I124-I125-I128-I129-I130-I132-I133-I136-I143-I144-I145-I146-I147-I148-I149-I151-I152-I153-I154-I155-I156-I157-I158-I159-I160-I161-I162-I163-I164-I165-I167-I168-I171-I172-I173-I174-I175-I177-I178-I180-I181-I182-I183-I186-I188-I189-I190-I191-I192-I193-I195-I197-I198-I199-I201-I208-I209-I210-I212-I217-I220-I222-I232-I235-I237-I239-I240-I241-I242-I243-I246-I247-I252-I254-I255-I257-I258-I259-I260-I261-I262-I265-I267-I268-I269-I270-I274-I275-I276-I277-I278-I279-I280-I213-I200-I228-I221-I207-I229-I230-I245-I68-I58-I69-I122-I185-I97-I98-I45-I223-I21-I59-I214-I211-I105-I219-I83-I248-I103-I66-I65-I216-I196</f>
        <v>2.2351741790771484E-08</v>
      </c>
      <c r="J335" s="39">
        <f>J283-J231-J20-J23-J24-J25-J26-J27-J28-J29-J30-J31-J32-J33-J34-J35-J36-J37-J38-J39-J40-J41-J42-J43-J44-J46-J47-J48-J49-J50-J52-J53-J54-J55-J56-J57-J60-J71-J72-J73-J74-J75-J76-J77-J78-J79-J80-J81-J82-J85-J86-J87-J88-J89-J90-J91-J92-J93-J95-J99-J100-J101-J102-J106-J108-J116-J117-J120-J123-J124-J125-J128-J129-J130-J132-J133-J136-J143-J144-J145-J146-J147-J148-J149-J151-J152-J153-J154-J155-J156-J157-J158-J159-J160-J161-J162-J163-J164-J165-J167-J168-J171-J172-J173-J174-J175-J177-J178-J180-J181-J182-J183-J186-J188-J189-J190-J191-J192-J193-J195-J197-J198-J199-J201-J208-J209-J210-J212-J217-J220-J222-J232-J235-J237-J239-J240-J241-J242-J243-J246-J247-J252-J254-J255-J257-J258-J259-J260-J261-J262-J265-J267-J268-J269-J270-J274-J275-J276-J277-J278-J279-J280-J213-J200-J228-J221-J207-J229-J230-J245-J68-J58-J69-J122-J185-J97-J98-J45-J223-J21-J59-J214-J211-J105-J219-J83-J248-J103-J66-J65-J216-J196</f>
        <v>2.2351741790771484E-08</v>
      </c>
      <c r="K335" s="105"/>
    </row>
  </sheetData>
  <sheetProtection/>
  <mergeCells count="164">
    <mergeCell ref="B283:E283"/>
    <mergeCell ref="D261:D262"/>
    <mergeCell ref="C261:C262"/>
    <mergeCell ref="B246:B247"/>
    <mergeCell ref="B261:B262"/>
    <mergeCell ref="B190:B192"/>
    <mergeCell ref="C212:C213"/>
    <mergeCell ref="C201:C203"/>
    <mergeCell ref="D246:D247"/>
    <mergeCell ref="B243:B244"/>
    <mergeCell ref="C129:C130"/>
    <mergeCell ref="A183:A184"/>
    <mergeCell ref="C195:C198"/>
    <mergeCell ref="B183:B184"/>
    <mergeCell ref="A164:A165"/>
    <mergeCell ref="C183:C184"/>
    <mergeCell ref="A190:A192"/>
    <mergeCell ref="C190:C192"/>
    <mergeCell ref="C164:C165"/>
    <mergeCell ref="C134:C135"/>
    <mergeCell ref="C199:C200"/>
    <mergeCell ref="D195:D198"/>
    <mergeCell ref="D201:D203"/>
    <mergeCell ref="D209:D211"/>
    <mergeCell ref="D212:D213"/>
    <mergeCell ref="D164:D165"/>
    <mergeCell ref="D129:D130"/>
    <mergeCell ref="A15:J15"/>
    <mergeCell ref="B17:B18"/>
    <mergeCell ref="A103:A104"/>
    <mergeCell ref="C23:C24"/>
    <mergeCell ref="C26:C27"/>
    <mergeCell ref="C17:C18"/>
    <mergeCell ref="D20:D21"/>
    <mergeCell ref="E17:E18"/>
    <mergeCell ref="A20:A21"/>
    <mergeCell ref="A160:A162"/>
    <mergeCell ref="B238:B239"/>
    <mergeCell ref="B195:B198"/>
    <mergeCell ref="A238:A239"/>
    <mergeCell ref="A212:A213"/>
    <mergeCell ref="A209:A211"/>
    <mergeCell ref="A201:A203"/>
    <mergeCell ref="C246:C247"/>
    <mergeCell ref="B160:B162"/>
    <mergeCell ref="A199:A200"/>
    <mergeCell ref="A195:A198"/>
    <mergeCell ref="B199:B200"/>
    <mergeCell ref="B209:B211"/>
    <mergeCell ref="C209:C211"/>
    <mergeCell ref="A243:A244"/>
    <mergeCell ref="B201:B203"/>
    <mergeCell ref="B164:B165"/>
    <mergeCell ref="A155:A156"/>
    <mergeCell ref="C243:C244"/>
    <mergeCell ref="B212:B213"/>
    <mergeCell ref="A13:J13"/>
    <mergeCell ref="I17:J17"/>
    <mergeCell ref="G17:G18"/>
    <mergeCell ref="F17:F18"/>
    <mergeCell ref="D17:D18"/>
    <mergeCell ref="C238:C239"/>
    <mergeCell ref="A14:J14"/>
    <mergeCell ref="A17:A18"/>
    <mergeCell ref="A72:A74"/>
    <mergeCell ref="C20:C21"/>
    <mergeCell ref="A261:A262"/>
    <mergeCell ref="D33:D34"/>
    <mergeCell ref="B66:B69"/>
    <mergeCell ref="D23:D24"/>
    <mergeCell ref="A26:A27"/>
    <mergeCell ref="A246:A247"/>
    <mergeCell ref="A117:A118"/>
    <mergeCell ref="A123:A124"/>
    <mergeCell ref="C132:C133"/>
    <mergeCell ref="A129:A130"/>
    <mergeCell ref="B20:B21"/>
    <mergeCell ref="B72:B74"/>
    <mergeCell ref="C58:C59"/>
    <mergeCell ref="B26:B27"/>
    <mergeCell ref="A58:A59"/>
    <mergeCell ref="C63:C65"/>
    <mergeCell ref="B63:B65"/>
    <mergeCell ref="C72:C74"/>
    <mergeCell ref="A153:A154"/>
    <mergeCell ref="A111:A112"/>
    <mergeCell ref="B123:B124"/>
    <mergeCell ref="B153:B154"/>
    <mergeCell ref="B132:B133"/>
    <mergeCell ref="B117:B118"/>
    <mergeCell ref="A134:A135"/>
    <mergeCell ref="A132:A133"/>
    <mergeCell ref="B129:B130"/>
    <mergeCell ref="A75:A77"/>
    <mergeCell ref="A120:A121"/>
    <mergeCell ref="A63:A65"/>
    <mergeCell ref="B23:B24"/>
    <mergeCell ref="A23:A24"/>
    <mergeCell ref="B33:B34"/>
    <mergeCell ref="A66:A69"/>
    <mergeCell ref="B120:B121"/>
    <mergeCell ref="C53:C54"/>
    <mergeCell ref="B53:B54"/>
    <mergeCell ref="C33:C34"/>
    <mergeCell ref="A33:A34"/>
    <mergeCell ref="A53:A54"/>
    <mergeCell ref="B58:B59"/>
    <mergeCell ref="D66:D69"/>
    <mergeCell ref="B103:B104"/>
    <mergeCell ref="D111:D112"/>
    <mergeCell ref="B111:B112"/>
    <mergeCell ref="D58:D59"/>
    <mergeCell ref="D103:D104"/>
    <mergeCell ref="B75:B77"/>
    <mergeCell ref="C75:C77"/>
    <mergeCell ref="C66:C69"/>
    <mergeCell ref="C111:C112"/>
    <mergeCell ref="C153:C154"/>
    <mergeCell ref="D132:D133"/>
    <mergeCell ref="C155:C156"/>
    <mergeCell ref="C160:C162"/>
    <mergeCell ref="D155:D156"/>
    <mergeCell ref="D26:D27"/>
    <mergeCell ref="D53:D54"/>
    <mergeCell ref="C123:C124"/>
    <mergeCell ref="C120:C121"/>
    <mergeCell ref="D75:D77"/>
    <mergeCell ref="A321:E321"/>
    <mergeCell ref="B155:B156"/>
    <mergeCell ref="H17:H18"/>
    <mergeCell ref="D72:D74"/>
    <mergeCell ref="C117:C118"/>
    <mergeCell ref="D153:D154"/>
    <mergeCell ref="C103:C104"/>
    <mergeCell ref="D120:D121"/>
    <mergeCell ref="D117:D118"/>
    <mergeCell ref="D134:D135"/>
    <mergeCell ref="D123:D124"/>
    <mergeCell ref="D160:D162"/>
    <mergeCell ref="K30:K42"/>
    <mergeCell ref="K43:K55"/>
    <mergeCell ref="K56:K73"/>
    <mergeCell ref="K74:K86"/>
    <mergeCell ref="K87:K100"/>
    <mergeCell ref="K101:K125"/>
    <mergeCell ref="K128:K151"/>
    <mergeCell ref="D63:D65"/>
    <mergeCell ref="K316:K333"/>
    <mergeCell ref="K226:K243"/>
    <mergeCell ref="K245:K260"/>
    <mergeCell ref="K261:K275"/>
    <mergeCell ref="K276:K291"/>
    <mergeCell ref="B134:B135"/>
    <mergeCell ref="H321:J321"/>
    <mergeCell ref="D199:D200"/>
    <mergeCell ref="D190:D192"/>
    <mergeCell ref="D183:D184"/>
    <mergeCell ref="K292:K305"/>
    <mergeCell ref="K306:K315"/>
    <mergeCell ref="K152:K162"/>
    <mergeCell ref="K163:K178"/>
    <mergeCell ref="K179:K192"/>
    <mergeCell ref="K195:K211"/>
    <mergeCell ref="K212:K223"/>
  </mergeCells>
  <printOptions horizontalCentered="1"/>
  <pageMargins left="0.15748031496062992" right="0" top="0.7086614173228347" bottom="0.5511811023622047" header="0.31496062992125984" footer="0.31496062992125984"/>
  <pageSetup firstPageNumber="1" useFirstPageNumber="1" fitToHeight="100" horizontalDpi="600" verticalDpi="600" orientation="landscape" paperSize="9" scale="19" r:id="rId1"/>
  <headerFooter scaleWithDoc="0" alignWithMargins="0">
    <oddFooter>&amp;R&amp;9Сторінка &amp;P</oddFooter>
  </headerFooter>
  <rowBreaks count="1" manualBreakCount="1">
    <brk id="3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2022-12-02T08:52:04Z</cp:lastPrinted>
  <dcterms:created xsi:type="dcterms:W3CDTF">2014-01-17T10:52:16Z</dcterms:created>
  <dcterms:modified xsi:type="dcterms:W3CDTF">2022-12-02T08:57:39Z</dcterms:modified>
  <cp:category/>
  <cp:version/>
  <cp:contentType/>
  <cp:contentStatus/>
</cp:coreProperties>
</file>