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5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'Sheet1'!$A$1:$Q$974</definedName>
  </definedNames>
  <calcPr fullCalcOnLoad="1"/>
</workbook>
</file>

<file path=xl/sharedStrings.xml><?xml version="1.0" encoding="utf-8"?>
<sst xmlns="http://schemas.openxmlformats.org/spreadsheetml/2006/main" count="980" uniqueCount="574">
  <si>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</si>
  <si>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</si>
  <si>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</si>
  <si>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</si>
  <si>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</si>
  <si>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</si>
  <si>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</si>
  <si>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</si>
  <si>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</si>
  <si>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</si>
  <si>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</si>
  <si>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</si>
  <si>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</si>
  <si>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</si>
  <si>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</si>
  <si>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</si>
  <si>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</si>
  <si>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</si>
  <si>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</si>
  <si>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</si>
  <si>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</si>
  <si>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</si>
  <si>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</si>
  <si>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</si>
  <si>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</si>
  <si>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</si>
  <si>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</si>
  <si>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</si>
  <si>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</si>
  <si>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</si>
  <si>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</si>
  <si>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</si>
  <si>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</si>
  <si>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</si>
  <si>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</si>
  <si>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</si>
  <si>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</si>
  <si>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</si>
  <si>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</si>
  <si>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</si>
  <si>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</si>
  <si>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</si>
  <si>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</si>
  <si>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</si>
  <si>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</si>
  <si>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</si>
  <si>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</si>
  <si>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</si>
  <si>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</si>
  <si>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</si>
  <si>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</si>
  <si>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</si>
  <si>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</si>
  <si>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</si>
  <si>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</si>
  <si>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</si>
  <si>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</si>
  <si>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</si>
  <si>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</si>
  <si>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  Показник: видатки на Оплата за спожиту електроенергію насосною станцією по вул.Тихорецька , грн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</si>
  <si>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</si>
  <si>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</si>
  <si>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</si>
  <si>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</si>
  <si>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</si>
  <si>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</si>
  <si>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</si>
  <si>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</si>
  <si>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>програми  реформування і розвитку житлово-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</si>
  <si>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</si>
  <si>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</si>
  <si>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</si>
  <si>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</si>
  <si>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</si>
  <si>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</si>
  <si>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</si>
  <si>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</si>
  <si>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</si>
  <si>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</si>
  <si>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</si>
  <si>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</si>
  <si>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</si>
  <si>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</si>
  <si>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</si>
  <si>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</si>
  <si>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</si>
  <si>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</si>
  <si>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</si>
  <si>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</si>
  <si>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</si>
  <si>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</si>
  <si>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</si>
  <si>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</si>
  <si>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</si>
  <si>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</si>
  <si>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</si>
  <si>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</si>
  <si>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</si>
  <si>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</si>
  <si>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</si>
  <si>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</si>
  <si>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</si>
  <si>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</si>
  <si>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>Виконавець: Журба О.І.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</si>
  <si>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</si>
  <si>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</si>
  <si>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</si>
  <si>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</si>
  <si>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</si>
  <si>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</si>
  <si>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</si>
  <si>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</si>
  <si>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</si>
  <si>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</si>
  <si>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</si>
  <si>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</si>
  <si>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 xml:space="preserve">від                            № 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</si>
  <si>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</si>
  <si>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</si>
  <si>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</si>
  <si>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</si>
  <si>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 на капітальний ремонт обєктів благоустрою</t>
  </si>
  <si>
    <t xml:space="preserve">  Завдання: 27.1. Капітальний ремонт обєктів благоустрою</t>
  </si>
  <si>
    <t>2022</t>
  </si>
  <si>
    <t>2023</t>
  </si>
  <si>
    <t>2024</t>
  </si>
  <si>
    <t>на 2022-2024 роки</t>
  </si>
  <si>
    <t xml:space="preserve">    Показник: кількість місяців, що будуть виконуватись з проведенням оплачуваних громадських робіт, міс.</t>
  </si>
  <si>
    <t xml:space="preserve">  Завдання: 16.1 Забезпечення охорони  каналізаційно-насосної станції за адресою м.Суми вул.Привокзальна 4/13</t>
  </si>
  <si>
    <t>Завдання: 16.8. Поточний ремонт, утримання та технічне обслуговування водонапірних башт та свердловин</t>
  </si>
  <si>
    <t xml:space="preserve"> Завдання: 11.8. Проведення інформайійно-розяснювальної роботи серед населення щодо роздільного збору ТПВ</t>
  </si>
  <si>
    <t xml:space="preserve"> Завдання: 11.9. Поточний ремонт та виготовлення  інформаційних щитів для кладовищ</t>
  </si>
  <si>
    <t xml:space="preserve"> Завдання: 11.10. Надання послуг з розробки звіту з оцінки впливу на довкілля</t>
  </si>
  <si>
    <t xml:space="preserve"> Завдання: 11.11. Надання послуг з виготовлення та встановлення покажчиків назв вулиць по місту, в тому числі в приватному секторі</t>
  </si>
  <si>
    <t xml:space="preserve"> Завдання: 11.12. Реалізація проєкту «Circular-based waste management» («Управління відходами на основі замкненого циклу»)</t>
  </si>
  <si>
    <t xml:space="preserve">  Завдання: 11.13. Орендна плата за користування земельною ділянкою полігону для розміщення твердих побутових відходів III черги (кадастровий номер 5922380800:06:001:0206, розташованої за межами населених пунктів на території Верхньосироватської сільської ради Сумського району (Великобобрицького старостинського округу Краснопільського району) Сумської області)</t>
  </si>
  <si>
    <t xml:space="preserve">  Завдання: 11.14. Надання послуги з розробки проекту: організація дорожнього руху </t>
  </si>
  <si>
    <t xml:space="preserve">  Завдання: 11.15 Забезпечення технічного обслуговування  камер відеоспостереження </t>
  </si>
  <si>
    <t>Показник: площа огорож, м.кв</t>
  </si>
  <si>
    <t>Показник: середні витрати на поточний ремонт та улаштування 1 м.кв., грн.</t>
  </si>
  <si>
    <t>Показник: кількість водогонів, од.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</si>
  <si>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 (програма "Енергодім")</t>
  </si>
  <si>
    <t xml:space="preserve"> Показник: обсяг видатків на встановлення, проведення поточного та капітального ремонтів технічних засобів регулювання дорожнім рухом, грн.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</si>
  <si>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</si>
  <si>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</si>
  <si>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</si>
  <si>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</si>
  <si>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Показник: кількість зупинок громадського транспорту, на яких плануються провести поточний та капітаальний ремонт, од</t>
  </si>
  <si>
    <t>Завдання: 1.6. Забезпечення проведення поточного ремонту проїздів, тротуарів, велосипедних доріжок</t>
  </si>
  <si>
    <t xml:space="preserve">    Показник: площа проїздів, тротуарів, велосипедних доріжок, кв.м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</si>
  <si>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</si>
  <si>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кількість кіловат за спожиту електроенергію насосною станцією по вул.Тихорецька, кВт.</t>
  </si>
  <si>
    <t xml:space="preserve">    Показник: кількість об'єктів житлового фонду (будинків), що планується відремонтувати, од.</t>
  </si>
  <si>
    <t>Показник: кількість об'єктів житлового фонду (будинків), що потребують ремонту, од.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</si>
  <si>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</si>
  <si>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Показник: кількість , міс.</t>
  </si>
  <si>
    <t>Показник: кількість місяців передбачених для технічного обслуговування камер відеоспостереження, міс.</t>
  </si>
  <si>
    <t xml:space="preserve">    Показник: кількість місяців, в яких плануються видатки на забезпечення функціонування водопровідно-каналізаційне господарство, міс.</t>
  </si>
  <si>
    <t xml:space="preserve">  Завдання: 1.7. Забезпечення проведення  утримання 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</si>
  <si>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</si>
  <si>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встановлення,  проведення поточного та капітального ремонтів 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</si>
  <si>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</si>
  <si>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</si>
  <si>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</si>
  <si>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</si>
  <si>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</si>
  <si>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Завдання: 1.15. Забезпечення проведення капітального ремонту об'єктів транспортної інфраструктури </t>
  </si>
  <si>
    <t>Показник: кількість об'єктів транспортної інфраструктури, що потребують капітального ремонту, од</t>
  </si>
  <si>
    <t>Показник: кількість туалетів на території дитячого "Казка, які планується утримувати, од</t>
  </si>
  <si>
    <t>Показник: кількість місяців передбачених для безперебійної роботи насосних станцій по вул. Тихорецька та вул. Кругова, міс.</t>
  </si>
  <si>
    <t xml:space="preserve"> Завдання: 11.1. Проведення поточного ремонту  хомутів із заміною  для кріплення прапорів на електричних та тролейбусних опорах</t>
  </si>
  <si>
    <t xml:space="preserve">    Показник: вартість садіння дерев та кущів, створення газонів  на території територыальноъ громади, грн</t>
  </si>
  <si>
    <t xml:space="preserve">    Показник: кількість  об'єктів водопостачання,  на яких планується замінити гідранти, шт.</t>
  </si>
  <si>
    <t xml:space="preserve">    Показник: обсяг видатків на поточний та капітальний ремонти, грн.</t>
  </si>
  <si>
    <t xml:space="preserve">    Показник: середня вартість капітального та поточного ремонту колекторів та каналізаційних мереж, грн.</t>
  </si>
  <si>
    <t>Показник: кількість об'єктів, що планується відремонтувати, од.</t>
  </si>
  <si>
    <t>Завдання: 16.7  Надання послуг по обстеженню води на території старостинських округів</t>
  </si>
  <si>
    <t>Завдання: 16.6. Проведення капітального та поточного ремонту колекторів, водопровідних  та каналізаційних мереж</t>
  </si>
  <si>
    <t xml:space="preserve">    Показник: кількість підприємств, яким надається фінансова підтримка, од.</t>
  </si>
  <si>
    <t xml:space="preserve">    Показник: середня вартість однієї фінансової підтримки,  грн.</t>
  </si>
  <si>
    <t xml:space="preserve"> Завдання: 4.6. Забезпечення поховання  тіл (останків) загиблих військовослужбовців збройних сил Російської Федерації, осіб, які входили до складу незаконних збройних формувань, що вчинили збройну агресію проти України</t>
  </si>
  <si>
    <t xml:space="preserve"> Показник: видатки на поховання, грн</t>
  </si>
  <si>
    <t>Показник: середня вартість  1 поховання, грн.</t>
  </si>
  <si>
    <t>КПКВК 6014</t>
  </si>
  <si>
    <t xml:space="preserve">    Показник:кількість відходів, куб. М</t>
  </si>
  <si>
    <t xml:space="preserve">    Показник: середня вартість перевезення, грн.</t>
  </si>
  <si>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</si>
  <si>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</si>
  <si>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</si>
  <si>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</si>
  <si>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</si>
  <si>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</si>
  <si>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</si>
  <si>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</si>
  <si>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</si>
  <si>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</si>
  <si>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</si>
  <si>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</si>
  <si>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</si>
  <si>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</si>
  <si>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</si>
  <si>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</si>
  <si>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</si>
  <si>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</si>
  <si>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</si>
  <si>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</si>
  <si>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</si>
  <si>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</si>
  <si>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</si>
  <si>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</si>
  <si>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</si>
  <si>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</si>
  <si>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</si>
  <si>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</si>
  <si>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</si>
  <si>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</si>
  <si>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</si>
  <si>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</si>
  <si>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</si>
  <si>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</si>
  <si>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</si>
  <si>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</si>
  <si>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</si>
  <si>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</si>
  <si>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</si>
  <si>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</si>
  <si>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</si>
  <si>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</si>
  <si>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</si>
  <si>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</si>
  <si>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</si>
  <si>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</si>
  <si>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</si>
  <si>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</si>
  <si>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</si>
  <si>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</si>
  <si>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</si>
  <si>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</si>
  <si>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</si>
  <si>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</si>
  <si>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</si>
  <si>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</si>
  <si>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</si>
  <si>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</si>
  <si>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</si>
  <si>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</si>
  <si>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</si>
  <si>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</si>
  <si>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</si>
  <si>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</si>
  <si>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</si>
  <si>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</si>
  <si>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</si>
  <si>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</si>
  <si>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</si>
  <si>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</si>
  <si>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</si>
  <si>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</si>
  <si>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</si>
  <si>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</si>
  <si>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</si>
  <si>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</si>
  <si>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</si>
  <si>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</si>
  <si>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</si>
  <si>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</si>
  <si>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</si>
  <si>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</si>
  <si>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</si>
  <si>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</si>
  <si>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</si>
  <si>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</si>
  <si>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</si>
  <si>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</si>
  <si>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</si>
  <si>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</si>
  <si>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</si>
  <si>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</si>
  <si>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</si>
  <si>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</si>
  <si>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</si>
  <si>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</si>
  <si>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</si>
  <si>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</si>
  <si>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</si>
  <si>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</si>
  <si>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</si>
  <si>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</si>
  <si>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</si>
  <si>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</si>
  <si>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</si>
  <si>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</si>
  <si>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</si>
  <si>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</si>
  <si>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</si>
  <si>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</si>
  <si>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</si>
  <si>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</si>
  <si>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</si>
  <si>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</si>
  <si>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</si>
  <si>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</si>
  <si>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</si>
  <si>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</si>
  <si>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</si>
  <si>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</si>
  <si>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</si>
  <si>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</si>
  <si>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</si>
  <si>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</si>
  <si>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</si>
  <si>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</si>
  <si>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</si>
  <si>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</si>
  <si>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</si>
  <si>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</si>
  <si>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</si>
  <si>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</si>
  <si>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</si>
  <si>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</si>
  <si>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</si>
  <si>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</si>
  <si>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</si>
  <si>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</si>
  <si>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</si>
  <si>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</si>
  <si>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</si>
  <si>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</si>
  <si>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</si>
  <si>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</si>
  <si>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</si>
  <si>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</si>
  <si>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</si>
  <si>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</si>
  <si>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</si>
  <si>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</si>
  <si>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</si>
  <si>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</si>
  <si>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Показник: кількість об'єктів, на яких планується здійснити технічне обслуговування, грн.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</si>
  <si>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</si>
  <si>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</si>
  <si>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</si>
  <si>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</si>
  <si>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32. Розробка нормативів питного водопостачання для населення м. Суми 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</si>
  <si>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</si>
  <si>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</si>
  <si>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</si>
  <si>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</si>
  <si>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 xml:space="preserve">комунального господарства Сумської міської 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</si>
  <si>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</si>
  <si>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</si>
  <si>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</si>
  <si>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</si>
  <si>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</si>
  <si>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</si>
  <si>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</si>
  <si>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</si>
  <si>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</si>
  <si>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</si>
  <si>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</si>
  <si>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</si>
  <si>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</si>
  <si>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</si>
  <si>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</si>
  <si>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</si>
  <si>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</si>
  <si>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</si>
  <si>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</si>
  <si>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</si>
  <si>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</si>
  <si>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</si>
  <si>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</si>
  <si>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</si>
  <si>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</si>
  <si>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</si>
  <si>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</si>
  <si>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</si>
  <si>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</si>
  <si>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</si>
  <si>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</si>
  <si>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</si>
  <si>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</si>
  <si>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</si>
  <si>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</si>
  <si>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</si>
  <si>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</si>
  <si>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</si>
  <si>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</si>
  <si>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Тип показника: Ефективності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</si>
  <si>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</si>
  <si>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</si>
  <si>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</si>
  <si>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</si>
  <si>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</si>
  <si>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</si>
  <si>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</si>
  <si>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</si>
  <si>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</si>
  <si>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</si>
  <si>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</si>
  <si>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</si>
  <si>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</si>
  <si>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</si>
  <si>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</si>
  <si>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</si>
  <si>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</si>
  <si>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</si>
  <si>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</si>
  <si>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</si>
  <si>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</si>
  <si>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</si>
  <si>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</si>
  <si>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</si>
  <si>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</si>
  <si>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</si>
  <si>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</si>
  <si>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</si>
  <si>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</si>
  <si>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</si>
  <si>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</si>
  <si>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</si>
  <si>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</si>
  <si>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</si>
  <si>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</si>
  <si>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</si>
  <si>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середня вартість сервісного обслуговування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</si>
  <si>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</si>
  <si>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</si>
  <si>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</si>
  <si>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</si>
  <si>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</si>
  <si>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</si>
  <si>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</si>
  <si>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</si>
  <si>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</si>
  <si>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</si>
  <si>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</si>
  <si>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</si>
  <si>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</si>
  <si>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</si>
  <si>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</si>
  <si>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</si>
  <si>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</si>
  <si>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</si>
  <si>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</si>
  <si>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</si>
  <si>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</si>
  <si>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</si>
  <si>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</si>
  <si>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</si>
  <si>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</si>
  <si>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</si>
  <si>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</si>
  <si>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</si>
  <si>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</si>
  <si>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</si>
  <si>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</si>
  <si>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</si>
  <si>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</si>
  <si>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</si>
  <si>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</si>
  <si>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</si>
  <si>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</si>
  <si>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</si>
  <si>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</si>
  <si>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</si>
  <si>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</si>
  <si>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</si>
  <si>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</si>
  <si>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</si>
  <si>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</si>
  <si>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</si>
  <si>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</si>
  <si>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</si>
  <si>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</si>
  <si>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</si>
  <si>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</si>
  <si>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</si>
  <si>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</si>
  <si>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</si>
  <si>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</si>
  <si>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</si>
  <si>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</si>
  <si>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</si>
  <si>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</si>
  <si>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</si>
  <si>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</si>
  <si>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</si>
  <si>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</si>
  <si>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</si>
  <si>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</si>
  <si>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</si>
  <si>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</si>
  <si>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</si>
  <si>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</si>
  <si>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</si>
  <si>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</si>
  <si>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</si>
  <si>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</si>
  <si>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</si>
  <si>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</si>
  <si>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</si>
  <si>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</si>
  <si>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</si>
  <si>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</si>
  <si>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</si>
  <si>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</si>
  <si>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</si>
  <si>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</si>
  <si>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</si>
  <si>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</si>
  <si>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</si>
  <si>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</si>
  <si>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</si>
  <si>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</si>
  <si>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</si>
  <si>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</si>
  <si>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</si>
  <si>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</si>
  <si>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>Завдання: 16.9. Поточний ремонт інших об'єктів - заміна насосного обладнання (придбання)</t>
  </si>
  <si>
    <t xml:space="preserve">  Завдання: 1.16. Забезпечення проведення благоустрою населених пунктів вулично-дорожньої мережі та штучних споруд, в тому числі в приватному секторі</t>
  </si>
  <si>
    <t xml:space="preserve">    Показник: загальна площа вулично-дорожньої мережі, що потребує проведення благоустрою, кв. м</t>
  </si>
  <si>
    <t xml:space="preserve">    Показник: площа вуличної-дорожньої мережі, яка охоплена проведенням благоустрою, кв.м</t>
  </si>
  <si>
    <t xml:space="preserve">    Показник: середня вартість проведення благоустрою 1 кв. м вулично-дорожньої мережі, грн.</t>
  </si>
  <si>
    <t xml:space="preserve">    Показник: % доріг з проведеним благоустроєм від потребуючих </t>
  </si>
  <si>
    <t xml:space="preserve">  Завдання: 27. Перевезення тимчасово складованих побутових відходів на полігон для складування твердих побутових відходів</t>
  </si>
  <si>
    <t xml:space="preserve">    Показник:середні витрати на проведення поточного ремонту доріжок в дитячому парку "Казка", грн</t>
  </si>
  <si>
    <t xml:space="preserve">Показник: площа доріжок в дитячому парку "Казка",  які потребують ремонту,  кв. м </t>
  </si>
  <si>
    <t xml:space="preserve">    Показник: площа   доріжок в дитячому парку "Казка", на якій планується провести поточний  ремонт кв. м </t>
  </si>
  <si>
    <t xml:space="preserve">    Показник: середні витрати на  прибирання  та косіння трави 1 га території дитячого парку "Казка",  грн.</t>
  </si>
  <si>
    <t xml:space="preserve">  Завдання: 28. Капітальний ремонт об'єктів та елементів благоустрою на загальних об'єктах</t>
  </si>
  <si>
    <t xml:space="preserve"> Показник: видатки на надання послуг з проведення контрольного топографо-геофізичного знімання , грн</t>
  </si>
  <si>
    <t>Показник: кількість послуг з проведення контрольного топографо-геофізичного знімання, од.</t>
  </si>
  <si>
    <t>Показник: середні витрати на послугу з проведення контрольного топографо-геофізичного знімання, грн.</t>
  </si>
  <si>
    <t>Завдання: 11.17. Надання послуг з проведення контрольного топографо-геофізичного знімання</t>
  </si>
  <si>
    <t>Завдання: 11.16  Надання послуг зі створення та розміщення інформаційної продукції (табличок для найпростіших укриттів (підвалів) в житлових будинках</t>
  </si>
  <si>
    <t xml:space="preserve"> Показник: видатки на надання послуг зі створення та розміщення інформаційної продукції (табличок для найпростіших укриттів (підвалів) в житлових будинках , грн</t>
  </si>
  <si>
    <t>Показник: кількість послуг зі створення та розміщення інформаційної продукції (табличок для найпростіших укриттів (підвалів) в житлових будинках, од.</t>
  </si>
  <si>
    <t>Показник: середні витрати на послугу зі створення та розміщення інформаційної продукції (табличок для найпростіших укриттів (підвалів) в житлових будинках, грн.</t>
  </si>
  <si>
    <r>
      <t xml:space="preserve">   </t>
    </r>
    <r>
      <rPr>
        <b/>
        <sz val="10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</si>
  <si>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10"/>
        <rFont val="Times New Roman"/>
        <family val="1"/>
      </rPr>
      <t xml:space="preserve"> Тип показника: Ефективності</t>
    </r>
  </si>
  <si>
    <t>Показник: кількість похованих тіл, чол.</t>
  </si>
  <si>
    <t>Показник: середні витрати на утримання 1 туалету на  місяць, грн.</t>
  </si>
  <si>
    <t xml:space="preserve">    Показник: середні витрати на поточний ремонт та утримання парків, скверів міста, зелених зон та пляжів, грн.</t>
  </si>
  <si>
    <t xml:space="preserve">    Показник: кількість парків, скверів міста, зелених зон та пляжів, на якій планується поточний ремонт та утримання, од.</t>
  </si>
  <si>
    <t xml:space="preserve">    Показник: територія парків, скверів міста, зелених зон та пляжів, на якій планується поточний ремонт та  утримання, од.</t>
  </si>
  <si>
    <t xml:space="preserve"> Показник: середня вартість податку на земельну ділянку, грн.</t>
  </si>
  <si>
    <t>КПКВК  6090, КПКВК 7691</t>
  </si>
  <si>
    <t>Олександр ЛИСЕНКО</t>
  </si>
  <si>
    <t>Завдання: 11.18. Надання послуг з проведення технічної інвентаризації та паспортизації об'єктів благоустрою</t>
  </si>
  <si>
    <t xml:space="preserve"> Показник: видатки на надання послуг з проведення технічної інвентаризації та паспортизації об'єктів благоустрою , грн</t>
  </si>
  <si>
    <t>Показник: кількість послуг з проведення технічної інвентаризації та паспортизації об'єктів благоустрою, од.</t>
  </si>
  <si>
    <t>Показник: середні витрати на послугу з проведення технічної інвентаризації та паспортизації об'єктів благоустрою, грн.</t>
  </si>
  <si>
    <t>до рішення Сумської міської ради</t>
  </si>
  <si>
    <t>Завдання: 16.10. Фінансова підтримка КП «Міськводоканал» СМР (оплата заробітної плати разом з нарахуваннями, придбання запасних частиин, матеріалів  та паливно-мастильних матеріалів, проведення державної експертизи та оцінки запасів корисних копалин)</t>
  </si>
  <si>
    <t>КПКВК 6072</t>
  </si>
  <si>
    <t xml:space="preserve">    Показник:кількість суб'єктів господарювання, од.</t>
  </si>
  <si>
    <t xml:space="preserve">  Завдання: 29. Компенсація різниці в тарифах на теплову енергію, послуги з постачання теплової енергії та постачання гарячої води згідно із Законом України "Про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функціонування" за рахунок субвенції з державного бюджету</t>
  </si>
  <si>
    <t>2</t>
  </si>
  <si>
    <t xml:space="preserve">    Показник: середній обсяг компенсації, який буде погашатися, грн.</t>
  </si>
  <si>
    <t xml:space="preserve"> Показник: видатки на інші видатки у сфері житлово-комунального господарства  , грн</t>
  </si>
  <si>
    <t>Показник: кількість послуг з проведення інших видатків у сфері житлово-комунального господарства , од.</t>
  </si>
  <si>
    <t>Показник: середні витрати на інші видатки у сфері житлово-комунального господарства , грн.</t>
  </si>
  <si>
    <t xml:space="preserve">Завдання: 11.19. Інші видатки у сфері житлово-комунального господарства </t>
  </si>
  <si>
    <t>Завдання: 11.20. Придбання гусеничного бульдозеру</t>
  </si>
  <si>
    <t xml:space="preserve"> Показник: видатки на придбання гусеничного бульдозеру, грн</t>
  </si>
  <si>
    <t>Показник: кількість придбаних гусеничних бульдозерів , од.</t>
  </si>
  <si>
    <t>Показник: середні витрати на придбання гусеничного бульдозеру, , грн.</t>
  </si>
  <si>
    <t xml:space="preserve">    Показник: кількість квіткової розсади на території дитячого парку "Казка", які планується висадити,од</t>
  </si>
  <si>
    <t>«Про внесення змін до Комплексної цільової</t>
  </si>
  <si>
    <t xml:space="preserve">від 26 січня 2022 року № 2718-МР (зі змінами)»       </t>
  </si>
  <si>
    <t>територіальної громади на 2022-2024 роки,</t>
  </si>
  <si>
    <t>від  25 січня 2023 року №3413 - МР</t>
  </si>
  <si>
    <t>Додаток 12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</si>
</sst>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00"/>
    <numFmt numFmtId="199" formatCode="0.00000"/>
    <numFmt numFmtId="200" formatCode="0.000"/>
    <numFmt numFmtId="201" formatCode="0.0"/>
    <numFmt numFmtId="202" formatCode="0.000000000"/>
    <numFmt numFmtId="203" formatCode="0.0000000000"/>
    <numFmt numFmtId="204" formatCode="0.00000000"/>
    <numFmt numFmtId="205" formatCode="0.0000000"/>
    <numFmt numFmtId="206" formatCode="0.000000"/>
    <numFmt numFmtId="207" formatCode="#,##0.0"/>
    <numFmt numFmtId="208" formatCode="#,##0.000"/>
    <numFmt numFmtId="209" formatCode="#,##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_ ;[Red]\-#,##0.00\ "/>
    <numFmt numFmtId="215" formatCode="#"/>
    <numFmt numFmtId="216" formatCode="#,##0.000_₴"/>
    <numFmt numFmtId="217" formatCode="#,##0.00000"/>
    <numFmt numFmtId="218" formatCode="#,##0.000000"/>
    <numFmt numFmtId="219" formatCode="#,##0_р_."/>
    <numFmt numFmtId="220" formatCode="[$-422]d\ mmmm\ yyyy&quot; р.&quot;"/>
  </numFmts>
  <fonts count="62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8" fillId="33" borderId="0" xfId="53" applyFont="1" applyFill="1">
      <alignment/>
      <protection/>
    </xf>
    <xf numFmtId="0" fontId="8" fillId="33" borderId="0" xfId="53" applyFont="1" applyFill="1" applyAlignment="1">
      <alignment/>
      <protection/>
    </xf>
    <xf numFmtId="0" fontId="8" fillId="33" borderId="0" xfId="53" applyFont="1" applyFill="1" applyAlignment="1">
      <alignment horizontal="center"/>
      <protection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19" fillId="34" borderId="0" xfId="0" applyFont="1" applyFill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5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wrapText="1"/>
    </xf>
    <xf numFmtId="0" fontId="15" fillId="35" borderId="0" xfId="0" applyFont="1" applyFill="1" applyAlignment="1">
      <alignment/>
    </xf>
    <xf numFmtId="0" fontId="19" fillId="35" borderId="0" xfId="0" applyFont="1" applyFill="1" applyAlignment="1">
      <alignment/>
    </xf>
    <xf numFmtId="4" fontId="20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wrapText="1"/>
    </xf>
    <xf numFmtId="0" fontId="8" fillId="33" borderId="0" xfId="53" applyFont="1" applyFill="1" applyAlignment="1">
      <alignment horizontal="left" vertical="center" wrapText="1"/>
      <protection/>
    </xf>
    <xf numFmtId="2" fontId="1" fillId="36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219" fontId="22" fillId="37" borderId="10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22" fillId="0" borderId="10" xfId="53" applyFont="1" applyFill="1" applyBorder="1" applyAlignment="1">
      <alignment horizontal="left" vertical="center" wrapText="1"/>
      <protection/>
    </xf>
    <xf numFmtId="0" fontId="22" fillId="36" borderId="10" xfId="53" applyFont="1" applyFill="1" applyBorder="1" applyAlignment="1">
      <alignment horizontal="left" vertical="center" wrapText="1"/>
      <protection/>
    </xf>
    <xf numFmtId="0" fontId="20" fillId="33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4" fontId="20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wrapText="1"/>
    </xf>
    <xf numFmtId="4" fontId="22" fillId="33" borderId="12" xfId="0" applyNumberFormat="1" applyFont="1" applyFill="1" applyBorder="1" applyAlignment="1">
      <alignment horizontal="center" vertical="center"/>
    </xf>
    <xf numFmtId="4" fontId="15" fillId="33" borderId="12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4" fontId="20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wrapText="1"/>
    </xf>
    <xf numFmtId="4" fontId="20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4" fontId="15" fillId="37" borderId="10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37" fontId="22" fillId="33" borderId="10" xfId="0" applyNumberFormat="1" applyFont="1" applyFill="1" applyBorder="1" applyAlignment="1">
      <alignment horizontal="center" vertical="center"/>
    </xf>
    <xf numFmtId="37" fontId="20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15" fontId="9" fillId="33" borderId="10" xfId="0" applyNumberFormat="1" applyFont="1" applyFill="1" applyBorder="1" applyAlignment="1">
      <alignment horizontal="center" vertical="center"/>
    </xf>
    <xf numFmtId="215" fontId="20" fillId="33" borderId="1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37" fontId="20" fillId="0" borderId="10" xfId="0" applyNumberFormat="1" applyFont="1" applyFill="1" applyBorder="1" applyAlignment="1">
      <alignment horizontal="center" vertical="center"/>
    </xf>
    <xf numFmtId="37" fontId="9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4" fontId="22" fillId="36" borderId="10" xfId="0" applyNumberFormat="1" applyFont="1" applyFill="1" applyBorder="1" applyAlignment="1">
      <alignment horizontal="center" vertical="center"/>
    </xf>
    <xf numFmtId="4" fontId="22" fillId="36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vertical="top" wrapText="1"/>
    </xf>
    <xf numFmtId="4" fontId="15" fillId="34" borderId="15" xfId="0" applyNumberFormat="1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  <xf numFmtId="4" fontId="22" fillId="37" borderId="10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4" fontId="15" fillId="33" borderId="15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4" fontId="15" fillId="38" borderId="10" xfId="0" applyNumberFormat="1" applyFont="1" applyFill="1" applyBorder="1" applyAlignment="1">
      <alignment horizontal="center" vertical="center"/>
    </xf>
    <xf numFmtId="4" fontId="15" fillId="38" borderId="10" xfId="0" applyNumberFormat="1" applyFont="1" applyFill="1" applyBorder="1" applyAlignment="1">
      <alignment horizontal="center"/>
    </xf>
    <xf numFmtId="4" fontId="20" fillId="38" borderId="10" xfId="0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center" vertical="center" wrapText="1"/>
    </xf>
    <xf numFmtId="4" fontId="15" fillId="39" borderId="10" xfId="0" applyNumberFormat="1" applyFont="1" applyFill="1" applyBorder="1" applyAlignment="1">
      <alignment horizontal="center" vertical="center"/>
    </xf>
    <xf numFmtId="4" fontId="29" fillId="39" borderId="10" xfId="0" applyNumberFormat="1" applyFont="1" applyFill="1" applyBorder="1" applyAlignment="1">
      <alignment horizontal="center" vertical="center" wrapText="1"/>
    </xf>
    <xf numFmtId="3" fontId="29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1" fillId="3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20" fillId="37" borderId="10" xfId="0" applyNumberFormat="1" applyFont="1" applyFill="1" applyBorder="1" applyAlignment="1">
      <alignment horizontal="center" vertical="center" wrapText="1"/>
    </xf>
    <xf numFmtId="4" fontId="22" fillId="37" borderId="12" xfId="0" applyNumberFormat="1" applyFont="1" applyFill="1" applyBorder="1" applyAlignment="1">
      <alignment horizontal="center" vertical="center"/>
    </xf>
    <xf numFmtId="4" fontId="20" fillId="37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0" fontId="8" fillId="33" borderId="0" xfId="53" applyFont="1" applyFill="1" applyAlignment="1">
      <alignment horizontal="left" vertical="center" wrapText="1"/>
      <protection/>
    </xf>
    <xf numFmtId="4" fontId="11" fillId="0" borderId="19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75"/>
          <c:h val="0.96425"/>
        </c:manualLayout>
      </c:layout>
      <c:barChart>
        <c:barDir val="col"/>
        <c:grouping val="clustered"/>
        <c:varyColors val="0"/>
        <c:axId val="6233897"/>
        <c:axId val="56105074"/>
      </c:barChart>
      <c:catAx>
        <c:axId val="6233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5074"/>
        <c:crosses val="autoZero"/>
        <c:auto val="1"/>
        <c:lblOffset val="100"/>
        <c:tickLblSkip val="1"/>
        <c:noMultiLvlLbl val="0"/>
      </c:catAx>
      <c:valAx>
        <c:axId val="56105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897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501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67375"/>
    <xdr:graphicFrame>
      <xdr:nvGraphicFramePr>
        <xdr:cNvPr id="1" name="Chart 1"/>
        <xdr:cNvGraphicFramePr/>
      </xdr:nvGraphicFramePr>
      <xdr:xfrm>
        <a:off x="0" y="0"/>
        <a:ext cx="92011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71"/>
  <sheetViews>
    <sheetView tabSelected="1" view="pageBreakPreview" zoomScale="112" zoomScaleNormal="85" zoomScaleSheetLayoutView="112" workbookViewId="0" topLeftCell="A1">
      <pane ySplit="18" topLeftCell="A957" activePane="bottomLeft" state="frozen"/>
      <selection pane="topLeft" activeCell="A2" sqref="A2"/>
      <selection pane="bottomLeft" activeCell="H961" sqref="H961"/>
    </sheetView>
  </sheetViews>
  <sheetFormatPr defaultColWidth="9.33203125" defaultRowHeight="11.25"/>
  <cols>
    <col min="1" max="1" width="89.83203125" style="4" customWidth="1"/>
    <col min="2" max="2" width="9.5" style="4" hidden="1" customWidth="1"/>
    <col min="3" max="3" width="0.4921875" style="4" hidden="1" customWidth="1"/>
    <col min="4" max="4" width="19.33203125" style="5" customWidth="1"/>
    <col min="5" max="6" width="18.5" style="5" customWidth="1"/>
    <col min="7" max="7" width="19.83203125" style="5" bestFit="1" customWidth="1"/>
    <col min="8" max="8" width="17.83203125" style="5" customWidth="1"/>
    <col min="9" max="9" width="16.16015625" style="5" hidden="1" customWidth="1"/>
    <col min="10" max="10" width="17.33203125" style="5" customWidth="1"/>
    <col min="11" max="13" width="16" style="5" hidden="1" customWidth="1"/>
    <col min="14" max="14" width="17.16015625" style="5" customWidth="1"/>
    <col min="15" max="15" width="17.5" style="5" customWidth="1"/>
    <col min="16" max="16" width="27.33203125" style="5" customWidth="1"/>
    <col min="17" max="17" width="0.328125" style="4" customWidth="1"/>
    <col min="18" max="18" width="22" style="4" customWidth="1"/>
    <col min="19" max="131" width="10.33203125" style="4" customWidth="1"/>
    <col min="132" max="16384" width="9.33203125" style="13" customWidth="1"/>
  </cols>
  <sheetData>
    <row r="1" ht="3.75" customHeight="1"/>
    <row r="2" spans="1:19" ht="14.25" customHeight="1">
      <c r="A2" s="32"/>
      <c r="B2" s="32"/>
      <c r="C2" s="32"/>
      <c r="D2" s="52"/>
      <c r="E2" s="53"/>
      <c r="F2" s="54"/>
      <c r="G2" s="54"/>
      <c r="H2" s="37"/>
      <c r="I2" s="37"/>
      <c r="J2" s="335"/>
      <c r="K2" s="335"/>
      <c r="L2" s="335"/>
      <c r="M2" s="28"/>
      <c r="N2" s="332" t="s">
        <v>573</v>
      </c>
      <c r="O2" s="332"/>
      <c r="P2" s="332"/>
      <c r="Q2" s="28"/>
      <c r="R2" s="28"/>
      <c r="S2" s="28"/>
    </row>
    <row r="3" spans="1:19" ht="14.25" customHeight="1">
      <c r="A3" s="32"/>
      <c r="B3" s="32"/>
      <c r="C3" s="32"/>
      <c r="D3" s="333"/>
      <c r="E3" s="333"/>
      <c r="F3" s="333"/>
      <c r="G3" s="333"/>
      <c r="H3" s="37"/>
      <c r="I3" s="37"/>
      <c r="J3" s="28"/>
      <c r="K3" s="28"/>
      <c r="L3" s="28"/>
      <c r="M3" s="28"/>
      <c r="N3" s="28" t="s">
        <v>553</v>
      </c>
      <c r="O3" s="28"/>
      <c r="P3" s="28"/>
      <c r="Q3" s="28"/>
      <c r="R3" s="28"/>
      <c r="S3" s="28"/>
    </row>
    <row r="4" spans="1:19" ht="14.25" customHeight="1">
      <c r="A4" s="32"/>
      <c r="B4" s="32"/>
      <c r="C4" s="32"/>
      <c r="D4" s="333"/>
      <c r="E4" s="333"/>
      <c r="F4" s="333"/>
      <c r="G4" s="333"/>
      <c r="H4" s="37"/>
      <c r="I4" s="37"/>
      <c r="J4" s="28"/>
      <c r="K4" s="28"/>
      <c r="L4" s="28"/>
      <c r="M4" s="28"/>
      <c r="N4" s="28" t="s">
        <v>569</v>
      </c>
      <c r="O4" s="28"/>
      <c r="P4" s="28"/>
      <c r="Q4" s="28"/>
      <c r="R4" s="28"/>
      <c r="S4" s="28"/>
    </row>
    <row r="5" spans="1:19" ht="14.25" customHeight="1">
      <c r="A5" s="38"/>
      <c r="B5" s="38"/>
      <c r="C5" s="38"/>
      <c r="D5" s="333"/>
      <c r="E5" s="333"/>
      <c r="F5" s="333"/>
      <c r="G5" s="333"/>
      <c r="H5" s="39"/>
      <c r="I5" s="39"/>
      <c r="J5" s="28"/>
      <c r="K5" s="28"/>
      <c r="L5" s="28"/>
      <c r="M5" s="28"/>
      <c r="N5" s="28" t="s">
        <v>68</v>
      </c>
      <c r="O5" s="28"/>
      <c r="P5" s="28"/>
      <c r="Q5" s="28"/>
      <c r="R5" s="28"/>
      <c r="S5" s="28"/>
    </row>
    <row r="6" spans="1:19" ht="14.25" customHeight="1">
      <c r="A6" s="38"/>
      <c r="B6" s="38"/>
      <c r="C6" s="38"/>
      <c r="D6" s="333"/>
      <c r="E6" s="333"/>
      <c r="F6" s="333"/>
      <c r="G6" s="333"/>
      <c r="H6" s="39"/>
      <c r="I6" s="39"/>
      <c r="J6" s="28"/>
      <c r="K6" s="28"/>
      <c r="L6" s="28"/>
      <c r="M6" s="28"/>
      <c r="N6" s="28" t="s">
        <v>348</v>
      </c>
      <c r="O6" s="28"/>
      <c r="P6" s="28"/>
      <c r="Q6" s="28"/>
      <c r="R6" s="28"/>
      <c r="S6" s="28"/>
    </row>
    <row r="7" spans="1:19" ht="14.25" customHeight="1">
      <c r="A7" s="38"/>
      <c r="B7" s="38"/>
      <c r="C7" s="38"/>
      <c r="D7" s="333"/>
      <c r="E7" s="333"/>
      <c r="F7" s="333"/>
      <c r="G7" s="333"/>
      <c r="H7" s="39"/>
      <c r="I7" s="39"/>
      <c r="J7" s="28"/>
      <c r="K7" s="28"/>
      <c r="L7" s="28"/>
      <c r="M7" s="28"/>
      <c r="N7" s="28" t="s">
        <v>571</v>
      </c>
      <c r="O7" s="28"/>
      <c r="P7" s="28"/>
      <c r="Q7" s="28"/>
      <c r="R7" s="28"/>
      <c r="S7" s="28"/>
    </row>
    <row r="8" spans="1:19" ht="16.5" customHeight="1">
      <c r="A8" s="38"/>
      <c r="B8" s="38"/>
      <c r="C8" s="38"/>
      <c r="D8" s="333"/>
      <c r="E8" s="333"/>
      <c r="F8" s="333"/>
      <c r="G8" s="333"/>
      <c r="H8" s="39"/>
      <c r="I8" s="39"/>
      <c r="J8" s="28"/>
      <c r="K8" s="28"/>
      <c r="L8" s="28"/>
      <c r="M8" s="28"/>
      <c r="N8" s="28" t="s">
        <v>70</v>
      </c>
      <c r="O8" s="28"/>
      <c r="P8" s="28"/>
      <c r="Q8" s="28"/>
      <c r="R8" s="28"/>
      <c r="S8" s="28"/>
    </row>
    <row r="9" spans="1:19" ht="16.5" customHeight="1">
      <c r="A9" s="38"/>
      <c r="B9" s="38"/>
      <c r="C9" s="38"/>
      <c r="D9" s="333"/>
      <c r="E9" s="333"/>
      <c r="F9" s="333"/>
      <c r="G9" s="333"/>
      <c r="H9" s="39"/>
      <c r="I9" s="39"/>
      <c r="J9" s="28"/>
      <c r="K9" s="28"/>
      <c r="L9" s="28"/>
      <c r="M9" s="28"/>
      <c r="N9" s="28" t="s">
        <v>570</v>
      </c>
      <c r="O9" s="28"/>
      <c r="P9" s="28"/>
      <c r="Q9" s="28"/>
      <c r="R9" s="28"/>
      <c r="S9" s="28"/>
    </row>
    <row r="10" spans="1:19" ht="14.25" customHeight="1">
      <c r="A10" s="38"/>
      <c r="B10" s="38"/>
      <c r="C10" s="38"/>
      <c r="D10" s="333"/>
      <c r="E10" s="333"/>
      <c r="F10" s="333"/>
      <c r="G10" s="333"/>
      <c r="H10" s="39"/>
      <c r="I10" s="39"/>
      <c r="J10" s="28"/>
      <c r="K10" s="28"/>
      <c r="L10" s="28"/>
      <c r="M10" s="28"/>
      <c r="N10" s="28" t="s">
        <v>572</v>
      </c>
      <c r="O10" s="28"/>
      <c r="P10" s="28"/>
      <c r="Q10" s="28"/>
      <c r="R10" s="28"/>
      <c r="S10" s="28"/>
    </row>
    <row r="11" spans="1:19" ht="14.25" customHeight="1" hidden="1">
      <c r="A11" s="38"/>
      <c r="B11" s="38"/>
      <c r="C11" s="38"/>
      <c r="D11" s="121"/>
      <c r="E11" s="121"/>
      <c r="F11" s="121"/>
      <c r="G11" s="121"/>
      <c r="H11" s="39"/>
      <c r="I11" s="39"/>
      <c r="J11" s="28"/>
      <c r="K11" s="28"/>
      <c r="L11" s="28"/>
      <c r="M11" s="28"/>
      <c r="N11" s="28" t="s">
        <v>116</v>
      </c>
      <c r="O11" s="28"/>
      <c r="P11" s="28"/>
      <c r="Q11" s="28"/>
      <c r="R11" s="28"/>
      <c r="S11" s="28"/>
    </row>
    <row r="12" spans="1:16" ht="9.75" customHeight="1">
      <c r="A12" s="38"/>
      <c r="B12" s="38"/>
      <c r="C12" s="38"/>
      <c r="D12" s="39"/>
      <c r="E12" s="39"/>
      <c r="F12" s="39"/>
      <c r="G12" s="39"/>
      <c r="H12" s="39"/>
      <c r="I12" s="39"/>
      <c r="J12" s="28"/>
      <c r="K12" s="28"/>
      <c r="L12" s="28"/>
      <c r="M12" s="28"/>
      <c r="N12" s="28"/>
      <c r="O12" s="28"/>
      <c r="P12" s="28"/>
    </row>
    <row r="13" spans="1:16" ht="33.75" customHeight="1">
      <c r="A13" s="336" t="s">
        <v>69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</row>
    <row r="14" spans="1:16" ht="16.5" customHeight="1">
      <c r="A14" s="40"/>
      <c r="B14" s="40"/>
      <c r="C14" s="40"/>
      <c r="D14" s="41"/>
      <c r="E14" s="41"/>
      <c r="F14" s="334" t="s">
        <v>126</v>
      </c>
      <c r="G14" s="334"/>
      <c r="H14" s="41"/>
      <c r="I14" s="41"/>
      <c r="J14" s="37"/>
      <c r="K14" s="41"/>
      <c r="L14" s="37"/>
      <c r="M14" s="37"/>
      <c r="N14" s="37"/>
      <c r="O14" s="37"/>
      <c r="P14" s="51" t="s">
        <v>207</v>
      </c>
    </row>
    <row r="15" spans="1:137" ht="20.25" customHeight="1">
      <c r="A15" s="339"/>
      <c r="B15" s="339" t="s">
        <v>203</v>
      </c>
      <c r="C15" s="339" t="s">
        <v>204</v>
      </c>
      <c r="D15" s="321" t="s">
        <v>123</v>
      </c>
      <c r="E15" s="322"/>
      <c r="F15" s="323"/>
      <c r="G15" s="338" t="s">
        <v>124</v>
      </c>
      <c r="H15" s="338"/>
      <c r="I15" s="338"/>
      <c r="J15" s="338"/>
      <c r="K15" s="9"/>
      <c r="L15" s="9"/>
      <c r="M15" s="9"/>
      <c r="N15" s="321" t="s">
        <v>125</v>
      </c>
      <c r="O15" s="322"/>
      <c r="P15" s="323"/>
      <c r="EB15" s="4"/>
      <c r="EC15" s="4"/>
      <c r="ED15" s="4"/>
      <c r="EE15" s="4"/>
      <c r="EF15" s="4"/>
      <c r="EG15" s="4"/>
    </row>
    <row r="16" spans="1:137" ht="15.75" customHeight="1">
      <c r="A16" s="340"/>
      <c r="B16" s="340"/>
      <c r="C16" s="340"/>
      <c r="D16" s="326" t="s">
        <v>205</v>
      </c>
      <c r="E16" s="327"/>
      <c r="F16" s="319" t="s">
        <v>202</v>
      </c>
      <c r="G16" s="324" t="s">
        <v>205</v>
      </c>
      <c r="H16" s="324"/>
      <c r="I16" s="324"/>
      <c r="J16" s="337" t="s">
        <v>202</v>
      </c>
      <c r="K16" s="329" t="s">
        <v>201</v>
      </c>
      <c r="L16" s="330"/>
      <c r="M16" s="331"/>
      <c r="N16" s="326" t="s">
        <v>205</v>
      </c>
      <c r="O16" s="327"/>
      <c r="P16" s="319" t="s">
        <v>202</v>
      </c>
      <c r="EB16" s="4"/>
      <c r="EC16" s="4"/>
      <c r="ED16" s="4"/>
      <c r="EE16" s="4"/>
      <c r="EF16" s="4"/>
      <c r="EG16" s="4"/>
    </row>
    <row r="17" spans="1:137" ht="24.75" customHeight="1">
      <c r="A17" s="341"/>
      <c r="B17" s="341"/>
      <c r="C17" s="341"/>
      <c r="D17" s="9" t="s">
        <v>186</v>
      </c>
      <c r="E17" s="9" t="s">
        <v>187</v>
      </c>
      <c r="F17" s="320"/>
      <c r="G17" s="9" t="s">
        <v>186</v>
      </c>
      <c r="H17" s="9" t="s">
        <v>187</v>
      </c>
      <c r="I17" s="9" t="s">
        <v>284</v>
      </c>
      <c r="J17" s="337"/>
      <c r="K17" s="9" t="s">
        <v>186</v>
      </c>
      <c r="L17" s="9" t="s">
        <v>187</v>
      </c>
      <c r="M17" s="9" t="s">
        <v>202</v>
      </c>
      <c r="N17" s="9" t="s">
        <v>186</v>
      </c>
      <c r="O17" s="9" t="s">
        <v>187</v>
      </c>
      <c r="P17" s="320"/>
      <c r="EB17" s="4"/>
      <c r="EC17" s="4"/>
      <c r="ED17" s="4"/>
      <c r="EE17" s="4"/>
      <c r="EF17" s="4"/>
      <c r="EG17" s="4"/>
    </row>
    <row r="18" spans="1:137" s="36" customFormat="1" ht="12.75">
      <c r="A18" s="42">
        <v>1</v>
      </c>
      <c r="B18" s="42"/>
      <c r="C18" s="42"/>
      <c r="D18" s="42">
        <v>2</v>
      </c>
      <c r="E18" s="42">
        <v>3</v>
      </c>
      <c r="F18" s="42">
        <v>4</v>
      </c>
      <c r="G18" s="42">
        <v>5</v>
      </c>
      <c r="H18" s="42">
        <v>6</v>
      </c>
      <c r="I18" s="42">
        <v>10</v>
      </c>
      <c r="J18" s="42">
        <v>7</v>
      </c>
      <c r="K18" s="42">
        <v>12</v>
      </c>
      <c r="L18" s="42">
        <v>13</v>
      </c>
      <c r="M18" s="42">
        <v>14</v>
      </c>
      <c r="N18" s="42">
        <v>8</v>
      </c>
      <c r="O18" s="42">
        <v>9</v>
      </c>
      <c r="P18" s="42">
        <v>10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</row>
    <row r="19" spans="1:18" s="4" customFormat="1" ht="28.5" customHeight="1">
      <c r="A19" s="8" t="s">
        <v>210</v>
      </c>
      <c r="B19" s="8"/>
      <c r="C19" s="8"/>
      <c r="D19" s="9">
        <f>D24+D477+D497+D717+D734+D743+D821+D845+D854+D863+D873+D881+D890+D899+D908+D917+D709+D926+D942+D950+D960</f>
        <v>255908953.99634147</v>
      </c>
      <c r="E19" s="9">
        <f>E24+E477+E497+E717+E734+E743+E821+E845+E854+E863+E873+E881+E890+E899+E908+E917+E709+E926+E942+E950+E960</f>
        <v>311699551.0035672</v>
      </c>
      <c r="F19" s="9">
        <f>F24+F477+F497+F717+F734+F743+F821+F845+F854+F863+F873+F881+F890+F899+F908+F917+F709+F926+F942+F950+F960</f>
        <v>567608504.9999087</v>
      </c>
      <c r="G19" s="9">
        <f>G24+G477+G497+G717+G734+G743+G821+G845+G854+G863+G873+G881+G890+G899+G908+G917+G709+G926+G942+G950</f>
        <v>496931044.9946108</v>
      </c>
      <c r="H19" s="9">
        <f aca="true" t="shared" si="0" ref="H19:P19">H24+H477+H497+H717+H734+H743+H821+H845+H854+H863+H873+H881+H890+H899+H908+H917+H709+H926+H942+H950</f>
        <v>334963155.6107861</v>
      </c>
      <c r="I19" s="9" t="e">
        <f t="shared" si="0"/>
        <v>#REF!</v>
      </c>
      <c r="J19" s="9">
        <f t="shared" si="0"/>
        <v>831894200.6053969</v>
      </c>
      <c r="K19" s="9" t="e">
        <f t="shared" si="0"/>
        <v>#REF!</v>
      </c>
      <c r="L19" s="9" t="e">
        <f t="shared" si="0"/>
        <v>#REF!</v>
      </c>
      <c r="M19" s="9" t="e">
        <f t="shared" si="0"/>
        <v>#REF!</v>
      </c>
      <c r="N19" s="9">
        <f t="shared" si="0"/>
        <v>508391506.9560344</v>
      </c>
      <c r="O19" s="9">
        <f t="shared" si="0"/>
        <v>291481799.9993861</v>
      </c>
      <c r="P19" s="9">
        <f t="shared" si="0"/>
        <v>799873306.9554205</v>
      </c>
      <c r="R19" s="5"/>
    </row>
    <row r="20" spans="1:18" s="4" customFormat="1" ht="41.25" customHeight="1">
      <c r="A20" s="8" t="s">
        <v>208</v>
      </c>
      <c r="B20" s="8"/>
      <c r="C20" s="8"/>
      <c r="D20" s="9">
        <f>D25</f>
        <v>0</v>
      </c>
      <c r="E20" s="9">
        <f>E25</f>
        <v>55800000</v>
      </c>
      <c r="F20" s="9">
        <f>F25</f>
        <v>55800000</v>
      </c>
      <c r="G20" s="9">
        <f>G25</f>
        <v>0</v>
      </c>
      <c r="H20" s="9">
        <f>H25</f>
        <v>101791800</v>
      </c>
      <c r="I20" s="9" t="e">
        <f aca="true" t="shared" si="1" ref="I20:O20">I25</f>
        <v>#REF!</v>
      </c>
      <c r="J20" s="9">
        <f>SUM(G20)+H20</f>
        <v>101791800</v>
      </c>
      <c r="K20" s="9" t="e">
        <f t="shared" si="1"/>
        <v>#REF!</v>
      </c>
      <c r="L20" s="9" t="e">
        <f t="shared" si="1"/>
        <v>#REF!</v>
      </c>
      <c r="M20" s="9" t="e">
        <f t="shared" si="1"/>
        <v>#REF!</v>
      </c>
      <c r="N20" s="9">
        <f>N25</f>
        <v>0</v>
      </c>
      <c r="O20" s="9">
        <f t="shared" si="1"/>
        <v>106882000</v>
      </c>
      <c r="P20" s="9">
        <f>P25</f>
        <v>106882000</v>
      </c>
      <c r="R20" s="5"/>
    </row>
    <row r="21" spans="1:18" ht="40.5" customHeight="1">
      <c r="A21" s="8" t="s">
        <v>286</v>
      </c>
      <c r="B21" s="8"/>
      <c r="C21" s="8"/>
      <c r="D21" s="9">
        <f>D498</f>
        <v>318730</v>
      </c>
      <c r="E21" s="9">
        <f aca="true" t="shared" si="2" ref="E21:Q21">E498</f>
        <v>636370</v>
      </c>
      <c r="F21" s="9">
        <f t="shared" si="2"/>
        <v>955100</v>
      </c>
      <c r="G21" s="9">
        <f t="shared" si="2"/>
        <v>328452</v>
      </c>
      <c r="H21" s="9">
        <f t="shared" si="2"/>
        <v>676380</v>
      </c>
      <c r="I21" s="9">
        <f t="shared" si="2"/>
        <v>0</v>
      </c>
      <c r="J21" s="9">
        <f t="shared" si="2"/>
        <v>1004832</v>
      </c>
      <c r="K21" s="9" t="e">
        <f t="shared" si="2"/>
        <v>#REF!</v>
      </c>
      <c r="L21" s="9" t="e">
        <f t="shared" si="2"/>
        <v>#REF!</v>
      </c>
      <c r="M21" s="9" t="e">
        <f t="shared" si="2"/>
        <v>#REF!</v>
      </c>
      <c r="N21" s="9">
        <f t="shared" si="2"/>
        <v>344360</v>
      </c>
      <c r="O21" s="9">
        <f t="shared" si="2"/>
        <v>733240</v>
      </c>
      <c r="P21" s="9">
        <f t="shared" si="2"/>
        <v>1077600</v>
      </c>
      <c r="Q21" s="9">
        <f t="shared" si="2"/>
        <v>0</v>
      </c>
      <c r="R21" s="5"/>
    </row>
    <row r="22" spans="1:131" s="56" customFormat="1" ht="20.25" customHeight="1">
      <c r="A22" s="76" t="s">
        <v>253</v>
      </c>
      <c r="B22" s="76"/>
      <c r="C22" s="76"/>
      <c r="D22" s="74">
        <f>D19+D20+D21</f>
        <v>256227683.99634147</v>
      </c>
      <c r="E22" s="74">
        <f>E19+E20+E21</f>
        <v>368135921.0035672</v>
      </c>
      <c r="F22" s="74">
        <f>F19+F20+F21</f>
        <v>624363604.9999087</v>
      </c>
      <c r="G22" s="74">
        <f>G19+G20+G21</f>
        <v>497259496.9946108</v>
      </c>
      <c r="H22" s="74">
        <f>H19+H20+H21</f>
        <v>437431335.6107861</v>
      </c>
      <c r="I22" s="74" t="e">
        <f aca="true" t="shared" si="3" ref="I22:Q22">I19+I20+I21</f>
        <v>#REF!</v>
      </c>
      <c r="J22" s="74">
        <f>J19+J20+J21</f>
        <v>934690832.6053969</v>
      </c>
      <c r="K22" s="74" t="e">
        <f t="shared" si="3"/>
        <v>#REF!</v>
      </c>
      <c r="L22" s="74" t="e">
        <f t="shared" si="3"/>
        <v>#REF!</v>
      </c>
      <c r="M22" s="74" t="e">
        <f t="shared" si="3"/>
        <v>#REF!</v>
      </c>
      <c r="N22" s="74">
        <f>N19+N20+N21</f>
        <v>508735866.9560344</v>
      </c>
      <c r="O22" s="74">
        <f t="shared" si="3"/>
        <v>399097039.9993861</v>
      </c>
      <c r="P22" s="74">
        <f>P19+P20+P21</f>
        <v>907832906.9554205</v>
      </c>
      <c r="Q22" s="74">
        <f t="shared" si="3"/>
        <v>0</v>
      </c>
      <c r="R22" s="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</row>
    <row r="23" spans="1:131" s="44" customFormat="1" ht="30.75" customHeight="1">
      <c r="A23" s="80" t="s">
        <v>42</v>
      </c>
      <c r="B23" s="70"/>
      <c r="C23" s="70"/>
      <c r="D23" s="79">
        <f>D26+D166+D190+D263+D320+D363+D462+D470</f>
        <v>230486899.99634248</v>
      </c>
      <c r="E23" s="79">
        <f>E26+E166+E190+E263+E320+E363+E462+E470</f>
        <v>73089600.00356725</v>
      </c>
      <c r="F23" s="79">
        <f>D23+E23</f>
        <v>303576499.99990976</v>
      </c>
      <c r="G23" s="79">
        <f>G26+G166+G190+G263+G320+G363+G462+G470+40</f>
        <v>472973239.9946118</v>
      </c>
      <c r="H23" s="79">
        <f>H26+H166+H190+H263+H320+H363+H462+H470</f>
        <v>220415900.00078607</v>
      </c>
      <c r="I23" s="79">
        <f>I26+I166+I190+I263+I320+I363+I462+I470</f>
        <v>0</v>
      </c>
      <c r="J23" s="79">
        <f>G23+H23</f>
        <v>693389139.9953978</v>
      </c>
      <c r="K23" s="79" t="e">
        <f>K26+K166+K190+K263+K320+K363+K462+K470</f>
        <v>#REF!</v>
      </c>
      <c r="L23" s="79" t="e">
        <f>L26+L166+L190+L263+L320+L363+L462+L470</f>
        <v>#REF!</v>
      </c>
      <c r="M23" s="79" t="e">
        <f>M26+M166+M190+M263+M320+M363+M462+M470</f>
        <v>#REF!</v>
      </c>
      <c r="N23" s="79">
        <f>N26+N166+N190+N263+N320+N363+N462+N470</f>
        <v>493086606.95603544</v>
      </c>
      <c r="O23" s="79">
        <f>O26+O166+O190+O263+O320+O363+O462+O470</f>
        <v>229113499.99938607</v>
      </c>
      <c r="P23" s="79">
        <f>N23+O23</f>
        <v>722200106.9554214</v>
      </c>
      <c r="Q23" s="46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</row>
    <row r="24" spans="1:131" s="44" customFormat="1" ht="15" customHeight="1">
      <c r="A24" s="168" t="s">
        <v>217</v>
      </c>
      <c r="B24" s="47"/>
      <c r="C24" s="47"/>
      <c r="D24" s="45">
        <f>D23-D25</f>
        <v>230486899.99634248</v>
      </c>
      <c r="E24" s="45">
        <f>E23-E25</f>
        <v>17289600.00356725</v>
      </c>
      <c r="F24" s="45">
        <f>D24+E24</f>
        <v>247776499.99990973</v>
      </c>
      <c r="G24" s="45">
        <f>G23-G25</f>
        <v>472973239.9946118</v>
      </c>
      <c r="H24" s="45">
        <f>H23-H25</f>
        <v>118624100.00078607</v>
      </c>
      <c r="I24" s="45" t="e">
        <f>I93+#REF!+I109+#REF!+I166+I191+#REF!+#REF!+#REF!+I462+I470</f>
        <v>#REF!</v>
      </c>
      <c r="J24" s="45">
        <f>G24+H24</f>
        <v>591597339.9953978</v>
      </c>
      <c r="K24" s="45" t="e">
        <f>K93+#REF!+K109+#REF!+K166+K191+#REF!+#REF!+#REF!+K462+K470</f>
        <v>#REF!</v>
      </c>
      <c r="L24" s="45" t="e">
        <f>L93+#REF!+L109+#REF!+L166+L191+#REF!+#REF!+#REF!+L462+L470</f>
        <v>#REF!</v>
      </c>
      <c r="M24" s="45" t="e">
        <f>M93+#REF!+M109+#REF!+M166+M191+#REF!+#REF!+#REF!+M462+M470</f>
        <v>#REF!</v>
      </c>
      <c r="N24" s="45">
        <f>N23-N25</f>
        <v>493086606.95603544</v>
      </c>
      <c r="O24" s="45">
        <f>O23-O25</f>
        <v>122231499.99938607</v>
      </c>
      <c r="P24" s="45">
        <f>N24+O24</f>
        <v>615318106.9554214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</row>
    <row r="25" spans="1:131" s="44" customFormat="1" ht="28.5" customHeight="1">
      <c r="A25" s="168" t="s">
        <v>218</v>
      </c>
      <c r="B25" s="47"/>
      <c r="C25" s="47"/>
      <c r="D25" s="45">
        <f>D27</f>
        <v>0</v>
      </c>
      <c r="E25" s="45">
        <f>60430000-4630000</f>
        <v>55800000</v>
      </c>
      <c r="F25" s="45">
        <f>SUM(D25)+E25</f>
        <v>55800000</v>
      </c>
      <c r="G25" s="45">
        <f>G27</f>
        <v>0</v>
      </c>
      <c r="H25" s="45">
        <f>H27</f>
        <v>101791800</v>
      </c>
      <c r="I25" s="45" t="e">
        <f>I27+I36+#REF!+#REF!+#REF!-2000000</f>
        <v>#REF!</v>
      </c>
      <c r="J25" s="45">
        <f>G25+H25</f>
        <v>101791800</v>
      </c>
      <c r="K25" s="45" t="e">
        <f>K27+K36+#REF!+#REF!+#REF!-2000000</f>
        <v>#REF!</v>
      </c>
      <c r="L25" s="45" t="e">
        <f>L27+L36+#REF!+#REF!+#REF!-2000000</f>
        <v>#REF!</v>
      </c>
      <c r="M25" s="45" t="e">
        <f>M27+M36+#REF!+#REF!+#REF!-2000000</f>
        <v>#REF!</v>
      </c>
      <c r="N25" s="45">
        <f>N27</f>
        <v>0</v>
      </c>
      <c r="O25" s="45">
        <f>O27</f>
        <v>106882000</v>
      </c>
      <c r="P25" s="45">
        <f>N25+O25</f>
        <v>106882000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</row>
    <row r="26" spans="1:131" s="44" customFormat="1" ht="39.75" customHeight="1">
      <c r="A26" s="75" t="s">
        <v>105</v>
      </c>
      <c r="B26" s="168"/>
      <c r="C26" s="168"/>
      <c r="D26" s="74">
        <f aca="true" t="shared" si="4" ref="D26:J26">D27+D36+D45+D62+D69+D76+D86+D93+D102+D109+D122+D129+D136+D143+D150+D157</f>
        <v>110898599.99541488</v>
      </c>
      <c r="E26" s="74">
        <f t="shared" si="4"/>
        <v>63338399.99999525</v>
      </c>
      <c r="F26" s="74">
        <f t="shared" si="4"/>
        <v>174236999.99541014</v>
      </c>
      <c r="G26" s="74">
        <f t="shared" si="4"/>
        <v>302222100.00081503</v>
      </c>
      <c r="H26" s="74">
        <f t="shared" si="4"/>
        <v>164143800.00079608</v>
      </c>
      <c r="I26" s="74">
        <f t="shared" si="4"/>
        <v>0</v>
      </c>
      <c r="J26" s="74">
        <f t="shared" si="4"/>
        <v>466365900.0016111</v>
      </c>
      <c r="K26" s="74">
        <f aca="true" t="shared" si="5" ref="K26:P26">K27+K36+K45+K62+K69+K76+K86+K93+K102+K109+K122+K129+K136+K143+K150</f>
        <v>0</v>
      </c>
      <c r="L26" s="74">
        <f t="shared" si="5"/>
        <v>0</v>
      </c>
      <c r="M26" s="74">
        <f t="shared" si="5"/>
        <v>0</v>
      </c>
      <c r="N26" s="74">
        <f t="shared" si="5"/>
        <v>316334599.9950305</v>
      </c>
      <c r="O26" s="74">
        <f t="shared" si="5"/>
        <v>170226999.9993961</v>
      </c>
      <c r="P26" s="74">
        <f t="shared" si="5"/>
        <v>486561599.9944266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</row>
    <row r="27" spans="1:131" s="58" customFormat="1" ht="40.5">
      <c r="A27" s="147" t="s">
        <v>106</v>
      </c>
      <c r="B27" s="169"/>
      <c r="C27" s="169"/>
      <c r="D27" s="170"/>
      <c r="E27" s="286">
        <f>(60430000-4630000)+(35600000-33450000)</f>
        <v>57950000</v>
      </c>
      <c r="F27" s="170">
        <f>SUM(D27)+E27</f>
        <v>57950000</v>
      </c>
      <c r="G27" s="170"/>
      <c r="H27" s="170">
        <f>64130000+37661800</f>
        <v>101791800</v>
      </c>
      <c r="I27" s="170"/>
      <c r="J27" s="170">
        <f>H27</f>
        <v>101791800</v>
      </c>
      <c r="K27" s="170"/>
      <c r="L27" s="170"/>
      <c r="M27" s="170"/>
      <c r="N27" s="170"/>
      <c r="O27" s="170">
        <f>67350000+39532000</f>
        <v>106882000</v>
      </c>
      <c r="P27" s="170">
        <f>(P33*P31)</f>
        <v>106882000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</row>
    <row r="28" spans="1:16" ht="13.5">
      <c r="A28" s="149" t="s">
        <v>188</v>
      </c>
      <c r="B28" s="168"/>
      <c r="C28" s="168"/>
      <c r="D28" s="170"/>
      <c r="E28" s="170"/>
      <c r="F28" s="170"/>
      <c r="G28" s="170"/>
      <c r="H28" s="170"/>
      <c r="I28" s="170"/>
      <c r="J28" s="170"/>
      <c r="K28" s="171"/>
      <c r="L28" s="171"/>
      <c r="M28" s="171"/>
      <c r="N28" s="170"/>
      <c r="O28" s="170"/>
      <c r="P28" s="170"/>
    </row>
    <row r="29" spans="1:16" ht="25.5">
      <c r="A29" s="148" t="s">
        <v>192</v>
      </c>
      <c r="B29" s="172"/>
      <c r="C29" s="172"/>
      <c r="D29" s="171"/>
      <c r="E29" s="171">
        <v>270000</v>
      </c>
      <c r="F29" s="171">
        <f>E29</f>
        <v>270000</v>
      </c>
      <c r="G29" s="171"/>
      <c r="H29" s="171">
        <v>270000</v>
      </c>
      <c r="I29" s="171"/>
      <c r="J29" s="171">
        <f>H29</f>
        <v>270000</v>
      </c>
      <c r="K29" s="171"/>
      <c r="L29" s="171"/>
      <c r="M29" s="171"/>
      <c r="N29" s="171"/>
      <c r="O29" s="171">
        <v>270000</v>
      </c>
      <c r="P29" s="171">
        <f>O29</f>
        <v>270000</v>
      </c>
    </row>
    <row r="30" spans="1:16" ht="13.5">
      <c r="A30" s="149" t="s">
        <v>189</v>
      </c>
      <c r="B30" s="168"/>
      <c r="C30" s="168"/>
      <c r="D30" s="171"/>
      <c r="E30" s="170"/>
      <c r="F30" s="170"/>
      <c r="G30" s="171"/>
      <c r="H30" s="170"/>
      <c r="I30" s="170"/>
      <c r="J30" s="170"/>
      <c r="K30" s="171"/>
      <c r="L30" s="171"/>
      <c r="M30" s="171"/>
      <c r="N30" s="171"/>
      <c r="O30" s="170"/>
      <c r="P30" s="170"/>
    </row>
    <row r="31" spans="1:16" ht="12.75">
      <c r="A31" s="148" t="s">
        <v>195</v>
      </c>
      <c r="B31" s="172"/>
      <c r="C31" s="172"/>
      <c r="D31" s="171"/>
      <c r="E31" s="171">
        <f>E27/E33</f>
        <v>44659.02698037161</v>
      </c>
      <c r="F31" s="171">
        <f>E31</f>
        <v>44659.02698037161</v>
      </c>
      <c r="G31" s="171"/>
      <c r="H31" s="171">
        <f>H27/H33</f>
        <v>78445.60384090753</v>
      </c>
      <c r="I31" s="171"/>
      <c r="J31" s="171">
        <f>H31</f>
        <v>78445.60384090753</v>
      </c>
      <c r="K31" s="171"/>
      <c r="L31" s="171"/>
      <c r="M31" s="171"/>
      <c r="N31" s="171"/>
      <c r="O31" s="171">
        <f>O27/O33</f>
        <v>77705.80238027728</v>
      </c>
      <c r="P31" s="171">
        <f>O31</f>
        <v>77705.80238027728</v>
      </c>
    </row>
    <row r="32" spans="1:16" ht="13.5">
      <c r="A32" s="149" t="s">
        <v>191</v>
      </c>
      <c r="B32" s="168"/>
      <c r="C32" s="168"/>
      <c r="D32" s="171"/>
      <c r="E32" s="170"/>
      <c r="F32" s="170"/>
      <c r="G32" s="171"/>
      <c r="H32" s="170"/>
      <c r="I32" s="170"/>
      <c r="J32" s="170"/>
      <c r="K32" s="171"/>
      <c r="L32" s="171"/>
      <c r="M32" s="171"/>
      <c r="N32" s="171"/>
      <c r="O32" s="170"/>
      <c r="P32" s="170"/>
    </row>
    <row r="33" spans="1:16" ht="12.75">
      <c r="A33" s="148" t="s">
        <v>196</v>
      </c>
      <c r="B33" s="172"/>
      <c r="C33" s="172"/>
      <c r="D33" s="171"/>
      <c r="E33" s="171">
        <v>1297.61</v>
      </c>
      <c r="F33" s="171">
        <f>E33</f>
        <v>1297.61</v>
      </c>
      <c r="G33" s="171"/>
      <c r="H33" s="171">
        <v>1297.61</v>
      </c>
      <c r="I33" s="171"/>
      <c r="J33" s="171">
        <f>H33</f>
        <v>1297.61</v>
      </c>
      <c r="K33" s="171"/>
      <c r="L33" s="171"/>
      <c r="M33" s="171"/>
      <c r="N33" s="171"/>
      <c r="O33" s="171">
        <v>1375.47</v>
      </c>
      <c r="P33" s="171">
        <f>O33</f>
        <v>1375.47</v>
      </c>
    </row>
    <row r="34" spans="1:16" ht="13.5">
      <c r="A34" s="143" t="s">
        <v>190</v>
      </c>
      <c r="B34" s="8"/>
      <c r="C34" s="8"/>
      <c r="D34" s="141"/>
      <c r="E34" s="173"/>
      <c r="F34" s="173"/>
      <c r="G34" s="141"/>
      <c r="H34" s="173"/>
      <c r="I34" s="173"/>
      <c r="J34" s="173"/>
      <c r="K34" s="141"/>
      <c r="L34" s="141"/>
      <c r="M34" s="141"/>
      <c r="N34" s="141"/>
      <c r="O34" s="173"/>
      <c r="P34" s="173"/>
    </row>
    <row r="35" spans="1:16" ht="12.75">
      <c r="A35" s="144" t="s">
        <v>200</v>
      </c>
      <c r="B35" s="174"/>
      <c r="C35" s="174"/>
      <c r="D35" s="141"/>
      <c r="E35" s="141">
        <f>E31/E29*100</f>
        <v>16.540380363100596</v>
      </c>
      <c r="F35" s="141">
        <f>F31/F29*100</f>
        <v>16.540380363100596</v>
      </c>
      <c r="G35" s="141"/>
      <c r="H35" s="141">
        <f>H31/H29*100</f>
        <v>29.053927348484272</v>
      </c>
      <c r="I35" s="141" t="e">
        <f>I31/I29*100</f>
        <v>#DIV/0!</v>
      </c>
      <c r="J35" s="141">
        <f>J31/J29*100</f>
        <v>29.053927348484272</v>
      </c>
      <c r="K35" s="141"/>
      <c r="L35" s="141"/>
      <c r="M35" s="141"/>
      <c r="N35" s="141"/>
      <c r="O35" s="141">
        <f>O31/O29*100</f>
        <v>28.779926807510105</v>
      </c>
      <c r="P35" s="141">
        <f>P31/P29*100</f>
        <v>28.779926807510105</v>
      </c>
    </row>
    <row r="36" spans="1:131" s="58" customFormat="1" ht="32.25" customHeight="1">
      <c r="A36" s="147" t="s">
        <v>143</v>
      </c>
      <c r="B36" s="169"/>
      <c r="C36" s="169"/>
      <c r="D36" s="170">
        <f>165000000-50000000-112300000</f>
        <v>2700000</v>
      </c>
      <c r="E36" s="170"/>
      <c r="F36" s="170">
        <f>F42*F40</f>
        <v>2700000</v>
      </c>
      <c r="G36" s="170">
        <f>181500000-80000000</f>
        <v>101500000</v>
      </c>
      <c r="H36" s="170"/>
      <c r="I36" s="170"/>
      <c r="J36" s="170">
        <f>G36</f>
        <v>101500000</v>
      </c>
      <c r="K36" s="170"/>
      <c r="L36" s="170"/>
      <c r="M36" s="170"/>
      <c r="N36" s="170">
        <v>190575000</v>
      </c>
      <c r="O36" s="170"/>
      <c r="P36" s="170">
        <f>N36</f>
        <v>190575000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</row>
    <row r="37" spans="1:16" ht="12.75">
      <c r="A37" s="149" t="s">
        <v>188</v>
      </c>
      <c r="B37" s="168"/>
      <c r="C37" s="168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ht="25.5">
      <c r="A38" s="148" t="s">
        <v>193</v>
      </c>
      <c r="B38" s="172"/>
      <c r="C38" s="172"/>
      <c r="D38" s="171">
        <v>292000</v>
      </c>
      <c r="E38" s="171"/>
      <c r="F38" s="171">
        <f>D38</f>
        <v>292000</v>
      </c>
      <c r="G38" s="171">
        <v>300000</v>
      </c>
      <c r="H38" s="171"/>
      <c r="I38" s="171"/>
      <c r="J38" s="171">
        <f>G38</f>
        <v>300000</v>
      </c>
      <c r="K38" s="171"/>
      <c r="L38" s="171"/>
      <c r="M38" s="171"/>
      <c r="N38" s="171">
        <v>300000</v>
      </c>
      <c r="O38" s="171"/>
      <c r="P38" s="171">
        <f>N38</f>
        <v>300000</v>
      </c>
    </row>
    <row r="39" spans="1:16" ht="12.75">
      <c r="A39" s="149" t="s">
        <v>189</v>
      </c>
      <c r="B39" s="168"/>
      <c r="C39" s="168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ht="12.75">
      <c r="A40" s="148" t="s">
        <v>194</v>
      </c>
      <c r="B40" s="172"/>
      <c r="C40" s="172"/>
      <c r="D40" s="171">
        <f>D36/D42</f>
        <v>1560.278769806872</v>
      </c>
      <c r="E40" s="171"/>
      <c r="F40" s="171">
        <f>D40</f>
        <v>1560.278769806872</v>
      </c>
      <c r="G40" s="171">
        <f>G36/G42</f>
        <v>55334.761678905736</v>
      </c>
      <c r="H40" s="171"/>
      <c r="I40" s="171"/>
      <c r="J40" s="171">
        <f>G40</f>
        <v>55334.761678905736</v>
      </c>
      <c r="K40" s="171"/>
      <c r="L40" s="171"/>
      <c r="M40" s="171"/>
      <c r="N40" s="171">
        <f>N36/N42</f>
        <v>103895.78529022129</v>
      </c>
      <c r="O40" s="171"/>
      <c r="P40" s="171">
        <f>N40</f>
        <v>103895.78529022129</v>
      </c>
    </row>
    <row r="41" spans="1:16" ht="12.75">
      <c r="A41" s="149" t="s">
        <v>191</v>
      </c>
      <c r="B41" s="168"/>
      <c r="C41" s="168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24" customHeight="1">
      <c r="A42" s="148" t="s">
        <v>198</v>
      </c>
      <c r="B42" s="172"/>
      <c r="C42" s="172"/>
      <c r="D42" s="171">
        <v>1730.46</v>
      </c>
      <c r="E42" s="171"/>
      <c r="F42" s="171">
        <f>D42</f>
        <v>1730.46</v>
      </c>
      <c r="G42" s="171">
        <v>1834.29</v>
      </c>
      <c r="H42" s="171"/>
      <c r="I42" s="171"/>
      <c r="J42" s="171">
        <f>G42</f>
        <v>1834.29</v>
      </c>
      <c r="K42" s="171"/>
      <c r="L42" s="171"/>
      <c r="M42" s="171"/>
      <c r="N42" s="171">
        <v>1834.29</v>
      </c>
      <c r="O42" s="171"/>
      <c r="P42" s="171">
        <f>N42</f>
        <v>1834.29</v>
      </c>
    </row>
    <row r="43" spans="1:16" ht="12.75">
      <c r="A43" s="143" t="s">
        <v>190</v>
      </c>
      <c r="B43" s="8"/>
      <c r="C43" s="8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12.75">
      <c r="A44" s="144" t="s">
        <v>199</v>
      </c>
      <c r="B44" s="174"/>
      <c r="C44" s="174"/>
      <c r="D44" s="141">
        <f>D40/D38*100</f>
        <v>0.5343420444544082</v>
      </c>
      <c r="E44" s="141"/>
      <c r="F44" s="141">
        <f>F40/F38*100</f>
        <v>0.5343420444544082</v>
      </c>
      <c r="G44" s="141">
        <f>G40/G38*100</f>
        <v>18.444920559635243</v>
      </c>
      <c r="H44" s="141"/>
      <c r="I44" s="141"/>
      <c r="J44" s="141">
        <f>J40/J38*100</f>
        <v>18.444920559635243</v>
      </c>
      <c r="K44" s="141"/>
      <c r="L44" s="141"/>
      <c r="M44" s="141"/>
      <c r="N44" s="141">
        <f>N40/N38*100</f>
        <v>34.63192843007376</v>
      </c>
      <c r="O44" s="141"/>
      <c r="P44" s="141">
        <f>P40/P38*100</f>
        <v>34.63192843007376</v>
      </c>
    </row>
    <row r="45" spans="1:132" s="58" customFormat="1" ht="40.5">
      <c r="A45" s="147" t="s">
        <v>144</v>
      </c>
      <c r="B45" s="169"/>
      <c r="C45" s="169"/>
      <c r="D45" s="170">
        <f>(D49*D51)+(D59*D57)+14.08</f>
        <v>61774799.99541488</v>
      </c>
      <c r="E45" s="170"/>
      <c r="F45" s="170">
        <f>D45</f>
        <v>61774799.99541488</v>
      </c>
      <c r="G45" s="170">
        <f>G49*G51+G57*G59</f>
        <v>100045700.000815</v>
      </c>
      <c r="H45" s="170"/>
      <c r="I45" s="170"/>
      <c r="J45" s="170">
        <f>G45</f>
        <v>100045700.000815</v>
      </c>
      <c r="K45" s="170"/>
      <c r="L45" s="170"/>
      <c r="M45" s="170"/>
      <c r="N45" s="170">
        <f>N49*N51+N57*N59-0.03</f>
        <v>105047999.99503049</v>
      </c>
      <c r="O45" s="170"/>
      <c r="P45" s="170">
        <f>N45</f>
        <v>105047999.99503049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</row>
    <row r="46" spans="1:132" ht="12.75">
      <c r="A46" s="143" t="s">
        <v>188</v>
      </c>
      <c r="B46" s="8"/>
      <c r="C46" s="8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EB46" s="4"/>
    </row>
    <row r="47" spans="1:132" ht="25.5">
      <c r="A47" s="144" t="s">
        <v>213</v>
      </c>
      <c r="B47" s="174"/>
      <c r="C47" s="174"/>
      <c r="D47" s="141">
        <v>3372600</v>
      </c>
      <c r="E47" s="141"/>
      <c r="F47" s="141">
        <f>D47</f>
        <v>3372600</v>
      </c>
      <c r="G47" s="141">
        <v>3372600</v>
      </c>
      <c r="H47" s="141"/>
      <c r="I47" s="141"/>
      <c r="J47" s="141">
        <f>G47</f>
        <v>3372600</v>
      </c>
      <c r="K47" s="141"/>
      <c r="L47" s="141"/>
      <c r="M47" s="141"/>
      <c r="N47" s="141">
        <v>3372600</v>
      </c>
      <c r="O47" s="141"/>
      <c r="P47" s="141">
        <f>N47</f>
        <v>3372600</v>
      </c>
      <c r="EB47" s="4"/>
    </row>
    <row r="48" spans="1:132" ht="12.75">
      <c r="A48" s="143" t="s">
        <v>189</v>
      </c>
      <c r="B48" s="8"/>
      <c r="C48" s="8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EB48" s="4"/>
    </row>
    <row r="49" spans="1:132" ht="28.5" customHeight="1">
      <c r="A49" s="144" t="s">
        <v>214</v>
      </c>
      <c r="B49" s="174"/>
      <c r="C49" s="174"/>
      <c r="D49" s="141">
        <f>2202395-562643.447</f>
        <v>1639751.5529999998</v>
      </c>
      <c r="E49" s="141"/>
      <c r="F49" s="141">
        <f>D49</f>
        <v>1639751.5529999998</v>
      </c>
      <c r="G49" s="141">
        <v>2287393</v>
      </c>
      <c r="H49" s="141"/>
      <c r="I49" s="141"/>
      <c r="J49" s="141">
        <f>G49</f>
        <v>2287393</v>
      </c>
      <c r="K49" s="141">
        <f>H49</f>
        <v>0</v>
      </c>
      <c r="L49" s="141">
        <f>I49</f>
        <v>0</v>
      </c>
      <c r="M49" s="141">
        <f>J49</f>
        <v>2287393</v>
      </c>
      <c r="N49" s="141">
        <v>2401762.65</v>
      </c>
      <c r="O49" s="141"/>
      <c r="P49" s="141">
        <f>N49</f>
        <v>2401762.65</v>
      </c>
      <c r="EB49" s="4"/>
    </row>
    <row r="50" spans="1:132" ht="12.75">
      <c r="A50" s="143" t="s">
        <v>191</v>
      </c>
      <c r="B50" s="8"/>
      <c r="C50" s="8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EB50" s="4"/>
    </row>
    <row r="51" spans="1:132" ht="25.5">
      <c r="A51" s="144" t="s">
        <v>197</v>
      </c>
      <c r="B51" s="174"/>
      <c r="C51" s="174"/>
      <c r="D51" s="141">
        <v>36.8377781785</v>
      </c>
      <c r="E51" s="141"/>
      <c r="F51" s="141">
        <f>D51</f>
        <v>36.8377781785</v>
      </c>
      <c r="G51" s="141">
        <v>42.67</v>
      </c>
      <c r="H51" s="141"/>
      <c r="I51" s="141"/>
      <c r="J51" s="141">
        <f>G51</f>
        <v>42.67</v>
      </c>
      <c r="K51" s="141"/>
      <c r="L51" s="141"/>
      <c r="M51" s="141"/>
      <c r="N51" s="141">
        <v>42.67</v>
      </c>
      <c r="O51" s="141"/>
      <c r="P51" s="141">
        <f>N51</f>
        <v>42.67</v>
      </c>
      <c r="EB51" s="4"/>
    </row>
    <row r="52" spans="1:132" ht="12.75">
      <c r="A52" s="143" t="s">
        <v>190</v>
      </c>
      <c r="B52" s="8"/>
      <c r="C52" s="8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EB52" s="4"/>
    </row>
    <row r="53" spans="1:16" ht="33.75" customHeight="1">
      <c r="A53" s="144" t="s">
        <v>215</v>
      </c>
      <c r="B53" s="174"/>
      <c r="C53" s="174"/>
      <c r="D53" s="141">
        <f>D49/D47*100</f>
        <v>48.61980528375733</v>
      </c>
      <c r="E53" s="141"/>
      <c r="F53" s="141">
        <f>F49/F47*100</f>
        <v>48.61980528375733</v>
      </c>
      <c r="G53" s="141">
        <f>G49/G47*100</f>
        <v>67.82283698037122</v>
      </c>
      <c r="H53" s="141"/>
      <c r="I53" s="141"/>
      <c r="J53" s="141">
        <f>J49/J47*100</f>
        <v>67.82283698037122</v>
      </c>
      <c r="K53" s="141"/>
      <c r="L53" s="141"/>
      <c r="M53" s="141"/>
      <c r="N53" s="141">
        <f>N49/N47*100</f>
        <v>71.21397882938979</v>
      </c>
      <c r="O53" s="141"/>
      <c r="P53" s="141">
        <f>P49/P47*100</f>
        <v>71.21397882938979</v>
      </c>
    </row>
    <row r="54" spans="1:16" ht="12.75">
      <c r="A54" s="143" t="s">
        <v>188</v>
      </c>
      <c r="B54" s="174"/>
      <c r="C54" s="174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ht="35.25" customHeight="1">
      <c r="A55" s="144" t="s">
        <v>321</v>
      </c>
      <c r="B55" s="174"/>
      <c r="C55" s="174"/>
      <c r="D55" s="141">
        <v>446550</v>
      </c>
      <c r="E55" s="141"/>
      <c r="F55" s="141">
        <v>446550</v>
      </c>
      <c r="G55" s="141">
        <v>446550</v>
      </c>
      <c r="H55" s="141"/>
      <c r="I55" s="141"/>
      <c r="J55" s="141">
        <v>446550</v>
      </c>
      <c r="K55" s="141"/>
      <c r="L55" s="141"/>
      <c r="M55" s="141"/>
      <c r="N55" s="141">
        <v>446550</v>
      </c>
      <c r="O55" s="141"/>
      <c r="P55" s="141">
        <v>446550</v>
      </c>
    </row>
    <row r="56" spans="1:16" ht="12.75">
      <c r="A56" s="143" t="s">
        <v>189</v>
      </c>
      <c r="B56" s="174"/>
      <c r="C56" s="174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ht="25.5">
      <c r="A57" s="144" t="s">
        <v>320</v>
      </c>
      <c r="B57" s="174"/>
      <c r="C57" s="174"/>
      <c r="D57" s="141">
        <f>446550-181050</f>
        <v>265500</v>
      </c>
      <c r="E57" s="141"/>
      <c r="F57" s="141">
        <v>446550</v>
      </c>
      <c r="G57" s="141">
        <v>446550</v>
      </c>
      <c r="H57" s="141"/>
      <c r="I57" s="141"/>
      <c r="J57" s="141">
        <v>446550</v>
      </c>
      <c r="K57" s="141">
        <v>446550</v>
      </c>
      <c r="L57" s="141">
        <v>446550</v>
      </c>
      <c r="M57" s="141">
        <v>446550</v>
      </c>
      <c r="N57" s="141">
        <v>446550</v>
      </c>
      <c r="O57" s="141"/>
      <c r="P57" s="141">
        <f>N57</f>
        <v>446550</v>
      </c>
    </row>
    <row r="58" spans="1:16" ht="12.75">
      <c r="A58" s="143" t="s">
        <v>191</v>
      </c>
      <c r="B58" s="174"/>
      <c r="C58" s="174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ht="25.5">
      <c r="A59" s="144" t="s">
        <v>197</v>
      </c>
      <c r="B59" s="174"/>
      <c r="C59" s="174"/>
      <c r="D59" s="141">
        <v>5.1600073</v>
      </c>
      <c r="E59" s="141"/>
      <c r="F59" s="141">
        <f>D59</f>
        <v>5.1600073</v>
      </c>
      <c r="G59" s="141">
        <v>5.4700273</v>
      </c>
      <c r="H59" s="141"/>
      <c r="I59" s="141"/>
      <c r="J59" s="141">
        <f>G59</f>
        <v>5.4700273</v>
      </c>
      <c r="K59" s="141"/>
      <c r="L59" s="141"/>
      <c r="M59" s="141"/>
      <c r="N59" s="141">
        <v>5.74356231</v>
      </c>
      <c r="O59" s="141"/>
      <c r="P59" s="141">
        <f>N59</f>
        <v>5.74356231</v>
      </c>
    </row>
    <row r="60" spans="1:16" ht="12.75">
      <c r="A60" s="143" t="s">
        <v>190</v>
      </c>
      <c r="B60" s="174"/>
      <c r="C60" s="174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ht="25.5">
      <c r="A61" s="144" t="s">
        <v>215</v>
      </c>
      <c r="B61" s="174"/>
      <c r="C61" s="174"/>
      <c r="D61" s="141">
        <v>85</v>
      </c>
      <c r="E61" s="141"/>
      <c r="F61" s="141">
        <v>85</v>
      </c>
      <c r="G61" s="141">
        <v>100</v>
      </c>
      <c r="H61" s="141"/>
      <c r="I61" s="141"/>
      <c r="J61" s="141">
        <v>100</v>
      </c>
      <c r="K61" s="141"/>
      <c r="L61" s="141"/>
      <c r="M61" s="141"/>
      <c r="N61" s="141">
        <v>100</v>
      </c>
      <c r="O61" s="141"/>
      <c r="P61" s="141">
        <v>100</v>
      </c>
    </row>
    <row r="62" spans="1:137" s="59" customFormat="1" ht="13.5">
      <c r="A62" s="147" t="s">
        <v>145</v>
      </c>
      <c r="B62" s="169"/>
      <c r="C62" s="169"/>
      <c r="D62" s="170">
        <f>1500000-1295800</f>
        <v>204200</v>
      </c>
      <c r="E62" s="170"/>
      <c r="F62" s="170">
        <f>D62</f>
        <v>204200</v>
      </c>
      <c r="G62" s="170">
        <v>1600000</v>
      </c>
      <c r="H62" s="170"/>
      <c r="I62" s="170"/>
      <c r="J62" s="170">
        <f>G62</f>
        <v>1600000</v>
      </c>
      <c r="K62" s="170"/>
      <c r="L62" s="170"/>
      <c r="M62" s="170"/>
      <c r="N62" s="170">
        <v>1700000</v>
      </c>
      <c r="O62" s="170"/>
      <c r="P62" s="170">
        <f>N62</f>
        <v>1700000</v>
      </c>
      <c r="EB62" s="50"/>
      <c r="EC62" s="50"/>
      <c r="ED62" s="50"/>
      <c r="EE62" s="50"/>
      <c r="EF62" s="50"/>
      <c r="EG62" s="50"/>
    </row>
    <row r="63" spans="1:137" s="4" customFormat="1" ht="18.75" customHeight="1">
      <c r="A63" s="143" t="s">
        <v>261</v>
      </c>
      <c r="B63" s="174"/>
      <c r="C63" s="174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EB63" s="13"/>
      <c r="EC63" s="13"/>
      <c r="ED63" s="13"/>
      <c r="EE63" s="13"/>
      <c r="EF63" s="13"/>
      <c r="EG63" s="13"/>
    </row>
    <row r="64" spans="1:137" s="4" customFormat="1" ht="12.75">
      <c r="A64" s="144" t="s">
        <v>440</v>
      </c>
      <c r="B64" s="174"/>
      <c r="C64" s="174"/>
      <c r="D64" s="141">
        <f>D62</f>
        <v>204200</v>
      </c>
      <c r="E64" s="141"/>
      <c r="F64" s="141">
        <f>D64</f>
        <v>204200</v>
      </c>
      <c r="G64" s="141">
        <f>G62</f>
        <v>1600000</v>
      </c>
      <c r="H64" s="141"/>
      <c r="I64" s="141"/>
      <c r="J64" s="141">
        <f>G64</f>
        <v>1600000</v>
      </c>
      <c r="K64" s="141"/>
      <c r="L64" s="141"/>
      <c r="M64" s="141"/>
      <c r="N64" s="141">
        <f>N62</f>
        <v>1700000</v>
      </c>
      <c r="O64" s="141"/>
      <c r="P64" s="141">
        <f>N64</f>
        <v>1700000</v>
      </c>
      <c r="EB64" s="13"/>
      <c r="EC64" s="13"/>
      <c r="ED64" s="13"/>
      <c r="EE64" s="13"/>
      <c r="EF64" s="13"/>
      <c r="EG64" s="13"/>
    </row>
    <row r="65" spans="1:137" s="4" customFormat="1" ht="12.75">
      <c r="A65" s="143" t="s">
        <v>392</v>
      </c>
      <c r="B65" s="174"/>
      <c r="C65" s="174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EB65" s="13"/>
      <c r="EC65" s="13"/>
      <c r="ED65" s="13"/>
      <c r="EE65" s="13"/>
      <c r="EF65" s="13"/>
      <c r="EG65" s="13"/>
    </row>
    <row r="66" spans="1:137" s="43" customFormat="1" ht="18" customHeight="1">
      <c r="A66" s="175" t="s">
        <v>138</v>
      </c>
      <c r="B66" s="172"/>
      <c r="C66" s="172"/>
      <c r="D66" s="171">
        <f>D64/D68</f>
        <v>657.5240000024986</v>
      </c>
      <c r="E66" s="171"/>
      <c r="F66" s="171">
        <f>D66</f>
        <v>657.5240000024986</v>
      </c>
      <c r="G66" s="171">
        <v>4830</v>
      </c>
      <c r="H66" s="171"/>
      <c r="I66" s="171"/>
      <c r="J66" s="171">
        <f>G66</f>
        <v>4830</v>
      </c>
      <c r="K66" s="171"/>
      <c r="L66" s="171"/>
      <c r="M66" s="171"/>
      <c r="N66" s="171">
        <v>4830</v>
      </c>
      <c r="O66" s="171"/>
      <c r="P66" s="171">
        <f>N66</f>
        <v>4830</v>
      </c>
      <c r="EB66" s="44"/>
      <c r="EC66" s="44"/>
      <c r="ED66" s="44"/>
      <c r="EE66" s="44"/>
      <c r="EF66" s="44"/>
      <c r="EG66" s="44"/>
    </row>
    <row r="67" spans="1:137" s="43" customFormat="1" ht="16.5" customHeight="1">
      <c r="A67" s="149" t="s">
        <v>388</v>
      </c>
      <c r="B67" s="172"/>
      <c r="C67" s="172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EB67" s="44"/>
      <c r="EC67" s="44"/>
      <c r="ED67" s="44"/>
      <c r="EE67" s="44"/>
      <c r="EF67" s="44"/>
      <c r="EG67" s="44"/>
    </row>
    <row r="68" spans="1:137" s="43" customFormat="1" ht="12.75">
      <c r="A68" s="148" t="s">
        <v>139</v>
      </c>
      <c r="B68" s="172"/>
      <c r="C68" s="172"/>
      <c r="D68" s="171">
        <v>310.55900621</v>
      </c>
      <c r="E68" s="171"/>
      <c r="F68" s="171">
        <f>D68</f>
        <v>310.55900621</v>
      </c>
      <c r="G68" s="171">
        <f>G64/G66</f>
        <v>331.26293995859214</v>
      </c>
      <c r="H68" s="171"/>
      <c r="I68" s="171"/>
      <c r="J68" s="171">
        <f>G68</f>
        <v>331.26293995859214</v>
      </c>
      <c r="K68" s="171"/>
      <c r="L68" s="171"/>
      <c r="M68" s="171"/>
      <c r="N68" s="171">
        <f>N64/N66</f>
        <v>351.96687370600415</v>
      </c>
      <c r="O68" s="171"/>
      <c r="P68" s="171">
        <f>N68</f>
        <v>351.96687370600415</v>
      </c>
      <c r="EB68" s="44"/>
      <c r="EC68" s="44"/>
      <c r="ED68" s="44"/>
      <c r="EE68" s="44"/>
      <c r="EF68" s="44"/>
      <c r="EG68" s="44"/>
    </row>
    <row r="69" spans="1:137" s="59" customFormat="1" ht="27">
      <c r="A69" s="147" t="s">
        <v>146</v>
      </c>
      <c r="B69" s="169"/>
      <c r="C69" s="169"/>
      <c r="D69" s="170">
        <f>D71</f>
        <v>855000</v>
      </c>
      <c r="E69" s="170">
        <f aca="true" t="shared" si="6" ref="E69:O69">E71</f>
        <v>1000000</v>
      </c>
      <c r="F69" s="170">
        <f t="shared" si="6"/>
        <v>1855000</v>
      </c>
      <c r="G69" s="170">
        <f t="shared" si="6"/>
        <v>2700000</v>
      </c>
      <c r="H69" s="170">
        <f t="shared" si="6"/>
        <v>8287400</v>
      </c>
      <c r="I69" s="170">
        <f t="shared" si="6"/>
        <v>0</v>
      </c>
      <c r="J69" s="170">
        <f t="shared" si="6"/>
        <v>10987400</v>
      </c>
      <c r="K69" s="170">
        <f t="shared" si="6"/>
        <v>0</v>
      </c>
      <c r="L69" s="170">
        <f t="shared" si="6"/>
        <v>0</v>
      </c>
      <c r="M69" s="170">
        <f t="shared" si="6"/>
        <v>0</v>
      </c>
      <c r="N69" s="170">
        <f t="shared" si="6"/>
        <v>1775500</v>
      </c>
      <c r="O69" s="170">
        <f t="shared" si="6"/>
        <v>8702000</v>
      </c>
      <c r="P69" s="170">
        <f>P71</f>
        <v>10477500</v>
      </c>
      <c r="EB69" s="50"/>
      <c r="EC69" s="50"/>
      <c r="ED69" s="50"/>
      <c r="EE69" s="50"/>
      <c r="EF69" s="50"/>
      <c r="EG69" s="50"/>
    </row>
    <row r="70" spans="1:137" s="4" customFormat="1" ht="19.5" customHeight="1">
      <c r="A70" s="143" t="s">
        <v>261</v>
      </c>
      <c r="B70" s="174"/>
      <c r="C70" s="174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EB70" s="13"/>
      <c r="EC70" s="13"/>
      <c r="ED70" s="13"/>
      <c r="EE70" s="13"/>
      <c r="EF70" s="13"/>
      <c r="EG70" s="13"/>
    </row>
    <row r="71" spans="1:137" s="4" customFormat="1" ht="27" customHeight="1">
      <c r="A71" s="144" t="s">
        <v>441</v>
      </c>
      <c r="B71" s="174"/>
      <c r="C71" s="174"/>
      <c r="D71" s="141">
        <f>1595200-740200</f>
        <v>855000</v>
      </c>
      <c r="E71" s="141">
        <f>7818300-6818300</f>
        <v>1000000</v>
      </c>
      <c r="F71" s="141">
        <f>D71+E71</f>
        <v>1855000</v>
      </c>
      <c r="G71" s="141">
        <f>1690900+1009100</f>
        <v>2700000</v>
      </c>
      <c r="H71" s="141">
        <v>8287400</v>
      </c>
      <c r="I71" s="141"/>
      <c r="J71" s="141">
        <f>G71+H71</f>
        <v>10987400</v>
      </c>
      <c r="K71" s="141"/>
      <c r="L71" s="141"/>
      <c r="M71" s="141"/>
      <c r="N71" s="141">
        <v>1775500</v>
      </c>
      <c r="O71" s="141">
        <v>8702000</v>
      </c>
      <c r="P71" s="141">
        <f>N71+O71</f>
        <v>10477500</v>
      </c>
      <c r="EB71" s="13"/>
      <c r="EC71" s="13"/>
      <c r="ED71" s="13"/>
      <c r="EE71" s="13"/>
      <c r="EF71" s="13"/>
      <c r="EG71" s="13"/>
    </row>
    <row r="72" spans="1:137" s="4" customFormat="1" ht="12.75">
      <c r="A72" s="143" t="s">
        <v>392</v>
      </c>
      <c r="B72" s="174"/>
      <c r="C72" s="174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EB72" s="13"/>
      <c r="EC72" s="13"/>
      <c r="ED72" s="13"/>
      <c r="EE72" s="13"/>
      <c r="EF72" s="13"/>
      <c r="EG72" s="13"/>
    </row>
    <row r="73" spans="1:137" s="4" customFormat="1" ht="25.5">
      <c r="A73" s="145" t="s">
        <v>147</v>
      </c>
      <c r="B73" s="174"/>
      <c r="C73" s="174"/>
      <c r="D73" s="176">
        <f>D71/D75</f>
        <v>5.7</v>
      </c>
      <c r="E73" s="176">
        <f>E71/E75</f>
        <v>2</v>
      </c>
      <c r="F73" s="176">
        <f>D73+E73</f>
        <v>7.7</v>
      </c>
      <c r="G73" s="176">
        <f>G71/G75</f>
        <v>16.875</v>
      </c>
      <c r="H73" s="176">
        <f>H71/H75</f>
        <v>15.534020618556701</v>
      </c>
      <c r="I73" s="141"/>
      <c r="J73" s="176">
        <f>G73+H73</f>
        <v>32.4090206185567</v>
      </c>
      <c r="K73" s="141"/>
      <c r="L73" s="141"/>
      <c r="M73" s="141"/>
      <c r="N73" s="176">
        <f>N71/N75</f>
        <v>10.450264861683344</v>
      </c>
      <c r="O73" s="176">
        <f>O71/O75</f>
        <v>15.387879966755673</v>
      </c>
      <c r="P73" s="176">
        <f>N73+O73</f>
        <v>25.838144828439017</v>
      </c>
      <c r="EB73" s="13"/>
      <c r="EC73" s="13"/>
      <c r="ED73" s="13"/>
      <c r="EE73" s="13"/>
      <c r="EF73" s="13"/>
      <c r="EG73" s="13"/>
    </row>
    <row r="74" spans="1:137" s="4" customFormat="1" ht="12.75">
      <c r="A74" s="143" t="s">
        <v>388</v>
      </c>
      <c r="B74" s="174"/>
      <c r="C74" s="174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EB74" s="13"/>
      <c r="EC74" s="13"/>
      <c r="ED74" s="13"/>
      <c r="EE74" s="13"/>
      <c r="EF74" s="13"/>
      <c r="EG74" s="13"/>
    </row>
    <row r="75" spans="1:137" s="4" customFormat="1" ht="30" customHeight="1">
      <c r="A75" s="144" t="s">
        <v>442</v>
      </c>
      <c r="B75" s="174"/>
      <c r="C75" s="174"/>
      <c r="D75" s="141">
        <v>150000</v>
      </c>
      <c r="E75" s="141">
        <v>500000</v>
      </c>
      <c r="F75" s="141">
        <f>D75+E75</f>
        <v>650000</v>
      </c>
      <c r="G75" s="141">
        <v>160000</v>
      </c>
      <c r="H75" s="141">
        <v>533500</v>
      </c>
      <c r="I75" s="141"/>
      <c r="J75" s="141">
        <f>G75+H75</f>
        <v>693500</v>
      </c>
      <c r="K75" s="141"/>
      <c r="L75" s="141"/>
      <c r="M75" s="141"/>
      <c r="N75" s="141">
        <v>169900</v>
      </c>
      <c r="O75" s="141">
        <v>565510</v>
      </c>
      <c r="P75" s="141">
        <f>N75+O75</f>
        <v>735410</v>
      </c>
      <c r="EB75" s="13"/>
      <c r="EC75" s="13"/>
      <c r="ED75" s="13"/>
      <c r="EE75" s="13"/>
      <c r="EF75" s="13"/>
      <c r="EG75" s="13"/>
    </row>
    <row r="76" spans="1:131" s="58" customFormat="1" ht="24.75" customHeight="1">
      <c r="A76" s="147" t="s">
        <v>148</v>
      </c>
      <c r="B76" s="169"/>
      <c r="C76" s="169"/>
      <c r="D76" s="170">
        <f>D78</f>
        <v>1701900</v>
      </c>
      <c r="E76" s="170"/>
      <c r="F76" s="170">
        <f>D76</f>
        <v>1701900</v>
      </c>
      <c r="G76" s="170">
        <f>G78</f>
        <v>11917000</v>
      </c>
      <c r="H76" s="170"/>
      <c r="I76" s="170"/>
      <c r="J76" s="170">
        <f>G76+H76</f>
        <v>11917000</v>
      </c>
      <c r="K76" s="170"/>
      <c r="L76" s="170"/>
      <c r="M76" s="170"/>
      <c r="N76" s="170">
        <f>N78</f>
        <v>12513000</v>
      </c>
      <c r="O76" s="170"/>
      <c r="P76" s="170">
        <f>N76</f>
        <v>12513000</v>
      </c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</row>
    <row r="77" spans="1:16" ht="12.75">
      <c r="A77" s="143" t="s">
        <v>188</v>
      </c>
      <c r="B77" s="8"/>
      <c r="C77" s="8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ht="12.75">
      <c r="A78" s="144" t="s">
        <v>51</v>
      </c>
      <c r="B78" s="174"/>
      <c r="C78" s="174"/>
      <c r="D78" s="141">
        <f>11469000-9767100</f>
        <v>1701900</v>
      </c>
      <c r="E78" s="141"/>
      <c r="F78" s="141">
        <f>D78</f>
        <v>1701900</v>
      </c>
      <c r="G78" s="141">
        <v>11917000</v>
      </c>
      <c r="H78" s="141"/>
      <c r="I78" s="141"/>
      <c r="J78" s="141">
        <f>G78</f>
        <v>11917000</v>
      </c>
      <c r="K78" s="141"/>
      <c r="L78" s="141"/>
      <c r="M78" s="141"/>
      <c r="N78" s="141">
        <v>12513000</v>
      </c>
      <c r="O78" s="141"/>
      <c r="P78" s="141">
        <f>N78</f>
        <v>12513000</v>
      </c>
    </row>
    <row r="79" spans="1:16" ht="12.75">
      <c r="A79" s="143" t="s">
        <v>189</v>
      </c>
      <c r="B79" s="8"/>
      <c r="C79" s="8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6" ht="12.75">
      <c r="A80" s="144" t="s">
        <v>149</v>
      </c>
      <c r="B80" s="8"/>
      <c r="C80" s="8"/>
      <c r="D80" s="171">
        <v>893300</v>
      </c>
      <c r="E80" s="141"/>
      <c r="F80" s="141">
        <f>D80</f>
        <v>893300</v>
      </c>
      <c r="G80" s="171">
        <v>893300</v>
      </c>
      <c r="H80" s="141"/>
      <c r="I80" s="141"/>
      <c r="J80" s="141">
        <f>G80</f>
        <v>893300</v>
      </c>
      <c r="K80" s="141"/>
      <c r="L80" s="141"/>
      <c r="M80" s="141"/>
      <c r="N80" s="171">
        <v>893300</v>
      </c>
      <c r="O80" s="141"/>
      <c r="P80" s="141">
        <f>N80</f>
        <v>893300</v>
      </c>
    </row>
    <row r="81" spans="1:16" ht="34.5" customHeight="1">
      <c r="A81" s="144" t="s">
        <v>52</v>
      </c>
      <c r="B81" s="174"/>
      <c r="C81" s="174"/>
      <c r="D81" s="141">
        <f>D78/D83</f>
        <v>2101.1111111111113</v>
      </c>
      <c r="E81" s="141"/>
      <c r="F81" s="141">
        <f>D81</f>
        <v>2101.1111111111113</v>
      </c>
      <c r="G81" s="141">
        <f>G78/G83</f>
        <v>13792.824074074075</v>
      </c>
      <c r="H81" s="141"/>
      <c r="I81" s="141"/>
      <c r="J81" s="141">
        <f>G81</f>
        <v>13792.824074074075</v>
      </c>
      <c r="K81" s="141"/>
      <c r="L81" s="141"/>
      <c r="M81" s="141"/>
      <c r="N81" s="141">
        <f>N78/N83</f>
        <v>13660.480349344978</v>
      </c>
      <c r="O81" s="141"/>
      <c r="P81" s="141">
        <f>N81</f>
        <v>13660.480349344978</v>
      </c>
    </row>
    <row r="82" spans="1:16" ht="12.75">
      <c r="A82" s="143" t="s">
        <v>191</v>
      </c>
      <c r="B82" s="8"/>
      <c r="C82" s="8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ht="25.5">
      <c r="A83" s="144" t="s">
        <v>53</v>
      </c>
      <c r="B83" s="174"/>
      <c r="C83" s="174"/>
      <c r="D83" s="171">
        <v>810</v>
      </c>
      <c r="E83" s="171"/>
      <c r="F83" s="171">
        <f>D83</f>
        <v>810</v>
      </c>
      <c r="G83" s="171">
        <v>864</v>
      </c>
      <c r="H83" s="171"/>
      <c r="I83" s="171"/>
      <c r="J83" s="171">
        <f>G83</f>
        <v>864</v>
      </c>
      <c r="K83" s="171"/>
      <c r="L83" s="171"/>
      <c r="M83" s="171"/>
      <c r="N83" s="171">
        <v>916</v>
      </c>
      <c r="O83" s="171"/>
      <c r="P83" s="171">
        <f>N83</f>
        <v>916</v>
      </c>
    </row>
    <row r="84" spans="1:16" ht="12.75">
      <c r="A84" s="143" t="s">
        <v>190</v>
      </c>
      <c r="B84" s="8"/>
      <c r="C84" s="8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1:16" ht="25.5">
      <c r="A85" s="144" t="s">
        <v>54</v>
      </c>
      <c r="B85" s="174"/>
      <c r="C85" s="174"/>
      <c r="D85" s="171">
        <f>D81/D80*100</f>
        <v>0.23520778138487758</v>
      </c>
      <c r="E85" s="141"/>
      <c r="F85" s="141">
        <f>F81/F80*100</f>
        <v>0.23520778138487758</v>
      </c>
      <c r="G85" s="141">
        <f>G81/G80*100</f>
        <v>1.5440304571895305</v>
      </c>
      <c r="H85" s="141"/>
      <c r="I85" s="141"/>
      <c r="J85" s="141">
        <f>J81/J80*100</f>
        <v>1.5440304571895305</v>
      </c>
      <c r="K85" s="141"/>
      <c r="L85" s="141"/>
      <c r="M85" s="141"/>
      <c r="N85" s="141">
        <f>N81/N80*100</f>
        <v>1.529215308333704</v>
      </c>
      <c r="O85" s="141"/>
      <c r="P85" s="141">
        <f>P81/P80*100</f>
        <v>1.529215308333704</v>
      </c>
    </row>
    <row r="86" spans="1:137" s="43" customFormat="1" ht="30.75" customHeight="1">
      <c r="A86" s="147" t="s">
        <v>158</v>
      </c>
      <c r="B86" s="172"/>
      <c r="C86" s="172"/>
      <c r="D86" s="170">
        <f>D88</f>
        <v>0</v>
      </c>
      <c r="E86" s="170"/>
      <c r="F86" s="170">
        <f>D86</f>
        <v>0</v>
      </c>
      <c r="G86" s="170">
        <f>G88</f>
        <v>936300</v>
      </c>
      <c r="H86" s="170"/>
      <c r="I86" s="170"/>
      <c r="J86" s="170">
        <f>G86</f>
        <v>936300</v>
      </c>
      <c r="K86" s="170"/>
      <c r="L86" s="170"/>
      <c r="M86" s="170"/>
      <c r="N86" s="170">
        <f>N88</f>
        <v>983100</v>
      </c>
      <c r="O86" s="170"/>
      <c r="P86" s="170">
        <f>N86</f>
        <v>983100</v>
      </c>
      <c r="EB86" s="44"/>
      <c r="EC86" s="44"/>
      <c r="ED86" s="44"/>
      <c r="EE86" s="44"/>
      <c r="EF86" s="44"/>
      <c r="EG86" s="44"/>
    </row>
    <row r="87" spans="1:137" s="4" customFormat="1" ht="12.75">
      <c r="A87" s="143" t="s">
        <v>261</v>
      </c>
      <c r="B87" s="174"/>
      <c r="C87" s="174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EB87" s="13"/>
      <c r="EC87" s="13"/>
      <c r="ED87" s="13"/>
      <c r="EE87" s="13"/>
      <c r="EF87" s="13"/>
      <c r="EG87" s="13"/>
    </row>
    <row r="88" spans="1:137" s="4" customFormat="1" ht="37.5" customHeight="1">
      <c r="A88" s="144" t="s">
        <v>456</v>
      </c>
      <c r="B88" s="174"/>
      <c r="C88" s="174"/>
      <c r="D88" s="141">
        <f>894600-894600</f>
        <v>0</v>
      </c>
      <c r="E88" s="141"/>
      <c r="F88" s="141">
        <f>D88</f>
        <v>0</v>
      </c>
      <c r="G88" s="141">
        <v>936300</v>
      </c>
      <c r="H88" s="141"/>
      <c r="I88" s="141"/>
      <c r="J88" s="141">
        <f>G88</f>
        <v>936300</v>
      </c>
      <c r="K88" s="141"/>
      <c r="L88" s="141"/>
      <c r="M88" s="141"/>
      <c r="N88" s="141">
        <v>983100</v>
      </c>
      <c r="O88" s="141"/>
      <c r="P88" s="141">
        <f>N88</f>
        <v>983100</v>
      </c>
      <c r="EB88" s="13"/>
      <c r="EC88" s="13"/>
      <c r="ED88" s="13"/>
      <c r="EE88" s="13"/>
      <c r="EF88" s="13"/>
      <c r="EG88" s="13"/>
    </row>
    <row r="89" spans="1:137" s="4" customFormat="1" ht="12.75">
      <c r="A89" s="143" t="s">
        <v>392</v>
      </c>
      <c r="B89" s="174"/>
      <c r="C89" s="174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EB89" s="13"/>
      <c r="EC89" s="13"/>
      <c r="ED89" s="13"/>
      <c r="EE89" s="13"/>
      <c r="EF89" s="13"/>
      <c r="EG89" s="13"/>
    </row>
    <row r="90" spans="1:137" s="4" customFormat="1" ht="19.5" customHeight="1">
      <c r="A90" s="145" t="s">
        <v>458</v>
      </c>
      <c r="B90" s="174"/>
      <c r="C90" s="174"/>
      <c r="D90" s="176">
        <v>0</v>
      </c>
      <c r="E90" s="176"/>
      <c r="F90" s="176">
        <f>D90</f>
        <v>0</v>
      </c>
      <c r="G90" s="176">
        <f>G88/G92</f>
        <v>16.49837025070545</v>
      </c>
      <c r="H90" s="176"/>
      <c r="I90" s="176"/>
      <c r="J90" s="176">
        <f>G90</f>
        <v>16.49837025070545</v>
      </c>
      <c r="K90" s="176"/>
      <c r="L90" s="176"/>
      <c r="M90" s="176"/>
      <c r="N90" s="176">
        <f>N88/N92</f>
        <v>16.342474158493907</v>
      </c>
      <c r="O90" s="176"/>
      <c r="P90" s="176">
        <f>N90</f>
        <v>16.342474158493907</v>
      </c>
      <c r="EB90" s="13"/>
      <c r="EC90" s="13"/>
      <c r="ED90" s="13"/>
      <c r="EE90" s="13"/>
      <c r="EF90" s="13"/>
      <c r="EG90" s="13"/>
    </row>
    <row r="91" spans="1:137" s="4" customFormat="1" ht="12.75">
      <c r="A91" s="143" t="s">
        <v>388</v>
      </c>
      <c r="B91" s="174"/>
      <c r="C91" s="174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EB91" s="13"/>
      <c r="EC91" s="13"/>
      <c r="ED91" s="13"/>
      <c r="EE91" s="13"/>
      <c r="EF91" s="13"/>
      <c r="EG91" s="13"/>
    </row>
    <row r="92" spans="1:137" s="4" customFormat="1" ht="33" customHeight="1">
      <c r="A92" s="144" t="s">
        <v>457</v>
      </c>
      <c r="B92" s="174"/>
      <c r="C92" s="174"/>
      <c r="D92" s="141" t="e">
        <f>D88/D90</f>
        <v>#DIV/0!</v>
      </c>
      <c r="E92" s="141"/>
      <c r="F92" s="141" t="e">
        <f>D92</f>
        <v>#DIV/0!</v>
      </c>
      <c r="G92" s="141">
        <v>56751.06</v>
      </c>
      <c r="H92" s="141"/>
      <c r="I92" s="141"/>
      <c r="J92" s="141">
        <f>G92</f>
        <v>56751.06</v>
      </c>
      <c r="K92" s="141"/>
      <c r="L92" s="141"/>
      <c r="M92" s="141"/>
      <c r="N92" s="141">
        <v>60156.13</v>
      </c>
      <c r="O92" s="141"/>
      <c r="P92" s="141">
        <f>N92</f>
        <v>60156.13</v>
      </c>
      <c r="EB92" s="13"/>
      <c r="EC92" s="13"/>
      <c r="ED92" s="13"/>
      <c r="EE92" s="13"/>
      <c r="EF92" s="13"/>
      <c r="EG92" s="13"/>
    </row>
    <row r="93" spans="1:131" s="11" customFormat="1" ht="27" customHeight="1">
      <c r="A93" s="147" t="s">
        <v>159</v>
      </c>
      <c r="B93" s="169"/>
      <c r="C93" s="169"/>
      <c r="D93" s="170">
        <f>2191700-1824000</f>
        <v>367700</v>
      </c>
      <c r="E93" s="170">
        <f>21340000-18540000</f>
        <v>2800000</v>
      </c>
      <c r="F93" s="170">
        <f>E93+D93</f>
        <v>3167700</v>
      </c>
      <c r="G93" s="170">
        <v>2323100</v>
      </c>
      <c r="H93" s="170">
        <v>22620000</v>
      </c>
      <c r="I93" s="170"/>
      <c r="J93" s="170">
        <f>G93+H93</f>
        <v>24943100</v>
      </c>
      <c r="K93" s="170"/>
      <c r="L93" s="170"/>
      <c r="M93" s="170"/>
      <c r="N93" s="170">
        <v>2440000</v>
      </c>
      <c r="O93" s="170">
        <v>23751000</v>
      </c>
      <c r="P93" s="170">
        <f>O93+N93</f>
        <v>26191000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</row>
    <row r="94" spans="1:16" ht="12.75">
      <c r="A94" s="143" t="s">
        <v>188</v>
      </c>
      <c r="B94" s="8"/>
      <c r="C94" s="8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ht="12.75">
      <c r="A95" s="144" t="s">
        <v>295</v>
      </c>
      <c r="B95" s="174"/>
      <c r="C95" s="174"/>
      <c r="D95" s="141">
        <v>4</v>
      </c>
      <c r="E95" s="141">
        <v>2</v>
      </c>
      <c r="F95" s="141">
        <f>E95+D95</f>
        <v>6</v>
      </c>
      <c r="G95" s="141">
        <v>4</v>
      </c>
      <c r="H95" s="141">
        <v>2</v>
      </c>
      <c r="I95" s="141"/>
      <c r="J95" s="141">
        <f>G95+H95</f>
        <v>6</v>
      </c>
      <c r="K95" s="141"/>
      <c r="L95" s="141"/>
      <c r="M95" s="141"/>
      <c r="N95" s="176">
        <f>N97</f>
        <v>4</v>
      </c>
      <c r="O95" s="141">
        <v>2</v>
      </c>
      <c r="P95" s="176">
        <f>O95+N95</f>
        <v>6</v>
      </c>
    </row>
    <row r="96" spans="1:16" ht="12.75">
      <c r="A96" s="143" t="s">
        <v>189</v>
      </c>
      <c r="B96" s="8"/>
      <c r="C96" s="8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1:16" ht="12.75">
      <c r="A97" s="144" t="s">
        <v>439</v>
      </c>
      <c r="B97" s="174"/>
      <c r="C97" s="174"/>
      <c r="D97" s="141">
        <v>4</v>
      </c>
      <c r="E97" s="141">
        <v>2</v>
      </c>
      <c r="F97" s="141">
        <f>E97+D97</f>
        <v>6</v>
      </c>
      <c r="G97" s="176">
        <f>G93/G99</f>
        <v>3.728958296213898</v>
      </c>
      <c r="H97" s="141">
        <v>2</v>
      </c>
      <c r="I97" s="141"/>
      <c r="J97" s="176">
        <f>G97+H97</f>
        <v>5.728958296213898</v>
      </c>
      <c r="K97" s="141"/>
      <c r="L97" s="141"/>
      <c r="M97" s="141"/>
      <c r="N97" s="176">
        <f>N93/N99</f>
        <v>4</v>
      </c>
      <c r="O97" s="141">
        <v>2</v>
      </c>
      <c r="P97" s="176">
        <f>O97+N97</f>
        <v>6</v>
      </c>
    </row>
    <row r="98" spans="1:16" ht="12.75">
      <c r="A98" s="143" t="s">
        <v>191</v>
      </c>
      <c r="B98" s="8"/>
      <c r="C98" s="8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ht="12.75">
      <c r="A99" s="148" t="s">
        <v>288</v>
      </c>
      <c r="B99" s="172"/>
      <c r="C99" s="172"/>
      <c r="D99" s="171">
        <v>587725</v>
      </c>
      <c r="E99" s="171">
        <f>E93/E97</f>
        <v>1400000</v>
      </c>
      <c r="F99" s="171">
        <f>E99+D99</f>
        <v>1987725</v>
      </c>
      <c r="G99" s="171">
        <v>622989</v>
      </c>
      <c r="H99" s="171">
        <f>H93/H97</f>
        <v>11310000</v>
      </c>
      <c r="I99" s="171"/>
      <c r="J99" s="171">
        <f>G99+H99</f>
        <v>11932989</v>
      </c>
      <c r="K99" s="171"/>
      <c r="L99" s="171"/>
      <c r="M99" s="171"/>
      <c r="N99" s="171">
        <v>610000</v>
      </c>
      <c r="O99" s="171">
        <f>O93/O97</f>
        <v>11875500</v>
      </c>
      <c r="P99" s="171">
        <f>N99+O99</f>
        <v>12485500</v>
      </c>
    </row>
    <row r="100" spans="1:16" ht="12.75">
      <c r="A100" s="149" t="s">
        <v>190</v>
      </c>
      <c r="B100" s="168"/>
      <c r="C100" s="168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</row>
    <row r="101" spans="1:16" ht="12.75">
      <c r="A101" s="148" t="s">
        <v>296</v>
      </c>
      <c r="B101" s="172"/>
      <c r="C101" s="172"/>
      <c r="D101" s="171">
        <f>D97/D95*100</f>
        <v>100</v>
      </c>
      <c r="E101" s="171">
        <f>E97/E95*100</f>
        <v>100</v>
      </c>
      <c r="F101" s="171">
        <f>F97/F95*100</f>
        <v>100</v>
      </c>
      <c r="G101" s="171">
        <v>100</v>
      </c>
      <c r="H101" s="171">
        <f>H97/H95*100</f>
        <v>100</v>
      </c>
      <c r="I101" s="171"/>
      <c r="J101" s="171">
        <v>100</v>
      </c>
      <c r="K101" s="171"/>
      <c r="L101" s="171"/>
      <c r="M101" s="171"/>
      <c r="N101" s="171">
        <f>N97/N95*100</f>
        <v>100</v>
      </c>
      <c r="O101" s="171">
        <f>O97/O95*100</f>
        <v>100</v>
      </c>
      <c r="P101" s="171">
        <f>P97/P95*100</f>
        <v>100</v>
      </c>
    </row>
    <row r="102" spans="1:137" s="43" customFormat="1" ht="30" customHeight="1">
      <c r="A102" s="147" t="s">
        <v>160</v>
      </c>
      <c r="B102" s="172"/>
      <c r="C102" s="172"/>
      <c r="D102" s="170">
        <f>D104</f>
        <v>1195000</v>
      </c>
      <c r="E102" s="170">
        <f aca="true" t="shared" si="7" ref="E102:P102">E104</f>
        <v>0</v>
      </c>
      <c r="F102" s="170">
        <f t="shared" si="7"/>
        <v>1195000</v>
      </c>
      <c r="G102" s="170">
        <f t="shared" si="7"/>
        <v>1200000</v>
      </c>
      <c r="H102" s="170">
        <f t="shared" si="7"/>
        <v>2827600</v>
      </c>
      <c r="I102" s="170">
        <f t="shared" si="7"/>
        <v>0</v>
      </c>
      <c r="J102" s="170">
        <f t="shared" si="7"/>
        <v>4027600</v>
      </c>
      <c r="K102" s="170">
        <f t="shared" si="7"/>
        <v>0</v>
      </c>
      <c r="L102" s="170">
        <f t="shared" si="7"/>
        <v>0</v>
      </c>
      <c r="M102" s="170">
        <f t="shared" si="7"/>
        <v>0</v>
      </c>
      <c r="N102" s="170">
        <f t="shared" si="7"/>
        <v>1300000</v>
      </c>
      <c r="O102" s="170">
        <f t="shared" si="7"/>
        <v>2969000</v>
      </c>
      <c r="P102" s="170">
        <f t="shared" si="7"/>
        <v>4269000</v>
      </c>
      <c r="EB102" s="44"/>
      <c r="EC102" s="44"/>
      <c r="ED102" s="44"/>
      <c r="EE102" s="44"/>
      <c r="EF102" s="44"/>
      <c r="EG102" s="44"/>
    </row>
    <row r="103" spans="1:137" s="43" customFormat="1" ht="17.25" customHeight="1">
      <c r="A103" s="149" t="s">
        <v>261</v>
      </c>
      <c r="B103" s="172"/>
      <c r="C103" s="172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EB103" s="44"/>
      <c r="EC103" s="44"/>
      <c r="ED103" s="44"/>
      <c r="EE103" s="44"/>
      <c r="EF103" s="44"/>
      <c r="EG103" s="44"/>
    </row>
    <row r="104" spans="1:137" s="43" customFormat="1" ht="25.5">
      <c r="A104" s="148" t="s">
        <v>142</v>
      </c>
      <c r="B104" s="172"/>
      <c r="C104" s="172"/>
      <c r="D104" s="171">
        <f>1100000+340000-245000</f>
        <v>1195000</v>
      </c>
      <c r="E104" s="171">
        <f>2667500-2667500</f>
        <v>0</v>
      </c>
      <c r="F104" s="171">
        <f>D104+E104</f>
        <v>1195000</v>
      </c>
      <c r="G104" s="171">
        <v>1200000</v>
      </c>
      <c r="H104" s="171">
        <v>2827600</v>
      </c>
      <c r="I104" s="171"/>
      <c r="J104" s="171">
        <f>G104+H104</f>
        <v>4027600</v>
      </c>
      <c r="K104" s="171"/>
      <c r="L104" s="171"/>
      <c r="M104" s="171"/>
      <c r="N104" s="171">
        <v>1300000</v>
      </c>
      <c r="O104" s="171">
        <v>2969000</v>
      </c>
      <c r="P104" s="171">
        <f>N104+O104</f>
        <v>4269000</v>
      </c>
      <c r="EB104" s="44"/>
      <c r="EC104" s="44"/>
      <c r="ED104" s="44"/>
      <c r="EE104" s="44"/>
      <c r="EF104" s="44"/>
      <c r="EG104" s="44"/>
    </row>
    <row r="105" spans="1:137" s="43" customFormat="1" ht="12.75">
      <c r="A105" s="149" t="s">
        <v>392</v>
      </c>
      <c r="B105" s="172"/>
      <c r="C105" s="172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EB105" s="44"/>
      <c r="EC105" s="44"/>
      <c r="ED105" s="44"/>
      <c r="EE105" s="44"/>
      <c r="EF105" s="44"/>
      <c r="EG105" s="44"/>
    </row>
    <row r="106" spans="1:137" s="43" customFormat="1" ht="24" customHeight="1">
      <c r="A106" s="175" t="s">
        <v>454</v>
      </c>
      <c r="B106" s="172"/>
      <c r="C106" s="172"/>
      <c r="D106" s="171">
        <f>D104/D108+0.05</f>
        <v>12</v>
      </c>
      <c r="E106" s="171">
        <v>0</v>
      </c>
      <c r="F106" s="171">
        <f>D106+E106</f>
        <v>12</v>
      </c>
      <c r="G106" s="171">
        <v>11</v>
      </c>
      <c r="H106" s="171">
        <v>5</v>
      </c>
      <c r="I106" s="171"/>
      <c r="J106" s="171">
        <f>G106+H106</f>
        <v>16</v>
      </c>
      <c r="K106" s="171"/>
      <c r="L106" s="171"/>
      <c r="M106" s="171"/>
      <c r="N106" s="171">
        <v>11</v>
      </c>
      <c r="O106" s="171">
        <v>5</v>
      </c>
      <c r="P106" s="171">
        <f>N106+O106</f>
        <v>16</v>
      </c>
      <c r="EB106" s="44"/>
      <c r="EC106" s="44"/>
      <c r="ED106" s="44"/>
      <c r="EE106" s="44"/>
      <c r="EF106" s="44"/>
      <c r="EG106" s="44"/>
    </row>
    <row r="107" spans="1:137" s="4" customFormat="1" ht="12.75">
      <c r="A107" s="143" t="s">
        <v>388</v>
      </c>
      <c r="B107" s="174"/>
      <c r="C107" s="174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EB107" s="13"/>
      <c r="EC107" s="13"/>
      <c r="ED107" s="13"/>
      <c r="EE107" s="13"/>
      <c r="EF107" s="13"/>
      <c r="EG107" s="13"/>
    </row>
    <row r="108" spans="1:137" s="4" customFormat="1" ht="25.5">
      <c r="A108" s="144" t="s">
        <v>455</v>
      </c>
      <c r="B108" s="174"/>
      <c r="C108" s="174"/>
      <c r="D108" s="141">
        <v>100000</v>
      </c>
      <c r="E108" s="141" t="e">
        <f>E104/E106</f>
        <v>#DIV/0!</v>
      </c>
      <c r="F108" s="141">
        <f>D108</f>
        <v>100000</v>
      </c>
      <c r="G108" s="141">
        <f>G104/G106</f>
        <v>109090.90909090909</v>
      </c>
      <c r="H108" s="141">
        <f>H104/H106</f>
        <v>565520</v>
      </c>
      <c r="I108" s="141"/>
      <c r="J108" s="141">
        <f>G108+H108</f>
        <v>674610.9090909091</v>
      </c>
      <c r="K108" s="141"/>
      <c r="L108" s="141"/>
      <c r="M108" s="141"/>
      <c r="N108" s="141">
        <f>N104/N106</f>
        <v>118181.81818181818</v>
      </c>
      <c r="O108" s="141">
        <f>O104/O106</f>
        <v>593800</v>
      </c>
      <c r="P108" s="141">
        <f>N108+O108</f>
        <v>711981.8181818181</v>
      </c>
      <c r="EB108" s="13"/>
      <c r="EC108" s="13"/>
      <c r="ED108" s="13"/>
      <c r="EE108" s="13"/>
      <c r="EF108" s="13"/>
      <c r="EG108" s="13"/>
    </row>
    <row r="109" spans="1:131" s="58" customFormat="1" ht="29.25" customHeight="1">
      <c r="A109" s="147" t="s">
        <v>161</v>
      </c>
      <c r="B109" s="169"/>
      <c r="C109" s="169"/>
      <c r="D109" s="170"/>
      <c r="E109" s="170">
        <f>(E114*E117)+(E115*E118)</f>
        <v>1588399.99999525</v>
      </c>
      <c r="F109" s="170">
        <f>E109</f>
        <v>1588399.99999525</v>
      </c>
      <c r="G109" s="170"/>
      <c r="H109" s="170">
        <f>(H114*H117)+(H115*H118)</f>
        <v>21117000.00079608</v>
      </c>
      <c r="I109" s="170"/>
      <c r="J109" s="170">
        <f>H109</f>
        <v>21117000.00079608</v>
      </c>
      <c r="K109" s="170">
        <f aca="true" t="shared" si="8" ref="K109:P109">(K114*K117)+(K115*K118)</f>
        <v>0</v>
      </c>
      <c r="L109" s="170">
        <f t="shared" si="8"/>
        <v>0</v>
      </c>
      <c r="M109" s="170">
        <f t="shared" si="8"/>
        <v>0</v>
      </c>
      <c r="N109" s="170"/>
      <c r="O109" s="170">
        <f>(O114*O117)+(O115*O118)</f>
        <v>21922999.999396082</v>
      </c>
      <c r="P109" s="170">
        <f t="shared" si="8"/>
        <v>21922999.999396082</v>
      </c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</row>
    <row r="110" spans="1:16" ht="13.5">
      <c r="A110" s="143" t="s">
        <v>188</v>
      </c>
      <c r="B110" s="174"/>
      <c r="C110" s="174"/>
      <c r="D110" s="141"/>
      <c r="E110" s="141"/>
      <c r="F110" s="141"/>
      <c r="G110" s="141"/>
      <c r="H110" s="141"/>
      <c r="I110" s="141"/>
      <c r="J110" s="173"/>
      <c r="K110" s="141"/>
      <c r="L110" s="141"/>
      <c r="M110" s="141"/>
      <c r="N110" s="141"/>
      <c r="O110" s="141"/>
      <c r="P110" s="141"/>
    </row>
    <row r="111" spans="1:16" ht="31.5" customHeight="1">
      <c r="A111" s="144" t="s">
        <v>55</v>
      </c>
      <c r="B111" s="174"/>
      <c r="C111" s="174"/>
      <c r="D111" s="141"/>
      <c r="E111" s="141">
        <v>380000</v>
      </c>
      <c r="F111" s="141">
        <f>E111</f>
        <v>380000</v>
      </c>
      <c r="G111" s="141"/>
      <c r="H111" s="141">
        <f>E111</f>
        <v>380000</v>
      </c>
      <c r="I111" s="141"/>
      <c r="J111" s="141">
        <f aca="true" t="shared" si="9" ref="J111:J117">H111</f>
        <v>380000</v>
      </c>
      <c r="K111" s="141"/>
      <c r="L111" s="141"/>
      <c r="M111" s="141"/>
      <c r="N111" s="141"/>
      <c r="O111" s="141">
        <f>H111</f>
        <v>380000</v>
      </c>
      <c r="P111" s="141">
        <f>O111</f>
        <v>380000</v>
      </c>
    </row>
    <row r="112" spans="1:16" ht="12.75">
      <c r="A112" s="144" t="s">
        <v>254</v>
      </c>
      <c r="B112" s="174"/>
      <c r="C112" s="174"/>
      <c r="D112" s="141"/>
      <c r="E112" s="141">
        <v>76000</v>
      </c>
      <c r="F112" s="141">
        <f>E112</f>
        <v>76000</v>
      </c>
      <c r="G112" s="141"/>
      <c r="H112" s="141">
        <f>E112</f>
        <v>76000</v>
      </c>
      <c r="I112" s="141"/>
      <c r="J112" s="141">
        <f>H112</f>
        <v>76000</v>
      </c>
      <c r="K112" s="141"/>
      <c r="L112" s="141"/>
      <c r="M112" s="141"/>
      <c r="N112" s="141"/>
      <c r="O112" s="141">
        <f>H112</f>
        <v>76000</v>
      </c>
      <c r="P112" s="141">
        <f>O112</f>
        <v>76000</v>
      </c>
    </row>
    <row r="113" spans="1:16" ht="12.75">
      <c r="A113" s="143" t="s">
        <v>189</v>
      </c>
      <c r="B113" s="174"/>
      <c r="C113" s="174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1:16" ht="27" customHeight="1">
      <c r="A114" s="144" t="s">
        <v>56</v>
      </c>
      <c r="B114" s="174"/>
      <c r="C114" s="174"/>
      <c r="D114" s="141"/>
      <c r="E114" s="141"/>
      <c r="F114" s="141">
        <f>E114</f>
        <v>0</v>
      </c>
      <c r="G114" s="141"/>
      <c r="H114" s="141">
        <v>1483.7</v>
      </c>
      <c r="I114" s="141"/>
      <c r="J114" s="141">
        <f t="shared" si="9"/>
        <v>1483.7</v>
      </c>
      <c r="K114" s="141"/>
      <c r="L114" s="141"/>
      <c r="M114" s="141"/>
      <c r="N114" s="141"/>
      <c r="O114" s="141">
        <v>1557.99473</v>
      </c>
      <c r="P114" s="141">
        <f>O114</f>
        <v>1557.99473</v>
      </c>
    </row>
    <row r="115" spans="1:16" ht="12.75">
      <c r="A115" s="144" t="s">
        <v>255</v>
      </c>
      <c r="B115" s="174"/>
      <c r="C115" s="174"/>
      <c r="D115" s="141"/>
      <c r="E115" s="141">
        <v>2599.67266775</v>
      </c>
      <c r="F115" s="141">
        <f>E115</f>
        <v>2599.67266775</v>
      </c>
      <c r="G115" s="141"/>
      <c r="H115" s="141">
        <f>21712.1821+7716.04938271</f>
        <v>29428.23148271</v>
      </c>
      <c r="I115" s="141"/>
      <c r="J115" s="141">
        <f>H115</f>
        <v>29428.23148271</v>
      </c>
      <c r="K115" s="141"/>
      <c r="L115" s="141"/>
      <c r="M115" s="141"/>
      <c r="N115" s="141"/>
      <c r="O115" s="141">
        <f>22797.789+7716.04938271</f>
        <v>30513.83838271</v>
      </c>
      <c r="P115" s="141">
        <f>O115</f>
        <v>30513.83838271</v>
      </c>
    </row>
    <row r="116" spans="1:16" ht="12.75">
      <c r="A116" s="143" t="s">
        <v>191</v>
      </c>
      <c r="B116" s="174"/>
      <c r="C116" s="174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ht="22.5" customHeight="1">
      <c r="A117" s="144" t="s">
        <v>57</v>
      </c>
      <c r="B117" s="177"/>
      <c r="C117" s="177"/>
      <c r="D117" s="141"/>
      <c r="E117" s="141">
        <v>0</v>
      </c>
      <c r="F117" s="141">
        <f>E117</f>
        <v>0</v>
      </c>
      <c r="G117" s="141"/>
      <c r="H117" s="141">
        <v>1380</v>
      </c>
      <c r="I117" s="141"/>
      <c r="J117" s="141">
        <f t="shared" si="9"/>
        <v>1380</v>
      </c>
      <c r="K117" s="141"/>
      <c r="L117" s="141"/>
      <c r="M117" s="141"/>
      <c r="N117" s="141"/>
      <c r="O117" s="141">
        <v>1380</v>
      </c>
      <c r="P117" s="141">
        <f>O117</f>
        <v>1380</v>
      </c>
    </row>
    <row r="118" spans="1:16" ht="12.75">
      <c r="A118" s="144" t="s">
        <v>257</v>
      </c>
      <c r="B118" s="177"/>
      <c r="C118" s="177"/>
      <c r="D118" s="141"/>
      <c r="E118" s="141">
        <v>611</v>
      </c>
      <c r="F118" s="141">
        <f>E118</f>
        <v>611</v>
      </c>
      <c r="G118" s="141"/>
      <c r="H118" s="141">
        <v>648</v>
      </c>
      <c r="I118" s="141"/>
      <c r="J118" s="141">
        <f>H118</f>
        <v>648</v>
      </c>
      <c r="K118" s="141"/>
      <c r="L118" s="141"/>
      <c r="M118" s="141"/>
      <c r="N118" s="141"/>
      <c r="O118" s="141">
        <v>648</v>
      </c>
      <c r="P118" s="141">
        <f>O118</f>
        <v>648</v>
      </c>
    </row>
    <row r="119" spans="1:16" ht="13.5">
      <c r="A119" s="143" t="s">
        <v>190</v>
      </c>
      <c r="B119" s="177"/>
      <c r="C119" s="177"/>
      <c r="D119" s="141"/>
      <c r="E119" s="141"/>
      <c r="F119" s="141"/>
      <c r="G119" s="141"/>
      <c r="H119" s="141"/>
      <c r="I119" s="141"/>
      <c r="J119" s="173"/>
      <c r="K119" s="141"/>
      <c r="L119" s="141"/>
      <c r="M119" s="141"/>
      <c r="N119" s="141"/>
      <c r="O119" s="141"/>
      <c r="P119" s="141"/>
    </row>
    <row r="120" spans="1:16" ht="25.5">
      <c r="A120" s="144" t="s">
        <v>58</v>
      </c>
      <c r="B120" s="177"/>
      <c r="C120" s="177"/>
      <c r="D120" s="141"/>
      <c r="E120" s="141">
        <f>E114/E111*100</f>
        <v>0</v>
      </c>
      <c r="F120" s="141">
        <f aca="true" t="shared" si="10" ref="F120:P120">F114/F111*100</f>
        <v>0</v>
      </c>
      <c r="G120" s="141"/>
      <c r="H120" s="141">
        <f t="shared" si="10"/>
        <v>0.3904473684210526</v>
      </c>
      <c r="I120" s="141"/>
      <c r="J120" s="141">
        <f t="shared" si="10"/>
        <v>0.3904473684210526</v>
      </c>
      <c r="K120" s="141" t="e">
        <f t="shared" si="10"/>
        <v>#DIV/0!</v>
      </c>
      <c r="L120" s="141" t="e">
        <f t="shared" si="10"/>
        <v>#DIV/0!</v>
      </c>
      <c r="M120" s="141" t="e">
        <f t="shared" si="10"/>
        <v>#DIV/0!</v>
      </c>
      <c r="N120" s="141"/>
      <c r="O120" s="141">
        <f t="shared" si="10"/>
        <v>0.4099986131578947</v>
      </c>
      <c r="P120" s="141">
        <f t="shared" si="10"/>
        <v>0.4099986131578947</v>
      </c>
    </row>
    <row r="121" spans="1:16" ht="25.5">
      <c r="A121" s="144" t="s">
        <v>256</v>
      </c>
      <c r="B121" s="177"/>
      <c r="C121" s="177"/>
      <c r="D121" s="141"/>
      <c r="E121" s="141">
        <f>E115/E112*100</f>
        <v>3.42062193125</v>
      </c>
      <c r="F121" s="141">
        <f aca="true" t="shared" si="11" ref="F121:P121">F115/F112*100</f>
        <v>3.42062193125</v>
      </c>
      <c r="G121" s="141"/>
      <c r="H121" s="141">
        <f>H115/H112*100</f>
        <v>38.72135721409211</v>
      </c>
      <c r="I121" s="141"/>
      <c r="J121" s="141">
        <f t="shared" si="11"/>
        <v>38.72135721409211</v>
      </c>
      <c r="K121" s="141" t="e">
        <f t="shared" si="11"/>
        <v>#DIV/0!</v>
      </c>
      <c r="L121" s="141" t="e">
        <f t="shared" si="11"/>
        <v>#DIV/0!</v>
      </c>
      <c r="M121" s="141" t="e">
        <f t="shared" si="11"/>
        <v>#DIV/0!</v>
      </c>
      <c r="N121" s="141"/>
      <c r="O121" s="141">
        <f t="shared" si="11"/>
        <v>40.14978734567105</v>
      </c>
      <c r="P121" s="141">
        <f t="shared" si="11"/>
        <v>40.14978734567105</v>
      </c>
    </row>
    <row r="122" spans="1:137" s="43" customFormat="1" ht="30.75" customHeight="1">
      <c r="A122" s="147" t="s">
        <v>162</v>
      </c>
      <c r="B122" s="172"/>
      <c r="C122" s="172"/>
      <c r="D122" s="170">
        <f>D124</f>
        <v>0</v>
      </c>
      <c r="E122" s="170"/>
      <c r="F122" s="170">
        <f>D122</f>
        <v>0</v>
      </c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EB122" s="44"/>
      <c r="EC122" s="44"/>
      <c r="ED122" s="44"/>
      <c r="EE122" s="44"/>
      <c r="EF122" s="44"/>
      <c r="EG122" s="44"/>
    </row>
    <row r="123" spans="1:137" s="43" customFormat="1" ht="12.75">
      <c r="A123" s="149" t="s">
        <v>261</v>
      </c>
      <c r="B123" s="172"/>
      <c r="C123" s="172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EB123" s="44"/>
      <c r="EC123" s="44"/>
      <c r="ED123" s="44"/>
      <c r="EE123" s="44"/>
      <c r="EF123" s="44"/>
      <c r="EG123" s="44"/>
    </row>
    <row r="124" spans="1:137" s="43" customFormat="1" ht="25.5">
      <c r="A124" s="148" t="s">
        <v>443</v>
      </c>
      <c r="B124" s="172"/>
      <c r="C124" s="172"/>
      <c r="D124" s="171">
        <f>2000000-1500000-500000</f>
        <v>0</v>
      </c>
      <c r="E124" s="171"/>
      <c r="F124" s="171">
        <f>D124</f>
        <v>0</v>
      </c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EB124" s="44"/>
      <c r="EC124" s="44"/>
      <c r="ED124" s="44"/>
      <c r="EE124" s="44"/>
      <c r="EF124" s="44"/>
      <c r="EG124" s="44"/>
    </row>
    <row r="125" spans="1:137" s="43" customFormat="1" ht="12.75">
      <c r="A125" s="149" t="s">
        <v>392</v>
      </c>
      <c r="B125" s="172"/>
      <c r="C125" s="172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EB125" s="44"/>
      <c r="EC125" s="44"/>
      <c r="ED125" s="44"/>
      <c r="EE125" s="44"/>
      <c r="EF125" s="44"/>
      <c r="EG125" s="44"/>
    </row>
    <row r="126" spans="1:137" s="43" customFormat="1" ht="12.75">
      <c r="A126" s="175" t="s">
        <v>444</v>
      </c>
      <c r="B126" s="172"/>
      <c r="C126" s="172"/>
      <c r="D126" s="171"/>
      <c r="E126" s="171"/>
      <c r="F126" s="171">
        <f>D126</f>
        <v>0</v>
      </c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EB126" s="44"/>
      <c r="EC126" s="44"/>
      <c r="ED126" s="44"/>
      <c r="EE126" s="44"/>
      <c r="EF126" s="44"/>
      <c r="EG126" s="44"/>
    </row>
    <row r="127" spans="1:137" s="4" customFormat="1" ht="12.75">
      <c r="A127" s="143" t="s">
        <v>388</v>
      </c>
      <c r="B127" s="174"/>
      <c r="C127" s="174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EB127" s="13"/>
      <c r="EC127" s="13"/>
      <c r="ED127" s="13"/>
      <c r="EE127" s="13"/>
      <c r="EF127" s="13"/>
      <c r="EG127" s="13"/>
    </row>
    <row r="128" spans="1:137" s="4" customFormat="1" ht="30" customHeight="1">
      <c r="A128" s="144" t="s">
        <v>445</v>
      </c>
      <c r="B128" s="174"/>
      <c r="C128" s="174"/>
      <c r="D128" s="141">
        <f>2000000-1500000-500000</f>
        <v>0</v>
      </c>
      <c r="E128" s="141"/>
      <c r="F128" s="141">
        <f>D128</f>
        <v>0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EB128" s="13"/>
      <c r="EC128" s="13"/>
      <c r="ED128" s="13"/>
      <c r="EE128" s="13"/>
      <c r="EF128" s="13"/>
      <c r="EG128" s="13"/>
    </row>
    <row r="129" spans="1:137" s="43" customFormat="1" ht="27">
      <c r="A129" s="147" t="s">
        <v>163</v>
      </c>
      <c r="B129" s="172"/>
      <c r="C129" s="172"/>
      <c r="D129" s="170">
        <f>D131</f>
        <v>0</v>
      </c>
      <c r="E129" s="170"/>
      <c r="F129" s="170">
        <f>D129</f>
        <v>0</v>
      </c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EB129" s="44"/>
      <c r="EC129" s="44"/>
      <c r="ED129" s="44"/>
      <c r="EE129" s="44"/>
      <c r="EF129" s="44"/>
      <c r="EG129" s="44"/>
    </row>
    <row r="130" spans="1:137" s="43" customFormat="1" ht="20.25" customHeight="1">
      <c r="A130" s="149" t="s">
        <v>261</v>
      </c>
      <c r="B130" s="172"/>
      <c r="C130" s="172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EB130" s="44"/>
      <c r="EC130" s="44"/>
      <c r="ED130" s="44"/>
      <c r="EE130" s="44"/>
      <c r="EF130" s="44"/>
      <c r="EG130" s="44"/>
    </row>
    <row r="131" spans="1:137" s="43" customFormat="1" ht="29.25" customHeight="1">
      <c r="A131" s="148" t="s">
        <v>446</v>
      </c>
      <c r="B131" s="172"/>
      <c r="C131" s="172"/>
      <c r="D131" s="171">
        <f>5000000-5000000</f>
        <v>0</v>
      </c>
      <c r="E131" s="171"/>
      <c r="F131" s="171">
        <f>D131</f>
        <v>0</v>
      </c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EB131" s="44"/>
      <c r="EC131" s="44"/>
      <c r="ED131" s="44"/>
      <c r="EE131" s="44"/>
      <c r="EF131" s="44"/>
      <c r="EG131" s="44"/>
    </row>
    <row r="132" spans="1:137" s="43" customFormat="1" ht="20.25" customHeight="1">
      <c r="A132" s="149" t="s">
        <v>392</v>
      </c>
      <c r="B132" s="172"/>
      <c r="C132" s="172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EB132" s="44"/>
      <c r="EC132" s="44"/>
      <c r="ED132" s="44"/>
      <c r="EE132" s="44"/>
      <c r="EF132" s="44"/>
      <c r="EG132" s="44"/>
    </row>
    <row r="133" spans="1:137" s="43" customFormat="1" ht="12" customHeight="1">
      <c r="A133" s="175" t="s">
        <v>447</v>
      </c>
      <c r="B133" s="172"/>
      <c r="C133" s="172"/>
      <c r="D133" s="171">
        <v>0</v>
      </c>
      <c r="E133" s="171"/>
      <c r="F133" s="171">
        <v>1</v>
      </c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EB133" s="44"/>
      <c r="EC133" s="44"/>
      <c r="ED133" s="44"/>
      <c r="EE133" s="44"/>
      <c r="EF133" s="44"/>
      <c r="EG133" s="44"/>
    </row>
    <row r="134" spans="1:137" s="43" customFormat="1" ht="12.75">
      <c r="A134" s="149" t="s">
        <v>388</v>
      </c>
      <c r="B134" s="172"/>
      <c r="C134" s="172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EB134" s="44"/>
      <c r="EC134" s="44"/>
      <c r="ED134" s="44"/>
      <c r="EE134" s="44"/>
      <c r="EF134" s="44"/>
      <c r="EG134" s="44"/>
    </row>
    <row r="135" spans="1:137" s="43" customFormat="1" ht="18" customHeight="1">
      <c r="A135" s="148" t="s">
        <v>448</v>
      </c>
      <c r="B135" s="172"/>
      <c r="C135" s="172"/>
      <c r="D135" s="171" t="e">
        <f>D131/D133</f>
        <v>#DIV/0!</v>
      </c>
      <c r="E135" s="171"/>
      <c r="F135" s="171" t="e">
        <f>D135</f>
        <v>#DIV/0!</v>
      </c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EB135" s="44"/>
      <c r="EC135" s="44"/>
      <c r="ED135" s="44"/>
      <c r="EE135" s="44"/>
      <c r="EF135" s="44"/>
      <c r="EG135" s="44"/>
    </row>
    <row r="136" spans="1:137" s="43" customFormat="1" ht="25.5" customHeight="1">
      <c r="A136" s="147" t="s">
        <v>164</v>
      </c>
      <c r="B136" s="172"/>
      <c r="C136" s="172"/>
      <c r="D136" s="170">
        <f>D138</f>
        <v>0</v>
      </c>
      <c r="E136" s="170"/>
      <c r="F136" s="170">
        <f>D136</f>
        <v>0</v>
      </c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EB136" s="44"/>
      <c r="EC136" s="44"/>
      <c r="ED136" s="44"/>
      <c r="EE136" s="44"/>
      <c r="EF136" s="44"/>
      <c r="EG136" s="44"/>
    </row>
    <row r="137" spans="1:137" s="4" customFormat="1" ht="17.25" customHeight="1">
      <c r="A137" s="143" t="s">
        <v>261</v>
      </c>
      <c r="B137" s="174"/>
      <c r="C137" s="174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EB137" s="13"/>
      <c r="EC137" s="13"/>
      <c r="ED137" s="13"/>
      <c r="EE137" s="13"/>
      <c r="EF137" s="13"/>
      <c r="EG137" s="13"/>
    </row>
    <row r="138" spans="1:137" s="4" customFormat="1" ht="12.75">
      <c r="A138" s="144" t="s">
        <v>449</v>
      </c>
      <c r="B138" s="174"/>
      <c r="C138" s="174"/>
      <c r="D138" s="141">
        <f>5000000-4000000-1000000</f>
        <v>0</v>
      </c>
      <c r="E138" s="141"/>
      <c r="F138" s="141">
        <f>D138</f>
        <v>0</v>
      </c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EB138" s="13"/>
      <c r="EC138" s="13"/>
      <c r="ED138" s="13"/>
      <c r="EE138" s="13"/>
      <c r="EF138" s="13"/>
      <c r="EG138" s="13"/>
    </row>
    <row r="139" spans="1:137" s="4" customFormat="1" ht="17.25" customHeight="1">
      <c r="A139" s="143" t="s">
        <v>392</v>
      </c>
      <c r="B139" s="174"/>
      <c r="C139" s="174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EB139" s="13"/>
      <c r="EC139" s="13"/>
      <c r="ED139" s="13"/>
      <c r="EE139" s="13"/>
      <c r="EF139" s="13"/>
      <c r="EG139" s="13"/>
    </row>
    <row r="140" spans="1:137" s="4" customFormat="1" ht="12.75">
      <c r="A140" s="145" t="s">
        <v>447</v>
      </c>
      <c r="B140" s="174"/>
      <c r="C140" s="174"/>
      <c r="D140" s="141">
        <v>0</v>
      </c>
      <c r="E140" s="141"/>
      <c r="F140" s="141">
        <f>D140</f>
        <v>0</v>
      </c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EB140" s="13"/>
      <c r="EC140" s="13"/>
      <c r="ED140" s="13"/>
      <c r="EE140" s="13"/>
      <c r="EF140" s="13"/>
      <c r="EG140" s="13"/>
    </row>
    <row r="141" spans="1:137" s="4" customFormat="1" ht="12.75">
      <c r="A141" s="143" t="s">
        <v>388</v>
      </c>
      <c r="B141" s="174"/>
      <c r="C141" s="174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EB141" s="13"/>
      <c r="EC141" s="13"/>
      <c r="ED141" s="13"/>
      <c r="EE141" s="13"/>
      <c r="EF141" s="13"/>
      <c r="EG141" s="13"/>
    </row>
    <row r="142" spans="1:137" s="4" customFormat="1" ht="12.75">
      <c r="A142" s="144" t="s">
        <v>450</v>
      </c>
      <c r="B142" s="174"/>
      <c r="C142" s="174"/>
      <c r="D142" s="141">
        <v>0</v>
      </c>
      <c r="E142" s="141"/>
      <c r="F142" s="141">
        <f>D142</f>
        <v>0</v>
      </c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EB142" s="13"/>
      <c r="EC142" s="13"/>
      <c r="ED142" s="13"/>
      <c r="EE142" s="13"/>
      <c r="EF142" s="13"/>
      <c r="EG142" s="13"/>
    </row>
    <row r="143" spans="1:137" s="43" customFormat="1" ht="24" customHeight="1">
      <c r="A143" s="147" t="s">
        <v>165</v>
      </c>
      <c r="B143" s="172"/>
      <c r="C143" s="172"/>
      <c r="D143" s="170">
        <f>D145</f>
        <v>0</v>
      </c>
      <c r="E143" s="170"/>
      <c r="F143" s="170">
        <f>D143</f>
        <v>0</v>
      </c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EB143" s="44"/>
      <c r="EC143" s="44"/>
      <c r="ED143" s="44"/>
      <c r="EE143" s="44"/>
      <c r="EF143" s="44"/>
      <c r="EG143" s="44"/>
    </row>
    <row r="144" spans="1:137" s="4" customFormat="1" ht="18.75" customHeight="1">
      <c r="A144" s="143" t="s">
        <v>261</v>
      </c>
      <c r="B144" s="174"/>
      <c r="C144" s="174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EB144" s="13"/>
      <c r="EC144" s="13"/>
      <c r="ED144" s="13"/>
      <c r="EE144" s="13"/>
      <c r="EF144" s="13"/>
      <c r="EG144" s="13"/>
    </row>
    <row r="145" spans="1:137" s="4" customFormat="1" ht="24" customHeight="1">
      <c r="A145" s="144" t="s">
        <v>451</v>
      </c>
      <c r="B145" s="174"/>
      <c r="C145" s="174"/>
      <c r="D145" s="141">
        <f>50000-50000</f>
        <v>0</v>
      </c>
      <c r="E145" s="141"/>
      <c r="F145" s="141">
        <f>D145</f>
        <v>0</v>
      </c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EB145" s="13"/>
      <c r="EC145" s="13"/>
      <c r="ED145" s="13"/>
      <c r="EE145" s="13"/>
      <c r="EF145" s="13"/>
      <c r="EG145" s="13"/>
    </row>
    <row r="146" spans="1:137" s="4" customFormat="1" ht="12.75">
      <c r="A146" s="143" t="s">
        <v>392</v>
      </c>
      <c r="B146" s="174"/>
      <c r="C146" s="174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EB146" s="13"/>
      <c r="EC146" s="13"/>
      <c r="ED146" s="13"/>
      <c r="EE146" s="13"/>
      <c r="EF146" s="13"/>
      <c r="EG146" s="13"/>
    </row>
    <row r="147" spans="1:137" s="4" customFormat="1" ht="12.75">
      <c r="A147" s="145" t="s">
        <v>447</v>
      </c>
      <c r="B147" s="174"/>
      <c r="C147" s="174"/>
      <c r="D147" s="141">
        <v>0</v>
      </c>
      <c r="E147" s="141"/>
      <c r="F147" s="141">
        <f>D147</f>
        <v>0</v>
      </c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EB147" s="13"/>
      <c r="EC147" s="13"/>
      <c r="ED147" s="13"/>
      <c r="EE147" s="13"/>
      <c r="EF147" s="13"/>
      <c r="EG147" s="13"/>
    </row>
    <row r="148" spans="1:137" s="4" customFormat="1" ht="12.75">
      <c r="A148" s="143" t="s">
        <v>388</v>
      </c>
      <c r="B148" s="174"/>
      <c r="C148" s="174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EB148" s="13"/>
      <c r="EC148" s="13"/>
      <c r="ED148" s="13"/>
      <c r="EE148" s="13"/>
      <c r="EF148" s="13"/>
      <c r="EG148" s="13"/>
    </row>
    <row r="149" spans="1:137" s="4" customFormat="1" ht="24" customHeight="1">
      <c r="A149" s="144" t="s">
        <v>452</v>
      </c>
      <c r="B149" s="174"/>
      <c r="C149" s="174"/>
      <c r="D149" s="141">
        <v>0</v>
      </c>
      <c r="E149" s="141"/>
      <c r="F149" s="141">
        <f>D149</f>
        <v>0</v>
      </c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EB149" s="13"/>
      <c r="EC149" s="13"/>
      <c r="ED149" s="13"/>
      <c r="EE149" s="13"/>
      <c r="EF149" s="13"/>
      <c r="EG149" s="13"/>
    </row>
    <row r="150" spans="1:137" s="43" customFormat="1" ht="24" customHeight="1">
      <c r="A150" s="147" t="s">
        <v>166</v>
      </c>
      <c r="B150" s="172"/>
      <c r="C150" s="172"/>
      <c r="D150" s="171"/>
      <c r="E150" s="170">
        <f>7000000-7000000</f>
        <v>0</v>
      </c>
      <c r="F150" s="170">
        <f>E150</f>
        <v>0</v>
      </c>
      <c r="G150" s="178"/>
      <c r="H150" s="178">
        <v>7500000</v>
      </c>
      <c r="I150" s="178"/>
      <c r="J150" s="178">
        <f>H150</f>
        <v>7500000</v>
      </c>
      <c r="K150" s="178"/>
      <c r="L150" s="178"/>
      <c r="M150" s="178"/>
      <c r="N150" s="178"/>
      <c r="O150" s="178">
        <v>6000000</v>
      </c>
      <c r="P150" s="178">
        <f>O150</f>
        <v>6000000</v>
      </c>
      <c r="EB150" s="44"/>
      <c r="EC150" s="44"/>
      <c r="ED150" s="44"/>
      <c r="EE150" s="44"/>
      <c r="EF150" s="44"/>
      <c r="EG150" s="44"/>
    </row>
    <row r="151" spans="1:137" s="4" customFormat="1" ht="12.75">
      <c r="A151" s="143" t="s">
        <v>261</v>
      </c>
      <c r="B151" s="174"/>
      <c r="C151" s="174"/>
      <c r="D151" s="141"/>
      <c r="E151" s="141"/>
      <c r="F151" s="141"/>
      <c r="G151" s="141"/>
      <c r="H151" s="141"/>
      <c r="I151" s="141"/>
      <c r="J151" s="171">
        <f aca="true" t="shared" si="12" ref="J151:J156">H151</f>
        <v>0</v>
      </c>
      <c r="K151" s="141"/>
      <c r="L151" s="141"/>
      <c r="M151" s="141"/>
      <c r="N151" s="141"/>
      <c r="O151" s="141"/>
      <c r="P151" s="171">
        <f aca="true" t="shared" si="13" ref="P151:P156">O151</f>
        <v>0</v>
      </c>
      <c r="EB151" s="13"/>
      <c r="EC151" s="13"/>
      <c r="ED151" s="13"/>
      <c r="EE151" s="13"/>
      <c r="EF151" s="13"/>
      <c r="EG151" s="13"/>
    </row>
    <row r="152" spans="1:137" s="4" customFormat="1" ht="24" customHeight="1">
      <c r="A152" s="144" t="s">
        <v>453</v>
      </c>
      <c r="B152" s="174"/>
      <c r="C152" s="174"/>
      <c r="D152" s="141"/>
      <c r="E152" s="141">
        <f>E150</f>
        <v>0</v>
      </c>
      <c r="F152" s="141">
        <f>E152</f>
        <v>0</v>
      </c>
      <c r="G152" s="141"/>
      <c r="H152" s="141">
        <f>H150</f>
        <v>7500000</v>
      </c>
      <c r="I152" s="141"/>
      <c r="J152" s="171">
        <f t="shared" si="12"/>
        <v>7500000</v>
      </c>
      <c r="K152" s="141"/>
      <c r="L152" s="141"/>
      <c r="M152" s="141"/>
      <c r="N152" s="141"/>
      <c r="O152" s="141">
        <f>O150</f>
        <v>6000000</v>
      </c>
      <c r="P152" s="171">
        <f t="shared" si="13"/>
        <v>6000000</v>
      </c>
      <c r="EB152" s="13"/>
      <c r="EC152" s="13"/>
      <c r="ED152" s="13"/>
      <c r="EE152" s="13"/>
      <c r="EF152" s="13"/>
      <c r="EG152" s="13"/>
    </row>
    <row r="153" spans="1:137" s="4" customFormat="1" ht="12.75">
      <c r="A153" s="143" t="s">
        <v>392</v>
      </c>
      <c r="B153" s="174"/>
      <c r="C153" s="174"/>
      <c r="D153" s="141"/>
      <c r="E153" s="141"/>
      <c r="F153" s="141"/>
      <c r="G153" s="141"/>
      <c r="H153" s="141"/>
      <c r="I153" s="141"/>
      <c r="J153" s="171"/>
      <c r="K153" s="141"/>
      <c r="L153" s="141"/>
      <c r="M153" s="141"/>
      <c r="N153" s="141"/>
      <c r="O153" s="141"/>
      <c r="P153" s="171"/>
      <c r="EB153" s="13"/>
      <c r="EC153" s="13"/>
      <c r="ED153" s="13"/>
      <c r="EE153" s="13"/>
      <c r="EF153" s="13"/>
      <c r="EG153" s="13"/>
    </row>
    <row r="154" spans="1:137" s="4" customFormat="1" ht="29.25" customHeight="1">
      <c r="A154" s="145" t="s">
        <v>167</v>
      </c>
      <c r="B154" s="174"/>
      <c r="C154" s="174"/>
      <c r="D154" s="141"/>
      <c r="E154" s="176">
        <v>4</v>
      </c>
      <c r="F154" s="176">
        <f>E154</f>
        <v>4</v>
      </c>
      <c r="G154" s="176"/>
      <c r="H154" s="176">
        <v>4</v>
      </c>
      <c r="I154" s="176"/>
      <c r="J154" s="179">
        <f t="shared" si="12"/>
        <v>4</v>
      </c>
      <c r="K154" s="176"/>
      <c r="L154" s="176"/>
      <c r="M154" s="176"/>
      <c r="N154" s="176"/>
      <c r="O154" s="176">
        <v>4</v>
      </c>
      <c r="P154" s="179">
        <f t="shared" si="13"/>
        <v>4</v>
      </c>
      <c r="EB154" s="13"/>
      <c r="EC154" s="13"/>
      <c r="ED154" s="13"/>
      <c r="EE154" s="13"/>
      <c r="EF154" s="13"/>
      <c r="EG154" s="13"/>
    </row>
    <row r="155" spans="1:137" s="4" customFormat="1" ht="12.75">
      <c r="A155" s="143" t="s">
        <v>388</v>
      </c>
      <c r="B155" s="174"/>
      <c r="C155" s="174"/>
      <c r="D155" s="141"/>
      <c r="E155" s="141"/>
      <c r="F155" s="141"/>
      <c r="G155" s="141"/>
      <c r="H155" s="141"/>
      <c r="I155" s="141"/>
      <c r="J155" s="171"/>
      <c r="K155" s="141"/>
      <c r="L155" s="141"/>
      <c r="M155" s="141"/>
      <c r="N155" s="141"/>
      <c r="O155" s="141"/>
      <c r="P155" s="171"/>
      <c r="EB155" s="13"/>
      <c r="EC155" s="13"/>
      <c r="ED155" s="13"/>
      <c r="EE155" s="13"/>
      <c r="EF155" s="13"/>
      <c r="EG155" s="13"/>
    </row>
    <row r="156" spans="1:137" s="4" customFormat="1" ht="26.25" customHeight="1">
      <c r="A156" s="144" t="s">
        <v>459</v>
      </c>
      <c r="B156" s="174"/>
      <c r="C156" s="174"/>
      <c r="D156" s="141"/>
      <c r="E156" s="141">
        <f>E152/E154</f>
        <v>0</v>
      </c>
      <c r="F156" s="141">
        <f>F152/F154</f>
        <v>0</v>
      </c>
      <c r="G156" s="141"/>
      <c r="H156" s="141">
        <f>H152/H154</f>
        <v>1875000</v>
      </c>
      <c r="I156" s="141"/>
      <c r="J156" s="171">
        <f t="shared" si="12"/>
        <v>1875000</v>
      </c>
      <c r="K156" s="141"/>
      <c r="L156" s="141"/>
      <c r="M156" s="141"/>
      <c r="N156" s="141"/>
      <c r="O156" s="141">
        <f>O152/O154</f>
        <v>1500000</v>
      </c>
      <c r="P156" s="171">
        <f t="shared" si="13"/>
        <v>1500000</v>
      </c>
      <c r="EB156" s="13"/>
      <c r="EC156" s="13"/>
      <c r="ED156" s="13"/>
      <c r="EE156" s="13"/>
      <c r="EF156" s="13"/>
      <c r="EG156" s="13"/>
    </row>
    <row r="157" spans="1:137" s="4" customFormat="1" ht="29.25" customHeight="1">
      <c r="A157" s="180" t="s">
        <v>520</v>
      </c>
      <c r="B157" s="172"/>
      <c r="C157" s="172"/>
      <c r="D157" s="178">
        <f>50000000-7900000</f>
        <v>42100000</v>
      </c>
      <c r="E157" s="170">
        <v>0</v>
      </c>
      <c r="F157" s="170">
        <f>D157+E157</f>
        <v>42100000</v>
      </c>
      <c r="G157" s="178">
        <f>0+80000000</f>
        <v>80000000</v>
      </c>
      <c r="H157" s="178"/>
      <c r="I157" s="178"/>
      <c r="J157" s="178">
        <f>G157+H157</f>
        <v>80000000</v>
      </c>
      <c r="K157" s="178"/>
      <c r="L157" s="178"/>
      <c r="M157" s="178"/>
      <c r="N157" s="178"/>
      <c r="O157" s="178"/>
      <c r="P157" s="178">
        <f>O157</f>
        <v>0</v>
      </c>
      <c r="EB157" s="13"/>
      <c r="EC157" s="13"/>
      <c r="ED157" s="13"/>
      <c r="EE157" s="13"/>
      <c r="EF157" s="13"/>
      <c r="EG157" s="13"/>
    </row>
    <row r="158" spans="1:137" s="4" customFormat="1" ht="12.75">
      <c r="A158" s="143" t="s">
        <v>261</v>
      </c>
      <c r="B158" s="174"/>
      <c r="C158" s="174"/>
      <c r="D158" s="141"/>
      <c r="E158" s="141"/>
      <c r="F158" s="141"/>
      <c r="G158" s="141"/>
      <c r="H158" s="141"/>
      <c r="I158" s="141"/>
      <c r="J158" s="171"/>
      <c r="K158" s="141"/>
      <c r="L158" s="141"/>
      <c r="M158" s="141"/>
      <c r="N158" s="141"/>
      <c r="O158" s="141"/>
      <c r="P158" s="171">
        <f>O158</f>
        <v>0</v>
      </c>
      <c r="EB158" s="13"/>
      <c r="EC158" s="13"/>
      <c r="ED158" s="13"/>
      <c r="EE158" s="13"/>
      <c r="EF158" s="13"/>
      <c r="EG158" s="13"/>
    </row>
    <row r="159" spans="1:137" s="4" customFormat="1" ht="25.5">
      <c r="A159" s="148" t="s">
        <v>521</v>
      </c>
      <c r="B159" s="172"/>
      <c r="C159" s="172"/>
      <c r="D159" s="171">
        <v>292000</v>
      </c>
      <c r="E159" s="171"/>
      <c r="F159" s="171">
        <f>D159</f>
        <v>292000</v>
      </c>
      <c r="G159" s="171">
        <v>292000</v>
      </c>
      <c r="H159" s="141"/>
      <c r="I159" s="141"/>
      <c r="J159" s="171">
        <f aca="true" t="shared" si="14" ref="J159:J165">G159+H159</f>
        <v>292000</v>
      </c>
      <c r="K159" s="141"/>
      <c r="L159" s="141"/>
      <c r="M159" s="141"/>
      <c r="N159" s="141"/>
      <c r="O159" s="141"/>
      <c r="P159" s="171"/>
      <c r="EB159" s="13"/>
      <c r="EC159" s="13"/>
      <c r="ED159" s="13"/>
      <c r="EE159" s="13"/>
      <c r="EF159" s="13"/>
      <c r="EG159" s="13"/>
    </row>
    <row r="160" spans="1:137" s="4" customFormat="1" ht="12.75">
      <c r="A160" s="149" t="s">
        <v>189</v>
      </c>
      <c r="B160" s="168"/>
      <c r="C160" s="168"/>
      <c r="D160" s="171"/>
      <c r="E160" s="171"/>
      <c r="F160" s="171"/>
      <c r="G160" s="171"/>
      <c r="H160" s="176"/>
      <c r="I160" s="176"/>
      <c r="J160" s="171"/>
      <c r="K160" s="176"/>
      <c r="L160" s="176"/>
      <c r="M160" s="176"/>
      <c r="N160" s="176"/>
      <c r="O160" s="176"/>
      <c r="P160" s="179">
        <f>O160</f>
        <v>0</v>
      </c>
      <c r="EB160" s="13"/>
      <c r="EC160" s="13"/>
      <c r="ED160" s="13"/>
      <c r="EE160" s="13"/>
      <c r="EF160" s="13"/>
      <c r="EG160" s="13"/>
    </row>
    <row r="161" spans="1:137" s="4" customFormat="1" ht="25.5">
      <c r="A161" s="148" t="s">
        <v>522</v>
      </c>
      <c r="B161" s="172"/>
      <c r="C161" s="172"/>
      <c r="D161" s="171">
        <f>D157/D163</f>
        <v>24328.791188470117</v>
      </c>
      <c r="E161" s="171"/>
      <c r="F161" s="171">
        <f>D161</f>
        <v>24328.791188470117</v>
      </c>
      <c r="G161" s="171">
        <f>G157/G163</f>
        <v>29081.391544585407</v>
      </c>
      <c r="H161" s="141"/>
      <c r="I161" s="141"/>
      <c r="J161" s="171">
        <f t="shared" si="14"/>
        <v>29081.391544585407</v>
      </c>
      <c r="K161" s="141"/>
      <c r="L161" s="141"/>
      <c r="M161" s="141"/>
      <c r="N161" s="141"/>
      <c r="O161" s="141"/>
      <c r="P161" s="171"/>
      <c r="EB161" s="13"/>
      <c r="EC161" s="13"/>
      <c r="ED161" s="13"/>
      <c r="EE161" s="13"/>
      <c r="EF161" s="13"/>
      <c r="EG161" s="13"/>
    </row>
    <row r="162" spans="1:137" s="4" customFormat="1" ht="12.75">
      <c r="A162" s="149" t="s">
        <v>191</v>
      </c>
      <c r="B162" s="168"/>
      <c r="C162" s="168"/>
      <c r="D162" s="171"/>
      <c r="E162" s="171"/>
      <c r="F162" s="171"/>
      <c r="G162" s="171"/>
      <c r="H162" s="141"/>
      <c r="I162" s="141"/>
      <c r="J162" s="171"/>
      <c r="K162" s="141"/>
      <c r="L162" s="141"/>
      <c r="M162" s="141"/>
      <c r="N162" s="141"/>
      <c r="O162" s="141"/>
      <c r="P162" s="171">
        <f>O162</f>
        <v>0</v>
      </c>
      <c r="EB162" s="13"/>
      <c r="EC162" s="13"/>
      <c r="ED162" s="13"/>
      <c r="EE162" s="13"/>
      <c r="EF162" s="13"/>
      <c r="EG162" s="13"/>
    </row>
    <row r="163" spans="1:137" s="4" customFormat="1" ht="25.5">
      <c r="A163" s="148" t="s">
        <v>523</v>
      </c>
      <c r="B163" s="172"/>
      <c r="C163" s="172"/>
      <c r="D163" s="171">
        <v>1730.46</v>
      </c>
      <c r="E163" s="171"/>
      <c r="F163" s="171">
        <f>D163</f>
        <v>1730.46</v>
      </c>
      <c r="G163" s="171">
        <v>2750.9</v>
      </c>
      <c r="H163" s="141"/>
      <c r="I163" s="141"/>
      <c r="J163" s="171">
        <f t="shared" si="14"/>
        <v>2750.9</v>
      </c>
      <c r="K163" s="141"/>
      <c r="L163" s="141"/>
      <c r="M163" s="141"/>
      <c r="N163" s="141"/>
      <c r="O163" s="141"/>
      <c r="P163" s="171"/>
      <c r="EB163" s="13"/>
      <c r="EC163" s="13"/>
      <c r="ED163" s="13"/>
      <c r="EE163" s="13"/>
      <c r="EF163" s="13"/>
      <c r="EG163" s="13"/>
    </row>
    <row r="164" spans="1:137" s="4" customFormat="1" ht="12.75">
      <c r="A164" s="143" t="s">
        <v>190</v>
      </c>
      <c r="B164" s="8"/>
      <c r="C164" s="8"/>
      <c r="D164" s="141"/>
      <c r="E164" s="141"/>
      <c r="F164" s="141"/>
      <c r="G164" s="141"/>
      <c r="H164" s="141"/>
      <c r="I164" s="141"/>
      <c r="J164" s="171"/>
      <c r="K164" s="141"/>
      <c r="L164" s="141"/>
      <c r="M164" s="141"/>
      <c r="N164" s="141"/>
      <c r="O164" s="141"/>
      <c r="P164" s="171"/>
      <c r="EB164" s="13"/>
      <c r="EC164" s="13"/>
      <c r="ED164" s="13"/>
      <c r="EE164" s="13"/>
      <c r="EF164" s="13"/>
      <c r="EG164" s="13"/>
    </row>
    <row r="165" spans="1:137" s="4" customFormat="1" ht="26.25" customHeight="1">
      <c r="A165" s="144" t="s">
        <v>524</v>
      </c>
      <c r="B165" s="174"/>
      <c r="C165" s="174"/>
      <c r="D165" s="141">
        <f>D161/D159*100</f>
        <v>8.331777804270587</v>
      </c>
      <c r="E165" s="141"/>
      <c r="F165" s="141">
        <f>F161/F159*100</f>
        <v>8.331777804270587</v>
      </c>
      <c r="G165" s="141">
        <f>G161/G159*100</f>
        <v>9.959380665953907</v>
      </c>
      <c r="H165" s="141"/>
      <c r="I165" s="141"/>
      <c r="J165" s="171">
        <f t="shared" si="14"/>
        <v>9.959380665953907</v>
      </c>
      <c r="K165" s="141"/>
      <c r="L165" s="141"/>
      <c r="M165" s="141"/>
      <c r="N165" s="141"/>
      <c r="O165" s="141"/>
      <c r="P165" s="171"/>
      <c r="EB165" s="13"/>
      <c r="EC165" s="13"/>
      <c r="ED165" s="13"/>
      <c r="EE165" s="13"/>
      <c r="EF165" s="13"/>
      <c r="EG165" s="13"/>
    </row>
    <row r="166" spans="1:137" s="77" customFormat="1" ht="36" customHeight="1">
      <c r="A166" s="75" t="s">
        <v>104</v>
      </c>
      <c r="B166" s="76"/>
      <c r="C166" s="76"/>
      <c r="D166" s="74">
        <f>(D172*D185)+(D175*D181)+(D177*D183)+(D178*D184)-18.32</f>
        <v>57663999.99675764</v>
      </c>
      <c r="E166" s="74">
        <f>E176*E182-0.03</f>
        <v>5290000.003572009</v>
      </c>
      <c r="F166" s="74">
        <f>D166+E166</f>
        <v>62954000.00032965</v>
      </c>
      <c r="G166" s="74">
        <f>(G185*G179)+0.15+(G175*G181)+(G177*G183)+(G178*G184)</f>
        <v>80202299.99721046</v>
      </c>
      <c r="H166" s="74">
        <f>H176*H182</f>
        <v>19362999.999989998</v>
      </c>
      <c r="I166" s="74"/>
      <c r="J166" s="74">
        <f>G166+H166</f>
        <v>99565299.99720046</v>
      </c>
      <c r="K166" s="74">
        <f>(K175*K181)+(K176*K182)+(K178*K184)+(K177*K183)+(K179*K185)+100</f>
        <v>100</v>
      </c>
      <c r="L166" s="74">
        <f>(L175*L181)+(L176*L182)+(L178*L184)+(L177*L183)+(L179*L185)+100</f>
        <v>100</v>
      </c>
      <c r="M166" s="74">
        <f>(M175*M181)+(M176*M182)+(M178*M184)+(M177*M183)+(M179*M185)+100</f>
        <v>100</v>
      </c>
      <c r="N166" s="74">
        <f>(N185*N179)+(N175*N181)+(N177*N183)+(N178*N184)-0.01</f>
        <v>84212400.00022401</v>
      </c>
      <c r="O166" s="74">
        <f>O182*O176</f>
        <v>20331999.999989998</v>
      </c>
      <c r="P166" s="74">
        <f>N166+O166</f>
        <v>104544400.00021401</v>
      </c>
      <c r="EB166" s="78"/>
      <c r="EC166" s="78"/>
      <c r="ED166" s="78"/>
      <c r="EE166" s="78"/>
      <c r="EF166" s="78"/>
      <c r="EG166" s="78"/>
    </row>
    <row r="167" spans="1:137" s="124" customFormat="1" ht="21" customHeight="1">
      <c r="A167" s="181" t="s">
        <v>219</v>
      </c>
      <c r="B167" s="182"/>
      <c r="C167" s="182"/>
      <c r="D167" s="183">
        <v>664.71</v>
      </c>
      <c r="E167" s="183"/>
      <c r="F167" s="183">
        <f>D167</f>
        <v>664.71</v>
      </c>
      <c r="G167" s="183">
        <v>664.71</v>
      </c>
      <c r="H167" s="183"/>
      <c r="I167" s="183"/>
      <c r="J167" s="183">
        <f>G167</f>
        <v>664.71</v>
      </c>
      <c r="K167" s="183"/>
      <c r="L167" s="183"/>
      <c r="M167" s="183"/>
      <c r="N167" s="183">
        <v>664.71</v>
      </c>
      <c r="O167" s="183"/>
      <c r="P167" s="183">
        <f>N167</f>
        <v>664.71</v>
      </c>
      <c r="EB167" s="123"/>
      <c r="EC167" s="123"/>
      <c r="ED167" s="123"/>
      <c r="EE167" s="123"/>
      <c r="EF167" s="123"/>
      <c r="EG167" s="123"/>
    </row>
    <row r="168" spans="1:137" s="4" customFormat="1" ht="27" customHeight="1">
      <c r="A168" s="144" t="s">
        <v>220</v>
      </c>
      <c r="B168" s="174"/>
      <c r="C168" s="174"/>
      <c r="D168" s="171"/>
      <c r="E168" s="171">
        <v>462.13</v>
      </c>
      <c r="F168" s="171">
        <f>E168</f>
        <v>462.13</v>
      </c>
      <c r="G168" s="171"/>
      <c r="H168" s="171">
        <v>462.13</v>
      </c>
      <c r="I168" s="171"/>
      <c r="J168" s="171">
        <f>H168</f>
        <v>462.13</v>
      </c>
      <c r="K168" s="171"/>
      <c r="L168" s="171"/>
      <c r="M168" s="171"/>
      <c r="N168" s="171"/>
      <c r="O168" s="171">
        <v>462.13</v>
      </c>
      <c r="P168" s="171">
        <f>O168</f>
        <v>462.13</v>
      </c>
      <c r="EB168" s="13"/>
      <c r="EC168" s="13"/>
      <c r="ED168" s="13"/>
      <c r="EE168" s="13"/>
      <c r="EF168" s="13"/>
      <c r="EG168" s="13"/>
    </row>
    <row r="169" spans="1:137" s="4" customFormat="1" ht="30.75" customHeight="1">
      <c r="A169" s="144" t="s">
        <v>221</v>
      </c>
      <c r="B169" s="174"/>
      <c r="C169" s="174"/>
      <c r="D169" s="171">
        <v>105.83</v>
      </c>
      <c r="E169" s="171"/>
      <c r="F169" s="171">
        <f>D169</f>
        <v>105.83</v>
      </c>
      <c r="G169" s="171">
        <v>105.83</v>
      </c>
      <c r="H169" s="171"/>
      <c r="I169" s="171"/>
      <c r="J169" s="171">
        <f>G169</f>
        <v>105.83</v>
      </c>
      <c r="K169" s="171"/>
      <c r="L169" s="171"/>
      <c r="M169" s="171"/>
      <c r="N169" s="171">
        <v>105.83</v>
      </c>
      <c r="O169" s="171"/>
      <c r="P169" s="171">
        <f>N169</f>
        <v>105.83</v>
      </c>
      <c r="EB169" s="13"/>
      <c r="EC169" s="13"/>
      <c r="ED169" s="13"/>
      <c r="EE169" s="13"/>
      <c r="EF169" s="13"/>
      <c r="EG169" s="13"/>
    </row>
    <row r="170" spans="1:137" s="4" customFormat="1" ht="25.5" customHeight="1">
      <c r="A170" s="144" t="s">
        <v>222</v>
      </c>
      <c r="B170" s="174"/>
      <c r="C170" s="174"/>
      <c r="D170" s="171">
        <v>18995</v>
      </c>
      <c r="E170" s="171"/>
      <c r="F170" s="171">
        <f>D170</f>
        <v>18995</v>
      </c>
      <c r="G170" s="171">
        <v>18995</v>
      </c>
      <c r="H170" s="171"/>
      <c r="I170" s="171"/>
      <c r="J170" s="171">
        <f>G170</f>
        <v>18995</v>
      </c>
      <c r="K170" s="171"/>
      <c r="L170" s="171"/>
      <c r="M170" s="171"/>
      <c r="N170" s="171">
        <v>18995</v>
      </c>
      <c r="O170" s="171"/>
      <c r="P170" s="171">
        <f>N170</f>
        <v>18995</v>
      </c>
      <c r="EB170" s="13"/>
      <c r="EC170" s="13"/>
      <c r="ED170" s="13"/>
      <c r="EE170" s="13"/>
      <c r="EF170" s="13"/>
      <c r="EG170" s="13"/>
    </row>
    <row r="171" spans="1:137" s="4" customFormat="1" ht="12.75">
      <c r="A171" s="144" t="s">
        <v>223</v>
      </c>
      <c r="B171" s="174"/>
      <c r="C171" s="174"/>
      <c r="D171" s="171">
        <v>8000</v>
      </c>
      <c r="E171" s="171"/>
      <c r="F171" s="171">
        <f>D171</f>
        <v>8000</v>
      </c>
      <c r="G171" s="171">
        <f>F171</f>
        <v>8000</v>
      </c>
      <c r="H171" s="171"/>
      <c r="I171" s="171"/>
      <c r="J171" s="171">
        <f>G171</f>
        <v>8000</v>
      </c>
      <c r="K171" s="171"/>
      <c r="L171" s="171"/>
      <c r="M171" s="171"/>
      <c r="N171" s="171">
        <f>G171</f>
        <v>8000</v>
      </c>
      <c r="O171" s="171"/>
      <c r="P171" s="171">
        <f>N171</f>
        <v>8000</v>
      </c>
      <c r="EB171" s="13"/>
      <c r="EC171" s="13"/>
      <c r="ED171" s="13"/>
      <c r="EE171" s="13"/>
      <c r="EF171" s="13"/>
      <c r="EG171" s="13"/>
    </row>
    <row r="172" spans="1:137" s="4" customFormat="1" ht="29.25" customHeight="1">
      <c r="A172" s="144" t="s">
        <v>224</v>
      </c>
      <c r="B172" s="174"/>
      <c r="C172" s="174"/>
      <c r="D172" s="171">
        <f>10773913.04+289855.07+7003.9</f>
        <v>11070772.01</v>
      </c>
      <c r="E172" s="171"/>
      <c r="F172" s="171">
        <f>D172</f>
        <v>11070772.01</v>
      </c>
      <c r="G172" s="171">
        <f>10773913.04+289855.07</f>
        <v>11063768.11</v>
      </c>
      <c r="H172" s="171"/>
      <c r="I172" s="171"/>
      <c r="J172" s="171">
        <f>G172</f>
        <v>11063768.11</v>
      </c>
      <c r="K172" s="171"/>
      <c r="L172" s="171"/>
      <c r="M172" s="171"/>
      <c r="N172" s="171">
        <f>10773913.04+289855.07</f>
        <v>11063768.11</v>
      </c>
      <c r="O172" s="171"/>
      <c r="P172" s="171">
        <f>N172</f>
        <v>11063768.11</v>
      </c>
      <c r="EB172" s="13"/>
      <c r="EC172" s="13"/>
      <c r="ED172" s="13"/>
      <c r="EE172" s="13"/>
      <c r="EF172" s="13"/>
      <c r="EG172" s="13"/>
    </row>
    <row r="173" spans="1:137" s="4" customFormat="1" ht="12.75">
      <c r="A173" s="143" t="s">
        <v>189</v>
      </c>
      <c r="B173" s="8"/>
      <c r="C173" s="8"/>
      <c r="D173" s="178"/>
      <c r="E173" s="178"/>
      <c r="F173" s="171"/>
      <c r="G173" s="178"/>
      <c r="H173" s="178"/>
      <c r="I173" s="178"/>
      <c r="J173" s="171"/>
      <c r="K173" s="171"/>
      <c r="L173" s="171"/>
      <c r="M173" s="171"/>
      <c r="N173" s="178"/>
      <c r="O173" s="178"/>
      <c r="P173" s="184"/>
      <c r="EB173" s="13"/>
      <c r="EC173" s="13"/>
      <c r="ED173" s="13"/>
      <c r="EE173" s="13"/>
      <c r="EF173" s="13"/>
      <c r="EG173" s="13"/>
    </row>
    <row r="174" spans="1:137" s="4" customFormat="1" ht="24" customHeight="1">
      <c r="A174" s="144" t="s">
        <v>414</v>
      </c>
      <c r="B174" s="174"/>
      <c r="C174" s="174"/>
      <c r="D174" s="171"/>
      <c r="E174" s="171"/>
      <c r="F174" s="171"/>
      <c r="G174" s="171"/>
      <c r="H174" s="171"/>
      <c r="I174" s="171"/>
      <c r="J174" s="171">
        <f>G174</f>
        <v>0</v>
      </c>
      <c r="K174" s="171"/>
      <c r="L174" s="171"/>
      <c r="M174" s="171"/>
      <c r="N174" s="171"/>
      <c r="O174" s="171"/>
      <c r="P174" s="171">
        <f>N174</f>
        <v>0</v>
      </c>
      <c r="EB174" s="13"/>
      <c r="EC174" s="13"/>
      <c r="ED174" s="13"/>
      <c r="EE174" s="13"/>
      <c r="EF174" s="13"/>
      <c r="EG174" s="13"/>
    </row>
    <row r="175" spans="1:137" s="4" customFormat="1" ht="29.25" customHeight="1">
      <c r="A175" s="144" t="s">
        <v>225</v>
      </c>
      <c r="B175" s="174"/>
      <c r="C175" s="174"/>
      <c r="D175" s="171">
        <v>30</v>
      </c>
      <c r="E175" s="171"/>
      <c r="F175" s="171">
        <f>D175</f>
        <v>30</v>
      </c>
      <c r="G175" s="171">
        <v>46</v>
      </c>
      <c r="H175" s="171"/>
      <c r="I175" s="171"/>
      <c r="J175" s="171">
        <f>G175</f>
        <v>46</v>
      </c>
      <c r="K175" s="171"/>
      <c r="L175" s="171"/>
      <c r="M175" s="171"/>
      <c r="N175" s="171">
        <v>46</v>
      </c>
      <c r="O175" s="171"/>
      <c r="P175" s="171">
        <f>N175</f>
        <v>46</v>
      </c>
      <c r="EB175" s="13"/>
      <c r="EC175" s="13"/>
      <c r="ED175" s="13"/>
      <c r="EE175" s="13"/>
      <c r="EF175" s="13"/>
      <c r="EG175" s="13"/>
    </row>
    <row r="176" spans="1:137" s="4" customFormat="1" ht="30" customHeight="1">
      <c r="A176" s="144" t="s">
        <v>226</v>
      </c>
      <c r="B176" s="174"/>
      <c r="C176" s="174"/>
      <c r="D176" s="171"/>
      <c r="E176" s="171">
        <v>8.8056024831</v>
      </c>
      <c r="F176" s="171">
        <f>E176</f>
        <v>8.8056024831</v>
      </c>
      <c r="G176" s="171"/>
      <c r="H176" s="179">
        <v>30</v>
      </c>
      <c r="I176" s="171"/>
      <c r="J176" s="171">
        <f>H176</f>
        <v>30</v>
      </c>
      <c r="K176" s="171"/>
      <c r="L176" s="171"/>
      <c r="M176" s="171"/>
      <c r="N176" s="171"/>
      <c r="O176" s="171">
        <v>30</v>
      </c>
      <c r="P176" s="171">
        <f>O176</f>
        <v>30</v>
      </c>
      <c r="EB176" s="13"/>
      <c r="EC176" s="13"/>
      <c r="ED176" s="13"/>
      <c r="EE176" s="13"/>
      <c r="EF176" s="13"/>
      <c r="EG176" s="13"/>
    </row>
    <row r="177" spans="1:137" s="4" customFormat="1" ht="19.5" customHeight="1">
      <c r="A177" s="144" t="s">
        <v>239</v>
      </c>
      <c r="B177" s="174"/>
      <c r="C177" s="174"/>
      <c r="D177" s="171">
        <f>D170</f>
        <v>18995</v>
      </c>
      <c r="E177" s="171"/>
      <c r="F177" s="171">
        <f>D177</f>
        <v>18995</v>
      </c>
      <c r="G177" s="171">
        <f>G170</f>
        <v>18995</v>
      </c>
      <c r="H177" s="171"/>
      <c r="I177" s="171"/>
      <c r="J177" s="171">
        <f>G177</f>
        <v>18995</v>
      </c>
      <c r="K177" s="171"/>
      <c r="L177" s="171"/>
      <c r="M177" s="171"/>
      <c r="N177" s="171">
        <f>N170</f>
        <v>18995</v>
      </c>
      <c r="O177" s="171"/>
      <c r="P177" s="171">
        <f>N177</f>
        <v>18995</v>
      </c>
      <c r="EB177" s="13"/>
      <c r="EC177" s="13"/>
      <c r="ED177" s="13"/>
      <c r="EE177" s="13"/>
      <c r="EF177" s="13"/>
      <c r="EG177" s="13"/>
    </row>
    <row r="178" spans="1:137" s="4" customFormat="1" ht="24.75" customHeight="1">
      <c r="A178" s="144" t="s">
        <v>227</v>
      </c>
      <c r="B178" s="174"/>
      <c r="C178" s="174"/>
      <c r="D178" s="171">
        <f>2482-181-1460-243</f>
        <v>598</v>
      </c>
      <c r="E178" s="171"/>
      <c r="F178" s="171">
        <f>D178</f>
        <v>598</v>
      </c>
      <c r="G178" s="171">
        <f>2482-181</f>
        <v>2301</v>
      </c>
      <c r="H178" s="171"/>
      <c r="I178" s="171"/>
      <c r="J178" s="171">
        <f>G178</f>
        <v>2301</v>
      </c>
      <c r="K178" s="171"/>
      <c r="L178" s="171"/>
      <c r="M178" s="171"/>
      <c r="N178" s="171">
        <f>2482-181</f>
        <v>2301</v>
      </c>
      <c r="O178" s="171"/>
      <c r="P178" s="171">
        <f>N178</f>
        <v>2301</v>
      </c>
      <c r="EB178" s="13"/>
      <c r="EC178" s="13"/>
      <c r="ED178" s="13"/>
      <c r="EE178" s="13"/>
      <c r="EF178" s="13"/>
      <c r="EG178" s="13"/>
    </row>
    <row r="179" spans="1:137" s="4" customFormat="1" ht="24.75" customHeight="1">
      <c r="A179" s="144" t="s">
        <v>228</v>
      </c>
      <c r="B179" s="174"/>
      <c r="C179" s="174"/>
      <c r="D179" s="171">
        <v>11070772.01</v>
      </c>
      <c r="E179" s="171"/>
      <c r="F179" s="171">
        <f>D179</f>
        <v>11070772.01</v>
      </c>
      <c r="G179" s="171">
        <v>11063768.11</v>
      </c>
      <c r="H179" s="171"/>
      <c r="I179" s="171"/>
      <c r="J179" s="171">
        <f>G179</f>
        <v>11063768.11</v>
      </c>
      <c r="K179" s="171"/>
      <c r="L179" s="171"/>
      <c r="M179" s="171"/>
      <c r="N179" s="171">
        <v>11063768.11</v>
      </c>
      <c r="O179" s="171"/>
      <c r="P179" s="171">
        <f>N179</f>
        <v>11063768.11</v>
      </c>
      <c r="EB179" s="13"/>
      <c r="EC179" s="13"/>
      <c r="ED179" s="13"/>
      <c r="EE179" s="13"/>
      <c r="EF179" s="13"/>
      <c r="EG179" s="13"/>
    </row>
    <row r="180" spans="1:137" s="4" customFormat="1" ht="12.75">
      <c r="A180" s="143" t="s">
        <v>191</v>
      </c>
      <c r="B180" s="8"/>
      <c r="C180" s="8"/>
      <c r="D180" s="178"/>
      <c r="E180" s="178"/>
      <c r="F180" s="171"/>
      <c r="G180" s="178"/>
      <c r="H180" s="178"/>
      <c r="I180" s="178"/>
      <c r="J180" s="171"/>
      <c r="K180" s="171"/>
      <c r="L180" s="171"/>
      <c r="M180" s="171"/>
      <c r="N180" s="178"/>
      <c r="O180" s="178"/>
      <c r="P180" s="171"/>
      <c r="EB180" s="13"/>
      <c r="EC180" s="13"/>
      <c r="ED180" s="13"/>
      <c r="EE180" s="13"/>
      <c r="EF180" s="13"/>
      <c r="EG180" s="13"/>
    </row>
    <row r="181" spans="1:137" s="4" customFormat="1" ht="30.75" customHeight="1">
      <c r="A181" s="144" t="s">
        <v>229</v>
      </c>
      <c r="B181" s="174"/>
      <c r="C181" s="174"/>
      <c r="D181" s="184">
        <v>63333.3333</v>
      </c>
      <c r="E181" s="171"/>
      <c r="F181" s="171">
        <f>D181</f>
        <v>63333.3333</v>
      </c>
      <c r="G181" s="171">
        <v>355287.611304</v>
      </c>
      <c r="H181" s="171"/>
      <c r="I181" s="171"/>
      <c r="J181" s="171">
        <f>G181</f>
        <v>355287.611304</v>
      </c>
      <c r="K181" s="171"/>
      <c r="L181" s="171"/>
      <c r="M181" s="171"/>
      <c r="N181" s="171">
        <v>373051.9905</v>
      </c>
      <c r="O181" s="171"/>
      <c r="P181" s="171">
        <f>N181</f>
        <v>373051.9905</v>
      </c>
      <c r="EB181" s="13"/>
      <c r="EC181" s="13"/>
      <c r="ED181" s="13"/>
      <c r="EE181" s="13"/>
      <c r="EF181" s="13"/>
      <c r="EG181" s="13"/>
    </row>
    <row r="182" spans="1:137" s="4" customFormat="1" ht="25.5">
      <c r="A182" s="144" t="s">
        <v>230</v>
      </c>
      <c r="B182" s="174"/>
      <c r="C182" s="174"/>
      <c r="D182" s="171"/>
      <c r="E182" s="171">
        <v>600753.9</v>
      </c>
      <c r="F182" s="171">
        <f>E182</f>
        <v>600753.9</v>
      </c>
      <c r="G182" s="171"/>
      <c r="H182" s="171">
        <v>645433.333333</v>
      </c>
      <c r="I182" s="171"/>
      <c r="J182" s="171">
        <f>H182</f>
        <v>645433.333333</v>
      </c>
      <c r="K182" s="171"/>
      <c r="L182" s="171"/>
      <c r="M182" s="171"/>
      <c r="N182" s="171"/>
      <c r="O182" s="171">
        <v>677733.333333</v>
      </c>
      <c r="P182" s="171">
        <f>O182</f>
        <v>677733.333333</v>
      </c>
      <c r="EB182" s="13"/>
      <c r="EC182" s="13"/>
      <c r="ED182" s="13"/>
      <c r="EE182" s="13"/>
      <c r="EF182" s="13"/>
      <c r="EG182" s="13"/>
    </row>
    <row r="183" spans="1:137" s="4" customFormat="1" ht="23.25" customHeight="1">
      <c r="A183" s="144" t="s">
        <v>231</v>
      </c>
      <c r="B183" s="174"/>
      <c r="C183" s="174"/>
      <c r="D183" s="171">
        <v>466.6074</v>
      </c>
      <c r="E183" s="171"/>
      <c r="F183" s="171">
        <f>D183</f>
        <v>466.6074</v>
      </c>
      <c r="G183" s="171">
        <v>536.43807</v>
      </c>
      <c r="H183" s="171"/>
      <c r="I183" s="171"/>
      <c r="J183" s="171">
        <f>G183</f>
        <v>536.43807</v>
      </c>
      <c r="K183" s="171"/>
      <c r="L183" s="171"/>
      <c r="M183" s="171"/>
      <c r="N183" s="171">
        <v>563.26</v>
      </c>
      <c r="O183" s="171"/>
      <c r="P183" s="171">
        <f>N183</f>
        <v>563.26</v>
      </c>
      <c r="EB183" s="13"/>
      <c r="EC183" s="13"/>
      <c r="ED183" s="13"/>
      <c r="EE183" s="13"/>
      <c r="EF183" s="13"/>
      <c r="EG183" s="13"/>
    </row>
    <row r="184" spans="1:137" s="4" customFormat="1" ht="17.25" customHeight="1">
      <c r="A184" s="144" t="s">
        <v>232</v>
      </c>
      <c r="B184" s="174"/>
      <c r="C184" s="174"/>
      <c r="D184" s="171">
        <f>5539.2423+0.05-350-4.0057</f>
        <v>5185.2866</v>
      </c>
      <c r="E184" s="171"/>
      <c r="F184" s="171">
        <f>D184</f>
        <v>5185.2866</v>
      </c>
      <c r="G184" s="171">
        <f>5853.91968+1.184434+1.666362</f>
        <v>5856.770476</v>
      </c>
      <c r="H184" s="171"/>
      <c r="I184" s="171"/>
      <c r="J184" s="171">
        <f>G184</f>
        <v>5856.770476</v>
      </c>
      <c r="K184" s="171"/>
      <c r="L184" s="171"/>
      <c r="M184" s="171"/>
      <c r="N184" s="171">
        <f>6146.616+2.98636679704</f>
        <v>6149.60236679704</v>
      </c>
      <c r="O184" s="171"/>
      <c r="P184" s="171">
        <f>N184</f>
        <v>6149.60236679704</v>
      </c>
      <c r="EB184" s="13"/>
      <c r="EC184" s="13"/>
      <c r="ED184" s="13"/>
      <c r="EE184" s="13"/>
      <c r="EF184" s="13"/>
      <c r="EG184" s="13"/>
    </row>
    <row r="185" spans="1:137" s="4" customFormat="1" ht="25.5">
      <c r="A185" s="144" t="s">
        <v>300</v>
      </c>
      <c r="B185" s="174"/>
      <c r="C185" s="174"/>
      <c r="D185" s="171">
        <v>3.9563645</v>
      </c>
      <c r="E185" s="171"/>
      <c r="F185" s="171">
        <f>D185</f>
        <v>3.9563645</v>
      </c>
      <c r="G185" s="171">
        <v>3.632849073</v>
      </c>
      <c r="H185" s="171"/>
      <c r="I185" s="171"/>
      <c r="J185" s="171">
        <f>G185</f>
        <v>3.632849073</v>
      </c>
      <c r="K185" s="171"/>
      <c r="L185" s="171"/>
      <c r="M185" s="171"/>
      <c r="N185" s="171">
        <v>3.814491526</v>
      </c>
      <c r="O185" s="171"/>
      <c r="P185" s="171">
        <f>N185</f>
        <v>3.814491526</v>
      </c>
      <c r="EB185" s="13"/>
      <c r="EC185" s="13"/>
      <c r="ED185" s="13"/>
      <c r="EE185" s="13"/>
      <c r="EF185" s="13"/>
      <c r="EG185" s="13"/>
    </row>
    <row r="186" spans="1:137" s="4" customFormat="1" ht="12.75">
      <c r="A186" s="143" t="s">
        <v>190</v>
      </c>
      <c r="B186" s="8"/>
      <c r="C186" s="8"/>
      <c r="D186" s="9"/>
      <c r="E186" s="9"/>
      <c r="F186" s="141">
        <f>D186</f>
        <v>0</v>
      </c>
      <c r="G186" s="9"/>
      <c r="H186" s="9"/>
      <c r="I186" s="9"/>
      <c r="J186" s="141">
        <f>G186</f>
        <v>0</v>
      </c>
      <c r="K186" s="141"/>
      <c r="L186" s="141"/>
      <c r="M186" s="141"/>
      <c r="N186" s="9"/>
      <c r="O186" s="9"/>
      <c r="P186" s="141">
        <f>N186</f>
        <v>0</v>
      </c>
      <c r="EB186" s="13"/>
      <c r="EC186" s="13"/>
      <c r="ED186" s="13"/>
      <c r="EE186" s="13"/>
      <c r="EF186" s="13"/>
      <c r="EG186" s="13"/>
    </row>
    <row r="187" spans="1:137" s="4" customFormat="1" ht="25.5">
      <c r="A187" s="144" t="s">
        <v>234</v>
      </c>
      <c r="B187" s="174"/>
      <c r="C187" s="174"/>
      <c r="D187" s="141"/>
      <c r="E187" s="141">
        <f>E176/E168*100</f>
        <v>1.9054384011208965</v>
      </c>
      <c r="F187" s="141">
        <f>E187</f>
        <v>1.9054384011208965</v>
      </c>
      <c r="G187" s="141"/>
      <c r="H187" s="141">
        <f>H176/H168*100</f>
        <v>6.491679830350767</v>
      </c>
      <c r="I187" s="141"/>
      <c r="J187" s="141">
        <f>H187</f>
        <v>6.491679830350767</v>
      </c>
      <c r="K187" s="141"/>
      <c r="L187" s="141"/>
      <c r="M187" s="141"/>
      <c r="N187" s="141"/>
      <c r="O187" s="141">
        <f>O176/O168*100</f>
        <v>6.491679830350767</v>
      </c>
      <c r="P187" s="141">
        <f>O187</f>
        <v>6.491679830350767</v>
      </c>
      <c r="EB187" s="13"/>
      <c r="EC187" s="13"/>
      <c r="ED187" s="13"/>
      <c r="EE187" s="13"/>
      <c r="EF187" s="13"/>
      <c r="EG187" s="13"/>
    </row>
    <row r="188" spans="1:137" s="4" customFormat="1" ht="25.5">
      <c r="A188" s="144" t="s">
        <v>233</v>
      </c>
      <c r="B188" s="174"/>
      <c r="C188" s="174"/>
      <c r="D188" s="141">
        <f>D175/D169*100</f>
        <v>28.347349522819616</v>
      </c>
      <c r="E188" s="141"/>
      <c r="F188" s="141">
        <f>D188</f>
        <v>28.347349522819616</v>
      </c>
      <c r="G188" s="141">
        <f>G175/G169*100</f>
        <v>43.46593593499008</v>
      </c>
      <c r="H188" s="141"/>
      <c r="I188" s="141"/>
      <c r="J188" s="141">
        <f>G188</f>
        <v>43.46593593499008</v>
      </c>
      <c r="K188" s="141"/>
      <c r="L188" s="141"/>
      <c r="M188" s="141"/>
      <c r="N188" s="141">
        <f>N175/N169*100</f>
        <v>43.46593593499008</v>
      </c>
      <c r="O188" s="141"/>
      <c r="P188" s="141">
        <f>N188</f>
        <v>43.46593593499008</v>
      </c>
      <c r="EB188" s="13"/>
      <c r="EC188" s="13"/>
      <c r="ED188" s="13"/>
      <c r="EE188" s="13"/>
      <c r="EF188" s="13"/>
      <c r="EG188" s="13"/>
    </row>
    <row r="189" spans="1:137" s="4" customFormat="1" ht="24" customHeight="1">
      <c r="A189" s="144" t="s">
        <v>235</v>
      </c>
      <c r="B189" s="174"/>
      <c r="C189" s="174"/>
      <c r="D189" s="141">
        <f>D178/D171*100</f>
        <v>7.475</v>
      </c>
      <c r="E189" s="184"/>
      <c r="F189" s="141">
        <f>D189</f>
        <v>7.475</v>
      </c>
      <c r="G189" s="141">
        <f>G178/G171*100</f>
        <v>28.762500000000003</v>
      </c>
      <c r="H189" s="141"/>
      <c r="I189" s="141"/>
      <c r="J189" s="141">
        <f>G189</f>
        <v>28.762500000000003</v>
      </c>
      <c r="K189" s="141"/>
      <c r="L189" s="141"/>
      <c r="M189" s="141"/>
      <c r="N189" s="141">
        <f>N178/N171*100</f>
        <v>28.762500000000003</v>
      </c>
      <c r="O189" s="141"/>
      <c r="P189" s="141">
        <f>N189</f>
        <v>28.762500000000003</v>
      </c>
      <c r="EB189" s="13"/>
      <c r="EC189" s="13"/>
      <c r="ED189" s="13"/>
      <c r="EE189" s="13"/>
      <c r="EF189" s="13"/>
      <c r="EG189" s="13"/>
    </row>
    <row r="190" spans="1:137" s="4" customFormat="1" ht="48" customHeight="1">
      <c r="A190" s="75" t="s">
        <v>107</v>
      </c>
      <c r="B190" s="174"/>
      <c r="C190" s="174"/>
      <c r="D190" s="74">
        <f>D191+D235+D242+D249+D256</f>
        <v>25816400.004169937</v>
      </c>
      <c r="E190" s="74">
        <f>E191+E235+E242+E249+E256</f>
        <v>3361200</v>
      </c>
      <c r="F190" s="74">
        <f>D190+E190</f>
        <v>29177600.004169937</v>
      </c>
      <c r="G190" s="74">
        <f>G191+G235+G242+G249+G256</f>
        <v>35137100.001386344</v>
      </c>
      <c r="H190" s="74">
        <f aca="true" t="shared" si="15" ref="H190:O190">H191+H235+H242+H249+H256</f>
        <v>20530000</v>
      </c>
      <c r="I190" s="74">
        <f t="shared" si="15"/>
        <v>0</v>
      </c>
      <c r="J190" s="74">
        <f>G190+H190</f>
        <v>55667100.001386344</v>
      </c>
      <c r="K190" s="74">
        <f t="shared" si="15"/>
        <v>0</v>
      </c>
      <c r="L190" s="74">
        <f t="shared" si="15"/>
        <v>0</v>
      </c>
      <c r="M190" s="74">
        <f t="shared" si="15"/>
        <v>0</v>
      </c>
      <c r="N190" s="74">
        <f t="shared" si="15"/>
        <v>36497501.920780905</v>
      </c>
      <c r="O190" s="74">
        <f t="shared" si="15"/>
        <v>21056500</v>
      </c>
      <c r="P190" s="74">
        <f>N190+O190</f>
        <v>57554001.920780905</v>
      </c>
      <c r="R190" s="135"/>
      <c r="EB190" s="13"/>
      <c r="EC190" s="13"/>
      <c r="ED190" s="13"/>
      <c r="EE190" s="13"/>
      <c r="EF190" s="13"/>
      <c r="EG190" s="13"/>
    </row>
    <row r="191" spans="1:137" s="57" customFormat="1" ht="38.25" customHeight="1">
      <c r="A191" s="147" t="s">
        <v>108</v>
      </c>
      <c r="B191" s="169"/>
      <c r="C191" s="169"/>
      <c r="D191" s="170">
        <f>D203*D218+D204*D219+D205*D220+D206*D221+D207*D222+D208*D223+D209*D224+D210*D225+D211*D226+D212*D227+D213*D228+D214*D229+D215*D230+D216*D231+30.43</f>
        <v>24411800.004169937</v>
      </c>
      <c r="E191" s="170">
        <f aca="true" t="shared" si="16" ref="E191:O191">E203*E218+E204*E219+E205*E220+E206*E221+E207*E222+E208*E223+E209*E224+E210*E225+E211*E226+E212*E227+E213*E228+E214*E229+E215*E230</f>
        <v>0</v>
      </c>
      <c r="F191" s="170">
        <f>D191+E191</f>
        <v>24411800.004169937</v>
      </c>
      <c r="G191" s="173">
        <f>G203*G218+G204*G219+G205*G220+G206*G221+G207*G222+G208*G223+G209*G224+G210*G225+G211*G226+G212*G227+G213*G228+G214*G229+G215*G230+G216*G231+31.19</f>
        <v>33191200.001386344</v>
      </c>
      <c r="H191" s="173">
        <f t="shared" si="16"/>
        <v>0</v>
      </c>
      <c r="I191" s="173">
        <f t="shared" si="16"/>
        <v>0</v>
      </c>
      <c r="J191" s="173">
        <f>G191+H191</f>
        <v>33191200.001386344</v>
      </c>
      <c r="K191" s="170">
        <f t="shared" si="16"/>
        <v>0</v>
      </c>
      <c r="L191" s="170">
        <f t="shared" si="16"/>
        <v>0</v>
      </c>
      <c r="M191" s="170">
        <f t="shared" si="16"/>
        <v>0</v>
      </c>
      <c r="N191" s="170">
        <f t="shared" si="16"/>
        <v>34690501.920780905</v>
      </c>
      <c r="O191" s="170">
        <f t="shared" si="16"/>
        <v>0</v>
      </c>
      <c r="P191" s="170">
        <f>N191+O191</f>
        <v>34690501.920780905</v>
      </c>
      <c r="EB191" s="58"/>
      <c r="EC191" s="58"/>
      <c r="ED191" s="58"/>
      <c r="EE191" s="58"/>
      <c r="EF191" s="58"/>
      <c r="EG191" s="58"/>
    </row>
    <row r="192" spans="1:137" s="4" customFormat="1" ht="12.75">
      <c r="A192" s="143" t="s">
        <v>188</v>
      </c>
      <c r="B192" s="8"/>
      <c r="C192" s="8"/>
      <c r="D192" s="9"/>
      <c r="E192" s="9"/>
      <c r="F192" s="9"/>
      <c r="G192" s="9"/>
      <c r="H192" s="9"/>
      <c r="I192" s="9"/>
      <c r="J192" s="9"/>
      <c r="K192" s="141"/>
      <c r="L192" s="141"/>
      <c r="M192" s="141"/>
      <c r="N192" s="9"/>
      <c r="O192" s="9"/>
      <c r="P192" s="9"/>
      <c r="EB192" s="13"/>
      <c r="EC192" s="13"/>
      <c r="ED192" s="13"/>
      <c r="EE192" s="13"/>
      <c r="EF192" s="13"/>
      <c r="EG192" s="13"/>
    </row>
    <row r="193" spans="1:137" s="55" customFormat="1" ht="26.25" customHeight="1">
      <c r="A193" s="144" t="s">
        <v>544</v>
      </c>
      <c r="B193" s="174"/>
      <c r="C193" s="174"/>
      <c r="D193" s="141">
        <v>180</v>
      </c>
      <c r="E193" s="141"/>
      <c r="F193" s="141">
        <f aca="true" t="shared" si="17" ref="F193:F199">D193</f>
        <v>180</v>
      </c>
      <c r="G193" s="141">
        <v>187</v>
      </c>
      <c r="H193" s="141"/>
      <c r="I193" s="141"/>
      <c r="J193" s="141">
        <f aca="true" t="shared" si="18" ref="J193:J200">G193</f>
        <v>187</v>
      </c>
      <c r="K193" s="141"/>
      <c r="L193" s="141"/>
      <c r="M193" s="141"/>
      <c r="N193" s="141">
        <v>187</v>
      </c>
      <c r="O193" s="141"/>
      <c r="P193" s="141">
        <f aca="true" t="shared" si="19" ref="P193:P200">N193</f>
        <v>187</v>
      </c>
      <c r="EB193" s="56"/>
      <c r="EC193" s="56"/>
      <c r="ED193" s="56"/>
      <c r="EE193" s="56"/>
      <c r="EF193" s="56"/>
      <c r="EG193" s="56"/>
    </row>
    <row r="194" spans="1:137" s="55" customFormat="1" ht="18.75" customHeight="1">
      <c r="A194" s="144" t="s">
        <v>485</v>
      </c>
      <c r="B194" s="174"/>
      <c r="C194" s="174"/>
      <c r="D194" s="141">
        <f>4850+8210</f>
        <v>13060</v>
      </c>
      <c r="E194" s="141"/>
      <c r="F194" s="141">
        <f t="shared" si="17"/>
        <v>13060</v>
      </c>
      <c r="G194" s="141">
        <f>F194</f>
        <v>13060</v>
      </c>
      <c r="H194" s="141"/>
      <c r="I194" s="141"/>
      <c r="J194" s="141">
        <f t="shared" si="18"/>
        <v>13060</v>
      </c>
      <c r="K194" s="141"/>
      <c r="L194" s="141"/>
      <c r="M194" s="141"/>
      <c r="N194" s="141">
        <f>4850+8210</f>
        <v>13060</v>
      </c>
      <c r="O194" s="141"/>
      <c r="P194" s="141">
        <f t="shared" si="19"/>
        <v>13060</v>
      </c>
      <c r="EB194" s="56"/>
      <c r="EC194" s="56"/>
      <c r="ED194" s="56"/>
      <c r="EE194" s="56"/>
      <c r="EF194" s="56"/>
      <c r="EG194" s="56"/>
    </row>
    <row r="195" spans="1:137" s="55" customFormat="1" ht="20.25" customHeight="1">
      <c r="A195" s="144" t="s">
        <v>301</v>
      </c>
      <c r="B195" s="174"/>
      <c r="C195" s="174"/>
      <c r="D195" s="141">
        <v>2000</v>
      </c>
      <c r="E195" s="141"/>
      <c r="F195" s="141">
        <f>D195</f>
        <v>2000</v>
      </c>
      <c r="G195" s="141">
        <v>2000</v>
      </c>
      <c r="H195" s="141"/>
      <c r="I195" s="141"/>
      <c r="J195" s="141">
        <f t="shared" si="18"/>
        <v>2000</v>
      </c>
      <c r="K195" s="141"/>
      <c r="L195" s="141"/>
      <c r="M195" s="141"/>
      <c r="N195" s="141">
        <v>2000</v>
      </c>
      <c r="O195" s="141"/>
      <c r="P195" s="141">
        <f t="shared" si="19"/>
        <v>2000</v>
      </c>
      <c r="EB195" s="56"/>
      <c r="EC195" s="56"/>
      <c r="ED195" s="56"/>
      <c r="EE195" s="56"/>
      <c r="EF195" s="56"/>
      <c r="EG195" s="56"/>
    </row>
    <row r="196" spans="1:137" s="55" customFormat="1" ht="12.75">
      <c r="A196" s="144" t="s">
        <v>238</v>
      </c>
      <c r="B196" s="174"/>
      <c r="C196" s="174"/>
      <c r="D196" s="141">
        <v>600</v>
      </c>
      <c r="E196" s="141"/>
      <c r="F196" s="141">
        <f t="shared" si="17"/>
        <v>600</v>
      </c>
      <c r="G196" s="141">
        <v>600</v>
      </c>
      <c r="H196" s="141"/>
      <c r="I196" s="141"/>
      <c r="J196" s="141">
        <f t="shared" si="18"/>
        <v>600</v>
      </c>
      <c r="K196" s="141"/>
      <c r="L196" s="141"/>
      <c r="M196" s="141"/>
      <c r="N196" s="141">
        <v>600</v>
      </c>
      <c r="O196" s="141"/>
      <c r="P196" s="141">
        <f t="shared" si="19"/>
        <v>600</v>
      </c>
      <c r="EB196" s="56"/>
      <c r="EC196" s="56"/>
      <c r="ED196" s="56"/>
      <c r="EE196" s="56"/>
      <c r="EF196" s="56"/>
      <c r="EG196" s="56"/>
    </row>
    <row r="197" spans="1:137" s="55" customFormat="1" ht="12.75">
      <c r="A197" s="144" t="s">
        <v>489</v>
      </c>
      <c r="B197" s="174"/>
      <c r="C197" s="174"/>
      <c r="D197" s="141">
        <v>123.45</v>
      </c>
      <c r="E197" s="141"/>
      <c r="F197" s="141">
        <f t="shared" si="17"/>
        <v>123.45</v>
      </c>
      <c r="G197" s="141">
        <f>F197</f>
        <v>123.45</v>
      </c>
      <c r="H197" s="141"/>
      <c r="I197" s="141"/>
      <c r="J197" s="141">
        <f t="shared" si="18"/>
        <v>123.45</v>
      </c>
      <c r="K197" s="141"/>
      <c r="L197" s="141"/>
      <c r="M197" s="141"/>
      <c r="N197" s="141">
        <f>J197</f>
        <v>123.45</v>
      </c>
      <c r="O197" s="141"/>
      <c r="P197" s="141">
        <f t="shared" si="19"/>
        <v>123.45</v>
      </c>
      <c r="EB197" s="56"/>
      <c r="EC197" s="56"/>
      <c r="ED197" s="56"/>
      <c r="EE197" s="56"/>
      <c r="EF197" s="56"/>
      <c r="EG197" s="56"/>
    </row>
    <row r="198" spans="1:137" s="55" customFormat="1" ht="12.75">
      <c r="A198" s="144" t="s">
        <v>488</v>
      </c>
      <c r="B198" s="174"/>
      <c r="C198" s="174"/>
      <c r="D198" s="141">
        <v>11.549</v>
      </c>
      <c r="E198" s="141"/>
      <c r="F198" s="141">
        <f t="shared" si="17"/>
        <v>11.549</v>
      </c>
      <c r="G198" s="141">
        <v>11.549</v>
      </c>
      <c r="H198" s="141"/>
      <c r="I198" s="141">
        <f>G198</f>
        <v>11.549</v>
      </c>
      <c r="J198" s="141">
        <f t="shared" si="18"/>
        <v>11.549</v>
      </c>
      <c r="K198" s="141"/>
      <c r="L198" s="141"/>
      <c r="M198" s="141"/>
      <c r="N198" s="141">
        <v>11.55</v>
      </c>
      <c r="O198" s="141"/>
      <c r="P198" s="141">
        <f t="shared" si="19"/>
        <v>11.55</v>
      </c>
      <c r="EB198" s="56"/>
      <c r="EC198" s="56"/>
      <c r="ED198" s="56"/>
      <c r="EE198" s="56"/>
      <c r="EF198" s="56"/>
      <c r="EG198" s="56"/>
    </row>
    <row r="199" spans="1:137" s="55" customFormat="1" ht="12.75">
      <c r="A199" s="144" t="s">
        <v>490</v>
      </c>
      <c r="B199" s="174"/>
      <c r="C199" s="174"/>
      <c r="D199" s="141">
        <v>9</v>
      </c>
      <c r="E199" s="141"/>
      <c r="F199" s="141">
        <f t="shared" si="17"/>
        <v>9</v>
      </c>
      <c r="G199" s="141">
        <v>9</v>
      </c>
      <c r="H199" s="141"/>
      <c r="I199" s="141"/>
      <c r="J199" s="141">
        <f t="shared" si="18"/>
        <v>9</v>
      </c>
      <c r="K199" s="141"/>
      <c r="L199" s="141"/>
      <c r="M199" s="141"/>
      <c r="N199" s="141">
        <v>9</v>
      </c>
      <c r="O199" s="141"/>
      <c r="P199" s="141">
        <f t="shared" si="19"/>
        <v>9</v>
      </c>
      <c r="EB199" s="56"/>
      <c r="EC199" s="56"/>
      <c r="ED199" s="56"/>
      <c r="EE199" s="56"/>
      <c r="EF199" s="56"/>
      <c r="EG199" s="56"/>
    </row>
    <row r="200" spans="1:137" s="4" customFormat="1" ht="12.75">
      <c r="A200" s="144" t="s">
        <v>491</v>
      </c>
      <c r="B200" s="174"/>
      <c r="C200" s="174"/>
      <c r="D200" s="141">
        <v>62633</v>
      </c>
      <c r="E200" s="141"/>
      <c r="F200" s="141">
        <f>D200</f>
        <v>62633</v>
      </c>
      <c r="G200" s="141">
        <v>62625</v>
      </c>
      <c r="H200" s="141"/>
      <c r="I200" s="141"/>
      <c r="J200" s="141">
        <f t="shared" si="18"/>
        <v>62625</v>
      </c>
      <c r="K200" s="141"/>
      <c r="L200" s="141"/>
      <c r="M200" s="141"/>
      <c r="N200" s="141">
        <v>62625</v>
      </c>
      <c r="O200" s="141"/>
      <c r="P200" s="141">
        <f t="shared" si="19"/>
        <v>62625</v>
      </c>
      <c r="EB200" s="13"/>
      <c r="EC200" s="13"/>
      <c r="ED200" s="13"/>
      <c r="EE200" s="13"/>
      <c r="EF200" s="13"/>
      <c r="EG200" s="13"/>
    </row>
    <row r="201" spans="1:137" s="4" customFormat="1" ht="12.75">
      <c r="A201" s="185" t="s">
        <v>527</v>
      </c>
      <c r="B201" s="174"/>
      <c r="C201" s="174"/>
      <c r="D201" s="141">
        <v>40</v>
      </c>
      <c r="E201" s="141"/>
      <c r="F201" s="141">
        <f>D201</f>
        <v>40</v>
      </c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EB201" s="13"/>
      <c r="EC201" s="13"/>
      <c r="ED201" s="13"/>
      <c r="EE201" s="13"/>
      <c r="EF201" s="13"/>
      <c r="EG201" s="13"/>
    </row>
    <row r="202" spans="1:137" s="4" customFormat="1" ht="12.75">
      <c r="A202" s="143" t="s">
        <v>189</v>
      </c>
      <c r="B202" s="8"/>
      <c r="C202" s="8"/>
      <c r="D202" s="9"/>
      <c r="E202" s="9"/>
      <c r="F202" s="9"/>
      <c r="G202" s="9"/>
      <c r="H202" s="9"/>
      <c r="I202" s="9"/>
      <c r="J202" s="141"/>
      <c r="K202" s="141"/>
      <c r="L202" s="141"/>
      <c r="M202" s="141"/>
      <c r="N202" s="9"/>
      <c r="O202" s="9"/>
      <c r="P202" s="141"/>
      <c r="EB202" s="13"/>
      <c r="EC202" s="13"/>
      <c r="ED202" s="13"/>
      <c r="EE202" s="13"/>
      <c r="EF202" s="13"/>
      <c r="EG202" s="13"/>
    </row>
    <row r="203" spans="1:137" s="55" customFormat="1" ht="28.5" customHeight="1">
      <c r="A203" s="144" t="s">
        <v>545</v>
      </c>
      <c r="B203" s="174"/>
      <c r="C203" s="174"/>
      <c r="D203" s="184">
        <v>180</v>
      </c>
      <c r="E203" s="141"/>
      <c r="F203" s="141">
        <f>D203</f>
        <v>180</v>
      </c>
      <c r="G203" s="141">
        <v>187</v>
      </c>
      <c r="H203" s="141"/>
      <c r="I203" s="141"/>
      <c r="J203" s="141">
        <f aca="true" t="shared" si="20" ref="J203:J208">G203</f>
        <v>187</v>
      </c>
      <c r="K203" s="141"/>
      <c r="L203" s="141"/>
      <c r="M203" s="141"/>
      <c r="N203" s="141">
        <v>187</v>
      </c>
      <c r="O203" s="141"/>
      <c r="P203" s="141">
        <f aca="true" t="shared" si="21" ref="P203:P208">N203</f>
        <v>187</v>
      </c>
      <c r="EB203" s="56"/>
      <c r="EC203" s="56"/>
      <c r="ED203" s="56"/>
      <c r="EE203" s="56"/>
      <c r="EF203" s="56"/>
      <c r="EG203" s="56"/>
    </row>
    <row r="204" spans="1:137" s="55" customFormat="1" ht="12.75">
      <c r="A204" s="144" t="s">
        <v>464</v>
      </c>
      <c r="B204" s="174"/>
      <c r="C204" s="174"/>
      <c r="D204" s="184">
        <f>1556+889-152-440</f>
        <v>1853</v>
      </c>
      <c r="E204" s="141"/>
      <c r="F204" s="141">
        <f aca="true" t="shared" si="22" ref="F204:F216">D204</f>
        <v>1853</v>
      </c>
      <c r="G204" s="141">
        <v>2292</v>
      </c>
      <c r="H204" s="141"/>
      <c r="I204" s="141"/>
      <c r="J204" s="141">
        <f t="shared" si="20"/>
        <v>2292</v>
      </c>
      <c r="K204" s="141"/>
      <c r="L204" s="141"/>
      <c r="M204" s="141"/>
      <c r="N204" s="141">
        <v>2241</v>
      </c>
      <c r="O204" s="141"/>
      <c r="P204" s="141">
        <f t="shared" si="21"/>
        <v>2241</v>
      </c>
      <c r="EB204" s="56"/>
      <c r="EC204" s="56"/>
      <c r="ED204" s="56"/>
      <c r="EE204" s="56"/>
      <c r="EF204" s="56"/>
      <c r="EG204" s="56"/>
    </row>
    <row r="205" spans="1:137" s="55" customFormat="1" ht="12.75">
      <c r="A205" s="144" t="s">
        <v>483</v>
      </c>
      <c r="B205" s="174"/>
      <c r="C205" s="174"/>
      <c r="D205" s="184">
        <v>0</v>
      </c>
      <c r="E205" s="141"/>
      <c r="F205" s="141">
        <f>D205</f>
        <v>0</v>
      </c>
      <c r="G205" s="141">
        <v>7.77</v>
      </c>
      <c r="H205" s="141"/>
      <c r="I205" s="141"/>
      <c r="J205" s="141">
        <f>G205</f>
        <v>7.77</v>
      </c>
      <c r="K205" s="141"/>
      <c r="L205" s="141"/>
      <c r="M205" s="141"/>
      <c r="N205" s="141">
        <v>7.77</v>
      </c>
      <c r="O205" s="141"/>
      <c r="P205" s="141">
        <f>N205</f>
        <v>7.77</v>
      </c>
      <c r="EB205" s="56"/>
      <c r="EC205" s="56"/>
      <c r="ED205" s="56"/>
      <c r="EE205" s="56"/>
      <c r="EF205" s="56"/>
      <c r="EG205" s="56"/>
    </row>
    <row r="206" spans="1:137" s="55" customFormat="1" ht="26.25" customHeight="1">
      <c r="A206" s="144" t="s">
        <v>492</v>
      </c>
      <c r="B206" s="174"/>
      <c r="C206" s="174"/>
      <c r="D206" s="184">
        <v>225</v>
      </c>
      <c r="E206" s="141"/>
      <c r="F206" s="141">
        <f>D206</f>
        <v>225</v>
      </c>
      <c r="G206" s="141">
        <v>645</v>
      </c>
      <c r="H206" s="141"/>
      <c r="I206" s="141"/>
      <c r="J206" s="141">
        <f>G206</f>
        <v>645</v>
      </c>
      <c r="K206" s="141"/>
      <c r="L206" s="141"/>
      <c r="M206" s="141"/>
      <c r="N206" s="141">
        <v>645</v>
      </c>
      <c r="O206" s="141"/>
      <c r="P206" s="141">
        <f>N206</f>
        <v>645</v>
      </c>
      <c r="EB206" s="56"/>
      <c r="EC206" s="56"/>
      <c r="ED206" s="56"/>
      <c r="EE206" s="56"/>
      <c r="EF206" s="56"/>
      <c r="EG206" s="56"/>
    </row>
    <row r="207" spans="1:137" s="55" customFormat="1" ht="12.75">
      <c r="A207" s="144" t="s">
        <v>237</v>
      </c>
      <c r="B207" s="174"/>
      <c r="C207" s="174"/>
      <c r="D207" s="184">
        <v>472</v>
      </c>
      <c r="E207" s="141"/>
      <c r="F207" s="141">
        <f t="shared" si="22"/>
        <v>472</v>
      </c>
      <c r="G207" s="141">
        <v>490</v>
      </c>
      <c r="H207" s="141"/>
      <c r="I207" s="141"/>
      <c r="J207" s="141">
        <f t="shared" si="20"/>
        <v>490</v>
      </c>
      <c r="K207" s="141"/>
      <c r="L207" s="141"/>
      <c r="M207" s="141"/>
      <c r="N207" s="141">
        <v>490</v>
      </c>
      <c r="O207" s="141"/>
      <c r="P207" s="141">
        <f t="shared" si="21"/>
        <v>490</v>
      </c>
      <c r="EB207" s="56"/>
      <c r="EC207" s="56"/>
      <c r="ED207" s="56"/>
      <c r="EE207" s="56"/>
      <c r="EF207" s="56"/>
      <c r="EG207" s="56"/>
    </row>
    <row r="208" spans="1:137" s="55" customFormat="1" ht="12.75">
      <c r="A208" s="144" t="s">
        <v>465</v>
      </c>
      <c r="B208" s="174"/>
      <c r="C208" s="174"/>
      <c r="D208" s="184">
        <v>76.26</v>
      </c>
      <c r="E208" s="141"/>
      <c r="F208" s="141">
        <f t="shared" si="22"/>
        <v>76.26</v>
      </c>
      <c r="G208" s="141">
        <v>76.26</v>
      </c>
      <c r="H208" s="141"/>
      <c r="I208" s="141"/>
      <c r="J208" s="141">
        <f t="shared" si="20"/>
        <v>76.26</v>
      </c>
      <c r="K208" s="141"/>
      <c r="L208" s="141"/>
      <c r="M208" s="141"/>
      <c r="N208" s="141">
        <f>J208</f>
        <v>76.26</v>
      </c>
      <c r="O208" s="141"/>
      <c r="P208" s="141">
        <f t="shared" si="21"/>
        <v>76.26</v>
      </c>
      <c r="EB208" s="56"/>
      <c r="EC208" s="56"/>
      <c r="ED208" s="56"/>
      <c r="EE208" s="56"/>
      <c r="EF208" s="56"/>
      <c r="EG208" s="56"/>
    </row>
    <row r="209" spans="1:137" s="55" customFormat="1" ht="12.75">
      <c r="A209" s="144" t="s">
        <v>476</v>
      </c>
      <c r="B209" s="174"/>
      <c r="C209" s="174"/>
      <c r="D209" s="141">
        <f>11000-1143</f>
        <v>9857</v>
      </c>
      <c r="E209" s="141"/>
      <c r="F209" s="141">
        <f>D209</f>
        <v>9857</v>
      </c>
      <c r="G209" s="141">
        <v>11000</v>
      </c>
      <c r="H209" s="141"/>
      <c r="I209" s="141"/>
      <c r="J209" s="141">
        <f>G209</f>
        <v>11000</v>
      </c>
      <c r="K209" s="141"/>
      <c r="L209" s="141"/>
      <c r="M209" s="141"/>
      <c r="N209" s="141">
        <v>11000</v>
      </c>
      <c r="O209" s="141"/>
      <c r="P209" s="141">
        <f>N209</f>
        <v>11000</v>
      </c>
      <c r="EB209" s="56"/>
      <c r="EC209" s="56"/>
      <c r="ED209" s="56"/>
      <c r="EE209" s="56"/>
      <c r="EF209" s="56"/>
      <c r="EG209" s="56"/>
    </row>
    <row r="210" spans="1:137" s="55" customFormat="1" ht="12.75">
      <c r="A210" s="144" t="s">
        <v>168</v>
      </c>
      <c r="B210" s="174"/>
      <c r="C210" s="174"/>
      <c r="D210" s="184">
        <v>1</v>
      </c>
      <c r="E210" s="141"/>
      <c r="F210" s="141">
        <f>D210</f>
        <v>1</v>
      </c>
      <c r="G210" s="141">
        <v>1</v>
      </c>
      <c r="H210" s="141"/>
      <c r="I210" s="141"/>
      <c r="J210" s="141">
        <f>G210</f>
        <v>1</v>
      </c>
      <c r="K210" s="141"/>
      <c r="L210" s="141"/>
      <c r="M210" s="141"/>
      <c r="N210" s="141">
        <v>1</v>
      </c>
      <c r="O210" s="141"/>
      <c r="P210" s="141">
        <f>N210</f>
        <v>1</v>
      </c>
      <c r="EB210" s="56"/>
      <c r="EC210" s="56"/>
      <c r="ED210" s="56"/>
      <c r="EE210" s="56"/>
      <c r="EF210" s="56"/>
      <c r="EG210" s="56"/>
    </row>
    <row r="211" spans="1:137" s="55" customFormat="1" ht="12.75">
      <c r="A211" s="144" t="s">
        <v>258</v>
      </c>
      <c r="B211" s="174"/>
      <c r="C211" s="174"/>
      <c r="D211" s="184">
        <v>11.549</v>
      </c>
      <c r="E211" s="141"/>
      <c r="F211" s="141">
        <f t="shared" si="22"/>
        <v>11.549</v>
      </c>
      <c r="G211" s="141">
        <v>11.549</v>
      </c>
      <c r="H211" s="141"/>
      <c r="I211" s="141"/>
      <c r="J211" s="141">
        <v>11.55</v>
      </c>
      <c r="K211" s="141"/>
      <c r="L211" s="141"/>
      <c r="M211" s="141"/>
      <c r="N211" s="141">
        <v>11.549</v>
      </c>
      <c r="O211" s="141"/>
      <c r="P211" s="141">
        <v>11.55</v>
      </c>
      <c r="EB211" s="56"/>
      <c r="EC211" s="56"/>
      <c r="ED211" s="56"/>
      <c r="EE211" s="56"/>
      <c r="EF211" s="56"/>
      <c r="EG211" s="56"/>
    </row>
    <row r="212" spans="1:137" s="55" customFormat="1" ht="25.5">
      <c r="A212" s="144" t="s">
        <v>479</v>
      </c>
      <c r="B212" s="174"/>
      <c r="C212" s="174"/>
      <c r="D212" s="184">
        <f>14-14</f>
        <v>0</v>
      </c>
      <c r="E212" s="141"/>
      <c r="F212" s="141">
        <f t="shared" si="22"/>
        <v>0</v>
      </c>
      <c r="G212" s="141">
        <v>12</v>
      </c>
      <c r="H212" s="141"/>
      <c r="I212" s="141"/>
      <c r="J212" s="141">
        <f>G212</f>
        <v>12</v>
      </c>
      <c r="K212" s="141"/>
      <c r="L212" s="141"/>
      <c r="M212" s="141"/>
      <c r="N212" s="141">
        <v>12</v>
      </c>
      <c r="O212" s="141"/>
      <c r="P212" s="141">
        <f>N212</f>
        <v>12</v>
      </c>
      <c r="EB212" s="56"/>
      <c r="EC212" s="56"/>
      <c r="ED212" s="56"/>
      <c r="EE212" s="56"/>
      <c r="EF212" s="56"/>
      <c r="EG212" s="56"/>
    </row>
    <row r="213" spans="1:137" s="55" customFormat="1" ht="28.5" customHeight="1">
      <c r="A213" s="144" t="s">
        <v>480</v>
      </c>
      <c r="B213" s="174"/>
      <c r="C213" s="174"/>
      <c r="D213" s="184">
        <v>19</v>
      </c>
      <c r="E213" s="141"/>
      <c r="F213" s="141">
        <f t="shared" si="22"/>
        <v>19</v>
      </c>
      <c r="G213" s="141">
        <v>18</v>
      </c>
      <c r="H213" s="141"/>
      <c r="I213" s="141"/>
      <c r="J213" s="141">
        <f>G213</f>
        <v>18</v>
      </c>
      <c r="K213" s="141"/>
      <c r="L213" s="141"/>
      <c r="M213" s="141"/>
      <c r="N213" s="141">
        <v>18</v>
      </c>
      <c r="O213" s="141"/>
      <c r="P213" s="141">
        <f>N213</f>
        <v>18</v>
      </c>
      <c r="EB213" s="56"/>
      <c r="EC213" s="56"/>
      <c r="ED213" s="56"/>
      <c r="EE213" s="56"/>
      <c r="EF213" s="56"/>
      <c r="EG213" s="56"/>
    </row>
    <row r="214" spans="1:137" s="55" customFormat="1" ht="28.5" customHeight="1">
      <c r="A214" s="144" t="s">
        <v>568</v>
      </c>
      <c r="B214" s="174"/>
      <c r="C214" s="174"/>
      <c r="D214" s="184">
        <v>373.599</v>
      </c>
      <c r="E214" s="141"/>
      <c r="F214" s="141">
        <f t="shared" si="22"/>
        <v>373.599</v>
      </c>
      <c r="G214" s="141">
        <v>9296</v>
      </c>
      <c r="H214" s="141"/>
      <c r="I214" s="141"/>
      <c r="J214" s="141">
        <f>G214</f>
        <v>9296</v>
      </c>
      <c r="K214" s="141"/>
      <c r="L214" s="141"/>
      <c r="M214" s="141"/>
      <c r="N214" s="141">
        <v>9298</v>
      </c>
      <c r="O214" s="141"/>
      <c r="P214" s="141">
        <f>N214</f>
        <v>9298</v>
      </c>
      <c r="EB214" s="56"/>
      <c r="EC214" s="56"/>
      <c r="ED214" s="56"/>
      <c r="EE214" s="56"/>
      <c r="EF214" s="56"/>
      <c r="EG214" s="56"/>
    </row>
    <row r="215" spans="1:137" s="55" customFormat="1" ht="12.75">
      <c r="A215" s="144" t="s">
        <v>297</v>
      </c>
      <c r="B215" s="174"/>
      <c r="C215" s="174"/>
      <c r="D215" s="184">
        <v>9</v>
      </c>
      <c r="E215" s="141"/>
      <c r="F215" s="141">
        <f t="shared" si="22"/>
        <v>9</v>
      </c>
      <c r="G215" s="141">
        <v>9</v>
      </c>
      <c r="H215" s="141"/>
      <c r="I215" s="141"/>
      <c r="J215" s="141">
        <f>G215</f>
        <v>9</v>
      </c>
      <c r="K215" s="141"/>
      <c r="L215" s="141"/>
      <c r="M215" s="141"/>
      <c r="N215" s="141">
        <v>9</v>
      </c>
      <c r="O215" s="141"/>
      <c r="P215" s="141">
        <f>N215</f>
        <v>9</v>
      </c>
      <c r="EB215" s="56"/>
      <c r="EC215" s="56"/>
      <c r="ED215" s="56"/>
      <c r="EE215" s="56"/>
      <c r="EF215" s="56"/>
      <c r="EG215" s="56"/>
    </row>
    <row r="216" spans="1:137" s="55" customFormat="1" ht="25.5">
      <c r="A216" s="185" t="s">
        <v>528</v>
      </c>
      <c r="B216" s="174"/>
      <c r="C216" s="174"/>
      <c r="D216" s="184">
        <v>40</v>
      </c>
      <c r="E216" s="141"/>
      <c r="F216" s="141">
        <f t="shared" si="22"/>
        <v>40</v>
      </c>
      <c r="G216" s="141">
        <v>10.2</v>
      </c>
      <c r="H216" s="141"/>
      <c r="I216" s="141"/>
      <c r="J216" s="141">
        <f>G216</f>
        <v>10.2</v>
      </c>
      <c r="K216" s="141"/>
      <c r="L216" s="141"/>
      <c r="M216" s="141"/>
      <c r="N216" s="141"/>
      <c r="O216" s="141"/>
      <c r="P216" s="141"/>
      <c r="EB216" s="56"/>
      <c r="EC216" s="56"/>
      <c r="ED216" s="56"/>
      <c r="EE216" s="56"/>
      <c r="EF216" s="56"/>
      <c r="EG216" s="56"/>
    </row>
    <row r="217" spans="1:137" s="4" customFormat="1" ht="12.75">
      <c r="A217" s="143" t="s">
        <v>191</v>
      </c>
      <c r="B217" s="8"/>
      <c r="C217" s="8"/>
      <c r="D217" s="9"/>
      <c r="E217" s="9"/>
      <c r="F217" s="141"/>
      <c r="G217" s="9"/>
      <c r="H217" s="9"/>
      <c r="I217" s="9"/>
      <c r="J217" s="141"/>
      <c r="K217" s="141"/>
      <c r="L217" s="141"/>
      <c r="M217" s="141"/>
      <c r="N217" s="9"/>
      <c r="O217" s="9"/>
      <c r="P217" s="141"/>
      <c r="EB217" s="13"/>
      <c r="EC217" s="13"/>
      <c r="ED217" s="13"/>
      <c r="EE217" s="13"/>
      <c r="EF217" s="13"/>
      <c r="EG217" s="13"/>
    </row>
    <row r="218" spans="1:137" s="55" customFormat="1" ht="25.5">
      <c r="A218" s="144" t="s">
        <v>543</v>
      </c>
      <c r="B218" s="8"/>
      <c r="C218" s="8"/>
      <c r="D218" s="184">
        <v>33411.1111</v>
      </c>
      <c r="E218" s="9"/>
      <c r="F218" s="141">
        <f>D218</f>
        <v>33411.1111</v>
      </c>
      <c r="G218" s="141">
        <v>41711.2299465</v>
      </c>
      <c r="H218" s="9"/>
      <c r="I218" s="9"/>
      <c r="J218" s="141">
        <f aca="true" t="shared" si="23" ref="J218:J225">G218</f>
        <v>41711.2299465</v>
      </c>
      <c r="K218" s="141"/>
      <c r="L218" s="141"/>
      <c r="M218" s="141"/>
      <c r="N218" s="141">
        <v>68297.0012834</v>
      </c>
      <c r="O218" s="9"/>
      <c r="P218" s="141">
        <f aca="true" t="shared" si="24" ref="P218:P230">N218</f>
        <v>68297.0012834</v>
      </c>
      <c r="EB218" s="56"/>
      <c r="EC218" s="56"/>
      <c r="ED218" s="56"/>
      <c r="EE218" s="56"/>
      <c r="EF218" s="56"/>
      <c r="EG218" s="56"/>
    </row>
    <row r="219" spans="1:137" s="55" customFormat="1" ht="12.75">
      <c r="A219" s="144" t="s">
        <v>463</v>
      </c>
      <c r="B219" s="174"/>
      <c r="C219" s="174"/>
      <c r="D219" s="184">
        <v>2398.812736</v>
      </c>
      <c r="E219" s="141"/>
      <c r="F219" s="141">
        <f>D219</f>
        <v>2398.812736</v>
      </c>
      <c r="G219" s="141">
        <v>2520.0698</v>
      </c>
      <c r="H219" s="141"/>
      <c r="I219" s="141"/>
      <c r="J219" s="141">
        <f t="shared" si="23"/>
        <v>2520.0698</v>
      </c>
      <c r="K219" s="141"/>
      <c r="L219" s="141"/>
      <c r="M219" s="141"/>
      <c r="N219" s="141">
        <f>2385.34+0.2</f>
        <v>2385.54</v>
      </c>
      <c r="O219" s="141"/>
      <c r="P219" s="141">
        <f t="shared" si="24"/>
        <v>2385.54</v>
      </c>
      <c r="EB219" s="56"/>
      <c r="EC219" s="56"/>
      <c r="ED219" s="56"/>
      <c r="EE219" s="56"/>
      <c r="EF219" s="56"/>
      <c r="EG219" s="56"/>
    </row>
    <row r="220" spans="1:137" s="55" customFormat="1" ht="15" customHeight="1">
      <c r="A220" s="157" t="s">
        <v>484</v>
      </c>
      <c r="B220" s="174"/>
      <c r="C220" s="174"/>
      <c r="D220" s="184">
        <v>0</v>
      </c>
      <c r="E220" s="141"/>
      <c r="F220" s="141">
        <f>D220</f>
        <v>0</v>
      </c>
      <c r="G220" s="141">
        <v>62625</v>
      </c>
      <c r="H220" s="141"/>
      <c r="I220" s="141"/>
      <c r="J220" s="141">
        <f t="shared" si="23"/>
        <v>62625</v>
      </c>
      <c r="K220" s="141"/>
      <c r="L220" s="141"/>
      <c r="M220" s="141"/>
      <c r="N220" s="141">
        <v>62625</v>
      </c>
      <c r="O220" s="141"/>
      <c r="P220" s="141">
        <f t="shared" si="24"/>
        <v>62625</v>
      </c>
      <c r="EB220" s="56"/>
      <c r="EC220" s="56"/>
      <c r="ED220" s="56"/>
      <c r="EE220" s="56"/>
      <c r="EF220" s="56"/>
      <c r="EG220" s="56"/>
    </row>
    <row r="221" spans="1:137" s="55" customFormat="1" ht="20.25" customHeight="1">
      <c r="A221" s="144" t="s">
        <v>334</v>
      </c>
      <c r="B221" s="174"/>
      <c r="C221" s="174"/>
      <c r="D221" s="184">
        <v>2666.666</v>
      </c>
      <c r="E221" s="141"/>
      <c r="F221" s="141">
        <f>D221</f>
        <v>2666.666</v>
      </c>
      <c r="G221" s="141">
        <v>2813.95</v>
      </c>
      <c r="H221" s="141"/>
      <c r="I221" s="141"/>
      <c r="J221" s="141">
        <f>G221</f>
        <v>2813.95</v>
      </c>
      <c r="K221" s="141"/>
      <c r="L221" s="141"/>
      <c r="M221" s="141"/>
      <c r="N221" s="141">
        <v>2813.95</v>
      </c>
      <c r="O221" s="141"/>
      <c r="P221" s="141">
        <f>N221</f>
        <v>2813.95</v>
      </c>
      <c r="EB221" s="56"/>
      <c r="EC221" s="56"/>
      <c r="ED221" s="56"/>
      <c r="EE221" s="56"/>
      <c r="EF221" s="56"/>
      <c r="EG221" s="56"/>
    </row>
    <row r="222" spans="1:137" s="55" customFormat="1" ht="12.75">
      <c r="A222" s="144" t="s">
        <v>236</v>
      </c>
      <c r="B222" s="174"/>
      <c r="C222" s="174"/>
      <c r="D222" s="184">
        <v>4867.16</v>
      </c>
      <c r="E222" s="141"/>
      <c r="F222" s="141">
        <f aca="true" t="shared" si="25" ref="F222:F231">D222</f>
        <v>4867.16</v>
      </c>
      <c r="G222" s="141">
        <v>8513.67</v>
      </c>
      <c r="H222" s="141"/>
      <c r="I222" s="141"/>
      <c r="J222" s="141">
        <f t="shared" si="23"/>
        <v>8513.67</v>
      </c>
      <c r="K222" s="141"/>
      <c r="L222" s="141"/>
      <c r="M222" s="141"/>
      <c r="N222" s="141">
        <v>9024.49</v>
      </c>
      <c r="O222" s="141"/>
      <c r="P222" s="141">
        <f t="shared" si="24"/>
        <v>9024.49</v>
      </c>
      <c r="EB222" s="56"/>
      <c r="EC222" s="56"/>
      <c r="ED222" s="56"/>
      <c r="EE222" s="56"/>
      <c r="EF222" s="56"/>
      <c r="EG222" s="56"/>
    </row>
    <row r="223" spans="1:137" s="55" customFormat="1" ht="12.75">
      <c r="A223" s="144" t="s">
        <v>493</v>
      </c>
      <c r="B223" s="174"/>
      <c r="C223" s="174"/>
      <c r="D223" s="184">
        <v>126345.399548</v>
      </c>
      <c r="E223" s="141"/>
      <c r="F223" s="141">
        <f t="shared" si="25"/>
        <v>126345.399548</v>
      </c>
      <c r="G223" s="141">
        <v>141956.4647</v>
      </c>
      <c r="H223" s="141"/>
      <c r="I223" s="141"/>
      <c r="J223" s="141">
        <f t="shared" si="23"/>
        <v>141956.4647</v>
      </c>
      <c r="K223" s="141"/>
      <c r="L223" s="141"/>
      <c r="M223" s="141"/>
      <c r="N223" s="141">
        <v>97758.7228612</v>
      </c>
      <c r="O223" s="141"/>
      <c r="P223" s="141">
        <f t="shared" si="24"/>
        <v>97758.7228612</v>
      </c>
      <c r="EB223" s="56"/>
      <c r="EC223" s="56"/>
      <c r="ED223" s="56"/>
      <c r="EE223" s="56"/>
      <c r="EF223" s="56"/>
      <c r="EG223" s="56"/>
    </row>
    <row r="224" spans="1:137" s="55" customFormat="1" ht="12.75">
      <c r="A224" s="144" t="s">
        <v>472</v>
      </c>
      <c r="B224" s="174"/>
      <c r="C224" s="174"/>
      <c r="D224" s="184">
        <v>26.884</v>
      </c>
      <c r="E224" s="141"/>
      <c r="F224" s="141">
        <f t="shared" si="25"/>
        <v>26.884</v>
      </c>
      <c r="G224" s="141">
        <v>52.918</v>
      </c>
      <c r="H224" s="141"/>
      <c r="I224" s="141"/>
      <c r="J224" s="141">
        <f t="shared" si="23"/>
        <v>52.918</v>
      </c>
      <c r="K224" s="141"/>
      <c r="L224" s="141"/>
      <c r="M224" s="141"/>
      <c r="N224" s="141">
        <v>58.2</v>
      </c>
      <c r="O224" s="141"/>
      <c r="P224" s="141">
        <f t="shared" si="24"/>
        <v>58.2</v>
      </c>
      <c r="EB224" s="56"/>
      <c r="EC224" s="56"/>
      <c r="ED224" s="56"/>
      <c r="EE224" s="56"/>
      <c r="EF224" s="56"/>
      <c r="EG224" s="56"/>
    </row>
    <row r="225" spans="1:137" s="55" customFormat="1" ht="12.75">
      <c r="A225" s="144" t="s">
        <v>477</v>
      </c>
      <c r="B225" s="174"/>
      <c r="C225" s="174"/>
      <c r="D225" s="184">
        <v>140000</v>
      </c>
      <c r="E225" s="141"/>
      <c r="F225" s="141">
        <f t="shared" si="25"/>
        <v>140000</v>
      </c>
      <c r="G225" s="141">
        <v>165700</v>
      </c>
      <c r="H225" s="141"/>
      <c r="I225" s="141"/>
      <c r="J225" s="141">
        <f t="shared" si="23"/>
        <v>165700</v>
      </c>
      <c r="K225" s="141"/>
      <c r="L225" s="141"/>
      <c r="M225" s="141"/>
      <c r="N225" s="141">
        <v>134624.7</v>
      </c>
      <c r="O225" s="141"/>
      <c r="P225" s="141">
        <f t="shared" si="24"/>
        <v>134624.7</v>
      </c>
      <c r="EB225" s="56"/>
      <c r="EC225" s="56"/>
      <c r="ED225" s="56"/>
      <c r="EE225" s="56"/>
      <c r="EF225" s="56"/>
      <c r="EG225" s="56"/>
    </row>
    <row r="226" spans="1:137" s="55" customFormat="1" ht="33.75" customHeight="1">
      <c r="A226" s="144" t="s">
        <v>529</v>
      </c>
      <c r="B226" s="174"/>
      <c r="C226" s="174"/>
      <c r="D226" s="141">
        <f>21142.86+4398.26554</f>
        <v>25541.12554</v>
      </c>
      <c r="E226" s="141"/>
      <c r="F226" s="141">
        <f t="shared" si="25"/>
        <v>25541.12554</v>
      </c>
      <c r="G226" s="141">
        <v>23376.61896</v>
      </c>
      <c r="H226" s="141"/>
      <c r="I226" s="141"/>
      <c r="J226" s="141">
        <f aca="true" t="shared" si="26" ref="J226:J231">G226</f>
        <v>23376.61896</v>
      </c>
      <c r="K226" s="141"/>
      <c r="L226" s="141"/>
      <c r="M226" s="141"/>
      <c r="N226" s="141">
        <v>23760.51</v>
      </c>
      <c r="O226" s="141"/>
      <c r="P226" s="141">
        <f t="shared" si="24"/>
        <v>23760.51</v>
      </c>
      <c r="EB226" s="56"/>
      <c r="EC226" s="56"/>
      <c r="ED226" s="56"/>
      <c r="EE226" s="56"/>
      <c r="EF226" s="56"/>
      <c r="EG226" s="56"/>
    </row>
    <row r="227" spans="1:137" s="55" customFormat="1" ht="33.75" customHeight="1">
      <c r="A227" s="144" t="s">
        <v>478</v>
      </c>
      <c r="B227" s="174"/>
      <c r="C227" s="174"/>
      <c r="D227" s="141">
        <f>2285.71-2285.71</f>
        <v>0</v>
      </c>
      <c r="E227" s="141"/>
      <c r="F227" s="141">
        <f t="shared" si="25"/>
        <v>0</v>
      </c>
      <c r="G227" s="141">
        <v>2825</v>
      </c>
      <c r="H227" s="141"/>
      <c r="I227" s="141"/>
      <c r="J227" s="141">
        <f t="shared" si="26"/>
        <v>2825</v>
      </c>
      <c r="K227" s="141"/>
      <c r="L227" s="141"/>
      <c r="M227" s="141"/>
      <c r="N227" s="141">
        <v>3491.7</v>
      </c>
      <c r="O227" s="141"/>
      <c r="P227" s="141">
        <f t="shared" si="24"/>
        <v>3491.7</v>
      </c>
      <c r="EB227" s="56"/>
      <c r="EC227" s="56"/>
      <c r="ED227" s="56"/>
      <c r="EE227" s="56"/>
      <c r="EF227" s="56"/>
      <c r="EG227" s="56"/>
    </row>
    <row r="228" spans="1:137" s="55" customFormat="1" ht="12.75">
      <c r="A228" s="144" t="s">
        <v>481</v>
      </c>
      <c r="B228" s="174"/>
      <c r="C228" s="174"/>
      <c r="D228" s="141">
        <v>2631.58</v>
      </c>
      <c r="E228" s="141"/>
      <c r="F228" s="141">
        <f t="shared" si="25"/>
        <v>2631.58</v>
      </c>
      <c r="G228" s="141">
        <v>2777.78</v>
      </c>
      <c r="H228" s="141"/>
      <c r="I228" s="141"/>
      <c r="J228" s="141">
        <f t="shared" si="26"/>
        <v>2777.78</v>
      </c>
      <c r="K228" s="141"/>
      <c r="L228" s="141"/>
      <c r="M228" s="141"/>
      <c r="N228" s="141">
        <v>2930.5579</v>
      </c>
      <c r="O228" s="141"/>
      <c r="P228" s="141">
        <f t="shared" si="24"/>
        <v>2930.5579</v>
      </c>
      <c r="EB228" s="56"/>
      <c r="EC228" s="56"/>
      <c r="ED228" s="56"/>
      <c r="EE228" s="56"/>
      <c r="EF228" s="56"/>
      <c r="EG228" s="56"/>
    </row>
    <row r="229" spans="1:137" s="55" customFormat="1" ht="33.75" customHeight="1">
      <c r="A229" s="144" t="s">
        <v>482</v>
      </c>
      <c r="B229" s="174"/>
      <c r="C229" s="174"/>
      <c r="D229" s="141">
        <v>8.03</v>
      </c>
      <c r="E229" s="141"/>
      <c r="F229" s="141">
        <f t="shared" si="25"/>
        <v>8.03</v>
      </c>
      <c r="G229" s="141">
        <v>8.52</v>
      </c>
      <c r="H229" s="141"/>
      <c r="I229" s="141"/>
      <c r="J229" s="141">
        <f t="shared" si="26"/>
        <v>8.52</v>
      </c>
      <c r="K229" s="141"/>
      <c r="L229" s="141"/>
      <c r="M229" s="141"/>
      <c r="N229" s="141">
        <v>9.03</v>
      </c>
      <c r="O229" s="141"/>
      <c r="P229" s="141">
        <f t="shared" si="24"/>
        <v>9.03</v>
      </c>
      <c r="EB229" s="56"/>
      <c r="EC229" s="56"/>
      <c r="ED229" s="56"/>
      <c r="EE229" s="56"/>
      <c r="EF229" s="56"/>
      <c r="EG229" s="56"/>
    </row>
    <row r="230" spans="1:137" s="55" customFormat="1" ht="12.75">
      <c r="A230" s="144" t="s">
        <v>298</v>
      </c>
      <c r="B230" s="174"/>
      <c r="C230" s="174"/>
      <c r="D230" s="141">
        <f>112500-12500-41066.67</f>
        <v>58933.33</v>
      </c>
      <c r="E230" s="141"/>
      <c r="F230" s="141">
        <f t="shared" si="25"/>
        <v>58933.33</v>
      </c>
      <c r="G230" s="141">
        <v>122266.6666</v>
      </c>
      <c r="H230" s="141"/>
      <c r="I230" s="141"/>
      <c r="J230" s="141">
        <f t="shared" si="26"/>
        <v>122266.6666</v>
      </c>
      <c r="K230" s="141"/>
      <c r="L230" s="141"/>
      <c r="M230" s="141"/>
      <c r="N230" s="141">
        <v>129605.2248</v>
      </c>
      <c r="O230" s="141"/>
      <c r="P230" s="141">
        <f t="shared" si="24"/>
        <v>129605.2248</v>
      </c>
      <c r="EB230" s="56"/>
      <c r="EC230" s="56"/>
      <c r="ED230" s="56"/>
      <c r="EE230" s="56"/>
      <c r="EF230" s="56"/>
      <c r="EG230" s="56"/>
    </row>
    <row r="231" spans="1:137" s="55" customFormat="1" ht="25.5">
      <c r="A231" s="185" t="s">
        <v>526</v>
      </c>
      <c r="B231" s="174"/>
      <c r="C231" s="174"/>
      <c r="D231" s="141">
        <v>3425</v>
      </c>
      <c r="E231" s="141"/>
      <c r="F231" s="141">
        <f t="shared" si="25"/>
        <v>3425</v>
      </c>
      <c r="G231" s="141">
        <v>3431.372549</v>
      </c>
      <c r="H231" s="141"/>
      <c r="I231" s="141"/>
      <c r="J231" s="141">
        <f t="shared" si="26"/>
        <v>3431.372549</v>
      </c>
      <c r="K231" s="141"/>
      <c r="L231" s="141"/>
      <c r="M231" s="141"/>
      <c r="N231" s="141"/>
      <c r="O231" s="141"/>
      <c r="P231" s="141"/>
      <c r="EB231" s="56"/>
      <c r="EC231" s="56"/>
      <c r="ED231" s="56"/>
      <c r="EE231" s="56"/>
      <c r="EF231" s="56"/>
      <c r="EG231" s="56"/>
    </row>
    <row r="232" spans="1:137" s="4" customFormat="1" ht="12.75">
      <c r="A232" s="143" t="s">
        <v>190</v>
      </c>
      <c r="B232" s="8"/>
      <c r="C232" s="8"/>
      <c r="D232" s="9"/>
      <c r="E232" s="9"/>
      <c r="F232" s="141"/>
      <c r="G232" s="9"/>
      <c r="H232" s="9"/>
      <c r="I232" s="9"/>
      <c r="J232" s="141"/>
      <c r="K232" s="141"/>
      <c r="L232" s="141"/>
      <c r="M232" s="141"/>
      <c r="N232" s="9"/>
      <c r="O232" s="9"/>
      <c r="P232" s="141"/>
      <c r="EB232" s="13"/>
      <c r="EC232" s="13"/>
      <c r="ED232" s="13"/>
      <c r="EE232" s="13"/>
      <c r="EF232" s="13"/>
      <c r="EG232" s="13"/>
    </row>
    <row r="233" spans="1:137" s="4" customFormat="1" ht="12.75">
      <c r="A233" s="144" t="s">
        <v>486</v>
      </c>
      <c r="B233" s="174"/>
      <c r="C233" s="174"/>
      <c r="D233" s="141">
        <f>D203/D193*100</f>
        <v>100</v>
      </c>
      <c r="E233" s="141"/>
      <c r="F233" s="141">
        <f>F203/F193*100</f>
        <v>100</v>
      </c>
      <c r="G233" s="141">
        <f>G203/G193*100</f>
        <v>100</v>
      </c>
      <c r="H233" s="141"/>
      <c r="I233" s="141"/>
      <c r="J233" s="141">
        <f aca="true" t="shared" si="27" ref="J233:N234">J203/J193*100</f>
        <v>100</v>
      </c>
      <c r="K233" s="141" t="e">
        <f t="shared" si="27"/>
        <v>#DIV/0!</v>
      </c>
      <c r="L233" s="141" t="e">
        <f t="shared" si="27"/>
        <v>#DIV/0!</v>
      </c>
      <c r="M233" s="141" t="e">
        <f t="shared" si="27"/>
        <v>#DIV/0!</v>
      </c>
      <c r="N233" s="141">
        <f t="shared" si="27"/>
        <v>100</v>
      </c>
      <c r="O233" s="141"/>
      <c r="P233" s="141">
        <f>P203/P193*100</f>
        <v>100</v>
      </c>
      <c r="EB233" s="13"/>
      <c r="EC233" s="13"/>
      <c r="ED233" s="13"/>
      <c r="EE233" s="13"/>
      <c r="EF233" s="13"/>
      <c r="EG233" s="13"/>
    </row>
    <row r="234" spans="1:137" s="4" customFormat="1" ht="12.75">
      <c r="A234" s="144" t="s">
        <v>487</v>
      </c>
      <c r="B234" s="174"/>
      <c r="C234" s="174"/>
      <c r="D234" s="141">
        <f>D204/D194*100</f>
        <v>14.188361408882082</v>
      </c>
      <c r="E234" s="141"/>
      <c r="F234" s="141">
        <f>F204/F194*100</f>
        <v>14.188361408882082</v>
      </c>
      <c r="G234" s="141">
        <f>G204/G194*100</f>
        <v>17.549770290964776</v>
      </c>
      <c r="H234" s="141"/>
      <c r="I234" s="141"/>
      <c r="J234" s="141">
        <f t="shared" si="27"/>
        <v>17.549770290964776</v>
      </c>
      <c r="K234" s="141" t="e">
        <f t="shared" si="27"/>
        <v>#DIV/0!</v>
      </c>
      <c r="L234" s="141" t="e">
        <f t="shared" si="27"/>
        <v>#DIV/0!</v>
      </c>
      <c r="M234" s="141" t="e">
        <f t="shared" si="27"/>
        <v>#DIV/0!</v>
      </c>
      <c r="N234" s="141">
        <f t="shared" si="27"/>
        <v>17.15926493108729</v>
      </c>
      <c r="O234" s="141"/>
      <c r="P234" s="141">
        <f>P204/P194*100</f>
        <v>17.15926493108729</v>
      </c>
      <c r="EB234" s="13"/>
      <c r="EC234" s="13"/>
      <c r="ED234" s="13"/>
      <c r="EE234" s="13"/>
      <c r="EF234" s="13"/>
      <c r="EG234" s="13"/>
    </row>
    <row r="235" spans="1:137" s="57" customFormat="1" ht="31.5" customHeight="1">
      <c r="A235" s="147" t="s">
        <v>21</v>
      </c>
      <c r="B235" s="169"/>
      <c r="C235" s="169"/>
      <c r="D235" s="170">
        <f>D237</f>
        <v>424600</v>
      </c>
      <c r="E235" s="170"/>
      <c r="F235" s="170">
        <f>D235</f>
        <v>424600</v>
      </c>
      <c r="G235" s="170">
        <f>G237</f>
        <v>735200</v>
      </c>
      <c r="H235" s="170"/>
      <c r="I235" s="170"/>
      <c r="J235" s="170">
        <f>G235</f>
        <v>735200</v>
      </c>
      <c r="K235" s="170"/>
      <c r="L235" s="170"/>
      <c r="M235" s="170"/>
      <c r="N235" s="170">
        <f>N237</f>
        <v>772000</v>
      </c>
      <c r="O235" s="170"/>
      <c r="P235" s="170">
        <f>N235</f>
        <v>772000</v>
      </c>
      <c r="EB235" s="58"/>
      <c r="EC235" s="58"/>
      <c r="ED235" s="58"/>
      <c r="EE235" s="58"/>
      <c r="EF235" s="58"/>
      <c r="EG235" s="58"/>
    </row>
    <row r="236" spans="1:137" s="4" customFormat="1" ht="15.75" customHeight="1">
      <c r="A236" s="143" t="s">
        <v>261</v>
      </c>
      <c r="B236" s="174"/>
      <c r="C236" s="174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EB236" s="13"/>
      <c r="EC236" s="13"/>
      <c r="ED236" s="13"/>
      <c r="EE236" s="13"/>
      <c r="EF236" s="13"/>
      <c r="EG236" s="13"/>
    </row>
    <row r="237" spans="1:137" s="4" customFormat="1" ht="35.25" customHeight="1">
      <c r="A237" s="144" t="s">
        <v>466</v>
      </c>
      <c r="B237" s="174"/>
      <c r="C237" s="174"/>
      <c r="D237" s="141">
        <f>693600-269000</f>
        <v>424600</v>
      </c>
      <c r="E237" s="141"/>
      <c r="F237" s="141">
        <f>D237</f>
        <v>424600</v>
      </c>
      <c r="G237" s="141">
        <v>735200</v>
      </c>
      <c r="H237" s="141"/>
      <c r="I237" s="141"/>
      <c r="J237" s="141">
        <f>G237</f>
        <v>735200</v>
      </c>
      <c r="K237" s="141"/>
      <c r="L237" s="141"/>
      <c r="M237" s="141"/>
      <c r="N237" s="141">
        <v>772000</v>
      </c>
      <c r="O237" s="141"/>
      <c r="P237" s="141">
        <f>N237</f>
        <v>772000</v>
      </c>
      <c r="EB237" s="13"/>
      <c r="EC237" s="13"/>
      <c r="ED237" s="13"/>
      <c r="EE237" s="13"/>
      <c r="EF237" s="13"/>
      <c r="EG237" s="13"/>
    </row>
    <row r="238" spans="1:137" s="4" customFormat="1" ht="12.75">
      <c r="A238" s="143" t="s">
        <v>392</v>
      </c>
      <c r="B238" s="174"/>
      <c r="C238" s="174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EB238" s="13"/>
      <c r="EC238" s="13"/>
      <c r="ED238" s="13"/>
      <c r="EE238" s="13"/>
      <c r="EF238" s="13"/>
      <c r="EG238" s="13"/>
    </row>
    <row r="239" spans="1:137" s="4" customFormat="1" ht="39" customHeight="1">
      <c r="A239" s="145" t="s">
        <v>467</v>
      </c>
      <c r="B239" s="174"/>
      <c r="C239" s="174"/>
      <c r="D239" s="141">
        <v>13</v>
      </c>
      <c r="E239" s="141"/>
      <c r="F239" s="141">
        <f>D239</f>
        <v>13</v>
      </c>
      <c r="G239" s="141">
        <v>13</v>
      </c>
      <c r="H239" s="141"/>
      <c r="I239" s="141"/>
      <c r="J239" s="141">
        <f>G239</f>
        <v>13</v>
      </c>
      <c r="K239" s="141"/>
      <c r="L239" s="141"/>
      <c r="M239" s="141"/>
      <c r="N239" s="141">
        <v>13</v>
      </c>
      <c r="O239" s="141"/>
      <c r="P239" s="141">
        <f>N239</f>
        <v>13</v>
      </c>
      <c r="EB239" s="13"/>
      <c r="EC239" s="13"/>
      <c r="ED239" s="13"/>
      <c r="EE239" s="13"/>
      <c r="EF239" s="13"/>
      <c r="EG239" s="13"/>
    </row>
    <row r="240" spans="1:137" s="4" customFormat="1" ht="12.75">
      <c r="A240" s="143" t="s">
        <v>388</v>
      </c>
      <c r="B240" s="174"/>
      <c r="C240" s="174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EB240" s="13"/>
      <c r="EC240" s="13"/>
      <c r="ED240" s="13"/>
      <c r="EE240" s="13"/>
      <c r="EF240" s="13"/>
      <c r="EG240" s="13"/>
    </row>
    <row r="241" spans="1:137" s="4" customFormat="1" ht="35.25" customHeight="1">
      <c r="A241" s="144" t="s">
        <v>468</v>
      </c>
      <c r="B241" s="174"/>
      <c r="C241" s="174"/>
      <c r="D241" s="141">
        <f>D237/D239</f>
        <v>32661.53846153846</v>
      </c>
      <c r="E241" s="141"/>
      <c r="F241" s="141">
        <f>D241</f>
        <v>32661.53846153846</v>
      </c>
      <c r="G241" s="141">
        <f>G237/G239</f>
        <v>56553.846153846156</v>
      </c>
      <c r="H241" s="141"/>
      <c r="I241" s="141"/>
      <c r="J241" s="141">
        <f>G241</f>
        <v>56553.846153846156</v>
      </c>
      <c r="K241" s="141"/>
      <c r="L241" s="141"/>
      <c r="M241" s="141"/>
      <c r="N241" s="141">
        <f>N237/N239</f>
        <v>59384.61538461538</v>
      </c>
      <c r="O241" s="141"/>
      <c r="P241" s="141">
        <f>N241</f>
        <v>59384.61538461538</v>
      </c>
      <c r="EB241" s="13"/>
      <c r="EC241" s="13"/>
      <c r="ED241" s="13"/>
      <c r="EE241" s="13"/>
      <c r="EF241" s="13"/>
      <c r="EG241" s="13"/>
    </row>
    <row r="242" spans="1:137" s="4" customFormat="1" ht="33.75" customHeight="1">
      <c r="A242" s="147" t="s">
        <v>22</v>
      </c>
      <c r="B242" s="172"/>
      <c r="C242" s="172"/>
      <c r="D242" s="170">
        <f>D244</f>
        <v>920000</v>
      </c>
      <c r="E242" s="170"/>
      <c r="F242" s="170">
        <f>D242</f>
        <v>920000</v>
      </c>
      <c r="G242" s="170">
        <f>G244</f>
        <v>1075000</v>
      </c>
      <c r="H242" s="170"/>
      <c r="I242" s="170"/>
      <c r="J242" s="170">
        <f>G242</f>
        <v>1075000</v>
      </c>
      <c r="K242" s="170"/>
      <c r="L242" s="170"/>
      <c r="M242" s="170"/>
      <c r="N242" s="170">
        <f>N244</f>
        <v>892500</v>
      </c>
      <c r="O242" s="170"/>
      <c r="P242" s="170">
        <f>N242</f>
        <v>892500</v>
      </c>
      <c r="EB242" s="13"/>
      <c r="EC242" s="13"/>
      <c r="ED242" s="13"/>
      <c r="EE242" s="13"/>
      <c r="EF242" s="13"/>
      <c r="EG242" s="13"/>
    </row>
    <row r="243" spans="1:137" s="4" customFormat="1" ht="12.75">
      <c r="A243" s="143" t="s">
        <v>261</v>
      </c>
      <c r="B243" s="174"/>
      <c r="C243" s="174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EB243" s="13"/>
      <c r="EC243" s="13"/>
      <c r="ED243" s="13"/>
      <c r="EE243" s="13"/>
      <c r="EF243" s="13"/>
      <c r="EG243" s="13"/>
    </row>
    <row r="244" spans="1:137" s="4" customFormat="1" ht="27.75" customHeight="1">
      <c r="A244" s="144" t="s">
        <v>469</v>
      </c>
      <c r="B244" s="174"/>
      <c r="C244" s="174"/>
      <c r="D244" s="141">
        <f>760000+55000+105000</f>
        <v>920000</v>
      </c>
      <c r="E244" s="141"/>
      <c r="F244" s="141">
        <f>D244</f>
        <v>920000</v>
      </c>
      <c r="G244" s="141">
        <f>850000+225000</f>
        <v>1075000</v>
      </c>
      <c r="H244" s="141"/>
      <c r="I244" s="141"/>
      <c r="J244" s="141">
        <f>G244</f>
        <v>1075000</v>
      </c>
      <c r="K244" s="141"/>
      <c r="L244" s="141"/>
      <c r="M244" s="141"/>
      <c r="N244" s="141">
        <v>892500</v>
      </c>
      <c r="O244" s="141"/>
      <c r="P244" s="141">
        <f>N244</f>
        <v>892500</v>
      </c>
      <c r="EB244" s="13"/>
      <c r="EC244" s="13"/>
      <c r="ED244" s="13"/>
      <c r="EE244" s="13"/>
      <c r="EF244" s="13"/>
      <c r="EG244" s="13"/>
    </row>
    <row r="245" spans="1:137" s="4" customFormat="1" ht="12.75">
      <c r="A245" s="143" t="s">
        <v>392</v>
      </c>
      <c r="B245" s="174"/>
      <c r="C245" s="174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EB245" s="13"/>
      <c r="EC245" s="13"/>
      <c r="ED245" s="13"/>
      <c r="EE245" s="13"/>
      <c r="EF245" s="13"/>
      <c r="EG245" s="13"/>
    </row>
    <row r="246" spans="1:137" s="4" customFormat="1" ht="31.5" customHeight="1">
      <c r="A246" s="145" t="s">
        <v>470</v>
      </c>
      <c r="B246" s="174"/>
      <c r="C246" s="174"/>
      <c r="D246" s="141">
        <v>12</v>
      </c>
      <c r="E246" s="141"/>
      <c r="F246" s="141">
        <f>D246</f>
        <v>12</v>
      </c>
      <c r="G246" s="141">
        <v>12</v>
      </c>
      <c r="H246" s="141"/>
      <c r="I246" s="141"/>
      <c r="J246" s="141">
        <f>G246</f>
        <v>12</v>
      </c>
      <c r="K246" s="141"/>
      <c r="L246" s="141"/>
      <c r="M246" s="141"/>
      <c r="N246" s="141">
        <v>12</v>
      </c>
      <c r="O246" s="141"/>
      <c r="P246" s="141">
        <f>N246</f>
        <v>12</v>
      </c>
      <c r="EB246" s="13"/>
      <c r="EC246" s="13"/>
      <c r="ED246" s="13"/>
      <c r="EE246" s="13"/>
      <c r="EF246" s="13"/>
      <c r="EG246" s="13"/>
    </row>
    <row r="247" spans="1:137" s="4" customFormat="1" ht="12.75">
      <c r="A247" s="143" t="s">
        <v>388</v>
      </c>
      <c r="B247" s="174"/>
      <c r="C247" s="174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EB247" s="13"/>
      <c r="EC247" s="13"/>
      <c r="ED247" s="13"/>
      <c r="EE247" s="13"/>
      <c r="EF247" s="13"/>
      <c r="EG247" s="13"/>
    </row>
    <row r="248" spans="1:137" s="4" customFormat="1" ht="33" customHeight="1">
      <c r="A248" s="144" t="s">
        <v>471</v>
      </c>
      <c r="B248" s="174"/>
      <c r="C248" s="174"/>
      <c r="D248" s="141">
        <f>D244/D246</f>
        <v>76666.66666666667</v>
      </c>
      <c r="E248" s="141"/>
      <c r="F248" s="141">
        <f>D248</f>
        <v>76666.66666666667</v>
      </c>
      <c r="G248" s="141">
        <f>G244/G246</f>
        <v>89583.33333333333</v>
      </c>
      <c r="H248" s="141"/>
      <c r="I248" s="141"/>
      <c r="J248" s="141">
        <f>G248</f>
        <v>89583.33333333333</v>
      </c>
      <c r="K248" s="141"/>
      <c r="L248" s="141"/>
      <c r="M248" s="141"/>
      <c r="N248" s="141">
        <f>N244/N246</f>
        <v>74375</v>
      </c>
      <c r="O248" s="141"/>
      <c r="P248" s="141">
        <f>N248</f>
        <v>74375</v>
      </c>
      <c r="EB248" s="13"/>
      <c r="EC248" s="13"/>
      <c r="ED248" s="13"/>
      <c r="EE248" s="13"/>
      <c r="EF248" s="13"/>
      <c r="EG248" s="13"/>
    </row>
    <row r="249" spans="1:137" s="55" customFormat="1" ht="27">
      <c r="A249" s="147" t="s">
        <v>23</v>
      </c>
      <c r="B249" s="172"/>
      <c r="C249" s="172"/>
      <c r="D249" s="170">
        <f>D251</f>
        <v>60000</v>
      </c>
      <c r="E249" s="170"/>
      <c r="F249" s="170">
        <f>D249</f>
        <v>60000</v>
      </c>
      <c r="G249" s="170">
        <f>G251</f>
        <v>135700</v>
      </c>
      <c r="H249" s="170"/>
      <c r="I249" s="170"/>
      <c r="J249" s="170">
        <f>G249</f>
        <v>135700</v>
      </c>
      <c r="K249" s="170"/>
      <c r="L249" s="170"/>
      <c r="M249" s="170"/>
      <c r="N249" s="170">
        <f>N251</f>
        <v>142500</v>
      </c>
      <c r="O249" s="170"/>
      <c r="P249" s="170">
        <f>N249</f>
        <v>142500</v>
      </c>
      <c r="EB249" s="56"/>
      <c r="EC249" s="56"/>
      <c r="ED249" s="56"/>
      <c r="EE249" s="56"/>
      <c r="EF249" s="56"/>
      <c r="EG249" s="56"/>
    </row>
    <row r="250" spans="1:137" s="4" customFormat="1" ht="12.75">
      <c r="A250" s="143" t="s">
        <v>261</v>
      </c>
      <c r="B250" s="174"/>
      <c r="C250" s="174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EB250" s="13"/>
      <c r="EC250" s="13"/>
      <c r="ED250" s="13"/>
      <c r="EE250" s="13"/>
      <c r="EF250" s="13"/>
      <c r="EG250" s="13"/>
    </row>
    <row r="251" spans="1:137" s="4" customFormat="1" ht="12.75">
      <c r="A251" s="144" t="s">
        <v>473</v>
      </c>
      <c r="B251" s="174"/>
      <c r="C251" s="174"/>
      <c r="D251" s="141">
        <f>128000-68000</f>
        <v>60000</v>
      </c>
      <c r="E251" s="141"/>
      <c r="F251" s="141">
        <f>D251</f>
        <v>60000</v>
      </c>
      <c r="G251" s="141">
        <v>135700</v>
      </c>
      <c r="H251" s="141"/>
      <c r="I251" s="141"/>
      <c r="J251" s="141">
        <f>G251</f>
        <v>135700</v>
      </c>
      <c r="K251" s="141"/>
      <c r="L251" s="141"/>
      <c r="M251" s="141"/>
      <c r="N251" s="141">
        <v>142500</v>
      </c>
      <c r="O251" s="141"/>
      <c r="P251" s="141">
        <f>N251</f>
        <v>142500</v>
      </c>
      <c r="EB251" s="13"/>
      <c r="EC251" s="13"/>
      <c r="ED251" s="13"/>
      <c r="EE251" s="13"/>
      <c r="EF251" s="13"/>
      <c r="EG251" s="13"/>
    </row>
    <row r="252" spans="1:137" s="4" customFormat="1" ht="15.75" customHeight="1">
      <c r="A252" s="143" t="s">
        <v>392</v>
      </c>
      <c r="B252" s="174"/>
      <c r="C252" s="174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EB252" s="13"/>
      <c r="EC252" s="13"/>
      <c r="ED252" s="13"/>
      <c r="EE252" s="13"/>
      <c r="EF252" s="13"/>
      <c r="EG252" s="13"/>
    </row>
    <row r="253" spans="1:137" s="4" customFormat="1" ht="25.5">
      <c r="A253" s="145" t="s">
        <v>474</v>
      </c>
      <c r="B253" s="174"/>
      <c r="C253" s="174"/>
      <c r="D253" s="141">
        <v>21</v>
      </c>
      <c r="E253" s="141"/>
      <c r="F253" s="141">
        <f>D253</f>
        <v>21</v>
      </c>
      <c r="G253" s="141">
        <v>21</v>
      </c>
      <c r="H253" s="141"/>
      <c r="I253" s="141"/>
      <c r="J253" s="141">
        <f>G253</f>
        <v>21</v>
      </c>
      <c r="K253" s="141"/>
      <c r="L253" s="141"/>
      <c r="M253" s="141"/>
      <c r="N253" s="141">
        <v>21</v>
      </c>
      <c r="O253" s="141"/>
      <c r="P253" s="141">
        <f>N253</f>
        <v>21</v>
      </c>
      <c r="EB253" s="13"/>
      <c r="EC253" s="13"/>
      <c r="ED253" s="13"/>
      <c r="EE253" s="13"/>
      <c r="EF253" s="13"/>
      <c r="EG253" s="13"/>
    </row>
    <row r="254" spans="1:137" s="4" customFormat="1" ht="16.5" customHeight="1">
      <c r="A254" s="143" t="s">
        <v>388</v>
      </c>
      <c r="B254" s="174"/>
      <c r="C254" s="174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EB254" s="13"/>
      <c r="EC254" s="13"/>
      <c r="ED254" s="13"/>
      <c r="EE254" s="13"/>
      <c r="EF254" s="13"/>
      <c r="EG254" s="13"/>
    </row>
    <row r="255" spans="1:137" s="4" customFormat="1" ht="25.5">
      <c r="A255" s="144" t="s">
        <v>475</v>
      </c>
      <c r="B255" s="174"/>
      <c r="C255" s="174"/>
      <c r="D255" s="141">
        <f>D251/D253</f>
        <v>2857.1428571428573</v>
      </c>
      <c r="E255" s="141"/>
      <c r="F255" s="141">
        <f>D255</f>
        <v>2857.1428571428573</v>
      </c>
      <c r="G255" s="141">
        <f>G251/G253</f>
        <v>6461.9047619047615</v>
      </c>
      <c r="H255" s="141"/>
      <c r="I255" s="141"/>
      <c r="J255" s="141">
        <f>J251/J253</f>
        <v>6461.9047619047615</v>
      </c>
      <c r="K255" s="141"/>
      <c r="L255" s="141"/>
      <c r="M255" s="141"/>
      <c r="N255" s="141">
        <f>N251/N253</f>
        <v>6785.714285714285</v>
      </c>
      <c r="O255" s="141"/>
      <c r="P255" s="141">
        <f>N255</f>
        <v>6785.714285714285</v>
      </c>
      <c r="EB255" s="13"/>
      <c r="EC255" s="13"/>
      <c r="ED255" s="13"/>
      <c r="EE255" s="13"/>
      <c r="EF255" s="13"/>
      <c r="EG255" s="13"/>
    </row>
    <row r="256" spans="1:137" s="55" customFormat="1" ht="13.5">
      <c r="A256" s="147" t="s">
        <v>24</v>
      </c>
      <c r="B256" s="172"/>
      <c r="C256" s="172"/>
      <c r="D256" s="171"/>
      <c r="E256" s="170">
        <f>E258</f>
        <v>3361200</v>
      </c>
      <c r="F256" s="170">
        <f>E256</f>
        <v>3361200</v>
      </c>
      <c r="G256" s="170"/>
      <c r="H256" s="170">
        <f>H258</f>
        <v>20530000</v>
      </c>
      <c r="I256" s="170"/>
      <c r="J256" s="170">
        <f>H256</f>
        <v>20530000</v>
      </c>
      <c r="K256" s="170"/>
      <c r="L256" s="170"/>
      <c r="M256" s="170"/>
      <c r="N256" s="170"/>
      <c r="O256" s="170">
        <f>O258</f>
        <v>21056500</v>
      </c>
      <c r="P256" s="170">
        <f>O256</f>
        <v>21056500</v>
      </c>
      <c r="EB256" s="56"/>
      <c r="EC256" s="56"/>
      <c r="ED256" s="56"/>
      <c r="EE256" s="56"/>
      <c r="EF256" s="56"/>
      <c r="EG256" s="56"/>
    </row>
    <row r="257" spans="1:137" s="4" customFormat="1" ht="20.25" customHeight="1">
      <c r="A257" s="143" t="s">
        <v>261</v>
      </c>
      <c r="B257" s="174"/>
      <c r="C257" s="174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EB257" s="13"/>
      <c r="EC257" s="13"/>
      <c r="ED257" s="13"/>
      <c r="EE257" s="13"/>
      <c r="EF257" s="13"/>
      <c r="EG257" s="13"/>
    </row>
    <row r="258" spans="1:137" s="4" customFormat="1" ht="12.75">
      <c r="A258" s="144" t="s">
        <v>460</v>
      </c>
      <c r="B258" s="174"/>
      <c r="C258" s="174"/>
      <c r="D258" s="141"/>
      <c r="E258" s="141">
        <f>10000000+10000000-4000000-8238800-3000000-1400000</f>
        <v>3361200</v>
      </c>
      <c r="F258" s="141">
        <f>E258</f>
        <v>3361200</v>
      </c>
      <c r="G258" s="141"/>
      <c r="H258" s="141">
        <f>10530000+10000000</f>
        <v>20530000</v>
      </c>
      <c r="I258" s="141"/>
      <c r="J258" s="141">
        <f>H258</f>
        <v>20530000</v>
      </c>
      <c r="K258" s="141"/>
      <c r="L258" s="141"/>
      <c r="M258" s="141"/>
      <c r="N258" s="141"/>
      <c r="O258" s="141">
        <f>11056500+10000000</f>
        <v>21056500</v>
      </c>
      <c r="P258" s="141">
        <f>O258</f>
        <v>21056500</v>
      </c>
      <c r="EB258" s="13"/>
      <c r="EC258" s="13"/>
      <c r="ED258" s="13"/>
      <c r="EE258" s="13"/>
      <c r="EF258" s="13"/>
      <c r="EG258" s="13"/>
    </row>
    <row r="259" spans="1:137" s="4" customFormat="1" ht="21" customHeight="1">
      <c r="A259" s="143" t="s">
        <v>392</v>
      </c>
      <c r="B259" s="174"/>
      <c r="C259" s="174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EB259" s="13"/>
      <c r="EC259" s="13"/>
      <c r="ED259" s="13"/>
      <c r="EE259" s="13"/>
      <c r="EF259" s="13"/>
      <c r="EG259" s="13"/>
    </row>
    <row r="260" spans="1:137" s="4" customFormat="1" ht="12.75">
      <c r="A260" s="145" t="s">
        <v>461</v>
      </c>
      <c r="B260" s="174"/>
      <c r="C260" s="174"/>
      <c r="D260" s="141"/>
      <c r="E260" s="141">
        <v>3</v>
      </c>
      <c r="F260" s="141">
        <f>E260</f>
        <v>3</v>
      </c>
      <c r="G260" s="141"/>
      <c r="H260" s="141">
        <v>2</v>
      </c>
      <c r="I260" s="141"/>
      <c r="J260" s="141">
        <f>H260</f>
        <v>2</v>
      </c>
      <c r="K260" s="141"/>
      <c r="L260" s="141"/>
      <c r="M260" s="141"/>
      <c r="N260" s="141"/>
      <c r="O260" s="141">
        <v>2</v>
      </c>
      <c r="P260" s="141">
        <v>1</v>
      </c>
      <c r="EB260" s="13"/>
      <c r="EC260" s="13"/>
      <c r="ED260" s="13"/>
      <c r="EE260" s="13"/>
      <c r="EF260" s="13"/>
      <c r="EG260" s="13"/>
    </row>
    <row r="261" spans="1:137" s="4" customFormat="1" ht="12.75">
      <c r="A261" s="143" t="s">
        <v>388</v>
      </c>
      <c r="B261" s="174"/>
      <c r="C261" s="174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EB261" s="13"/>
      <c r="EC261" s="13"/>
      <c r="ED261" s="13"/>
      <c r="EE261" s="13"/>
      <c r="EF261" s="13"/>
      <c r="EG261" s="13"/>
    </row>
    <row r="262" spans="1:137" s="4" customFormat="1" ht="12.75">
      <c r="A262" s="144" t="s">
        <v>462</v>
      </c>
      <c r="B262" s="174"/>
      <c r="C262" s="174"/>
      <c r="D262" s="141"/>
      <c r="E262" s="141">
        <f>E258/E260</f>
        <v>1120400</v>
      </c>
      <c r="F262" s="141">
        <f>E262</f>
        <v>1120400</v>
      </c>
      <c r="G262" s="141"/>
      <c r="H262" s="141">
        <f>H258/H260</f>
        <v>10265000</v>
      </c>
      <c r="I262" s="141"/>
      <c r="J262" s="141">
        <f>H262</f>
        <v>10265000</v>
      </c>
      <c r="K262" s="141"/>
      <c r="L262" s="141"/>
      <c r="M262" s="141"/>
      <c r="N262" s="141"/>
      <c r="O262" s="141">
        <f>O258/O260</f>
        <v>10528250</v>
      </c>
      <c r="P262" s="141">
        <f>O262</f>
        <v>10528250</v>
      </c>
      <c r="EB262" s="13"/>
      <c r="EC262" s="13"/>
      <c r="ED262" s="13"/>
      <c r="EE262" s="13"/>
      <c r="EF262" s="13"/>
      <c r="EG262" s="13"/>
    </row>
    <row r="263" spans="1:137" s="72" customFormat="1" ht="38.25" customHeight="1">
      <c r="A263" s="75" t="s">
        <v>25</v>
      </c>
      <c r="B263" s="71"/>
      <c r="C263" s="71"/>
      <c r="D263" s="74">
        <f>D264+D278+D271+D285+D292+D299+D313+D306</f>
        <v>17592500</v>
      </c>
      <c r="E263" s="74">
        <f aca="true" t="shared" si="28" ref="E263:O263">E264+E278+E271+E285+E292+E299+E313</f>
        <v>0</v>
      </c>
      <c r="F263" s="74">
        <f>D263+E263</f>
        <v>17592500</v>
      </c>
      <c r="G263" s="74">
        <f t="shared" si="28"/>
        <v>30023400</v>
      </c>
      <c r="H263" s="74">
        <f t="shared" si="28"/>
        <v>0</v>
      </c>
      <c r="I263" s="74">
        <f t="shared" si="28"/>
        <v>0</v>
      </c>
      <c r="J263" s="74">
        <f>G263+H263</f>
        <v>30023400</v>
      </c>
      <c r="K263" s="74">
        <f t="shared" si="28"/>
        <v>0</v>
      </c>
      <c r="L263" s="74">
        <f t="shared" si="28"/>
        <v>0</v>
      </c>
      <c r="M263" s="74">
        <f t="shared" si="28"/>
        <v>0</v>
      </c>
      <c r="N263" s="74">
        <f t="shared" si="28"/>
        <v>31525200</v>
      </c>
      <c r="O263" s="74">
        <f t="shared" si="28"/>
        <v>0</v>
      </c>
      <c r="P263" s="74">
        <f>N263+O263</f>
        <v>31525200</v>
      </c>
      <c r="EB263" s="73"/>
      <c r="EC263" s="73"/>
      <c r="ED263" s="73"/>
      <c r="EE263" s="73"/>
      <c r="EF263" s="73"/>
      <c r="EG263" s="73"/>
    </row>
    <row r="264" spans="1:137" s="55" customFormat="1" ht="18.75" customHeight="1">
      <c r="A264" s="147" t="s">
        <v>26</v>
      </c>
      <c r="B264" s="172"/>
      <c r="C264" s="172"/>
      <c r="D264" s="170">
        <f>D266</f>
        <v>10689000</v>
      </c>
      <c r="E264" s="170"/>
      <c r="F264" s="170">
        <f>D264</f>
        <v>10689000</v>
      </c>
      <c r="G264" s="170">
        <f>G266</f>
        <v>17487600</v>
      </c>
      <c r="H264" s="170"/>
      <c r="I264" s="170"/>
      <c r="J264" s="170">
        <f>G264</f>
        <v>17487600</v>
      </c>
      <c r="K264" s="170"/>
      <c r="L264" s="170"/>
      <c r="M264" s="170"/>
      <c r="N264" s="170">
        <f>N266</f>
        <v>18362300</v>
      </c>
      <c r="O264" s="170"/>
      <c r="P264" s="170">
        <f>N264</f>
        <v>18362300</v>
      </c>
      <c r="EB264" s="56"/>
      <c r="EC264" s="56"/>
      <c r="ED264" s="56"/>
      <c r="EE264" s="56"/>
      <c r="EF264" s="56"/>
      <c r="EG264" s="56"/>
    </row>
    <row r="265" spans="1:137" s="4" customFormat="1" ht="18.75" customHeight="1">
      <c r="A265" s="143" t="s">
        <v>261</v>
      </c>
      <c r="B265" s="174"/>
      <c r="C265" s="174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EB265" s="13"/>
      <c r="EC265" s="13"/>
      <c r="ED265" s="13"/>
      <c r="EE265" s="13"/>
      <c r="EF265" s="13"/>
      <c r="EG265" s="13"/>
    </row>
    <row r="266" spans="1:137" s="4" customFormat="1" ht="16.5" customHeight="1">
      <c r="A266" s="144" t="s">
        <v>415</v>
      </c>
      <c r="B266" s="174"/>
      <c r="C266" s="174"/>
      <c r="D266" s="141">
        <f>16448100+50000-50000-5759100</f>
        <v>10689000</v>
      </c>
      <c r="E266" s="141"/>
      <c r="F266" s="141">
        <f>D266</f>
        <v>10689000</v>
      </c>
      <c r="G266" s="141">
        <f>17435000+52600</f>
        <v>17487600</v>
      </c>
      <c r="H266" s="141"/>
      <c r="I266" s="141"/>
      <c r="J266" s="141">
        <f>G266</f>
        <v>17487600</v>
      </c>
      <c r="K266" s="141"/>
      <c r="L266" s="141"/>
      <c r="M266" s="141"/>
      <c r="N266" s="141">
        <f>18307000+55300</f>
        <v>18362300</v>
      </c>
      <c r="O266" s="141"/>
      <c r="P266" s="141">
        <f>N266</f>
        <v>18362300</v>
      </c>
      <c r="EB266" s="13"/>
      <c r="EC266" s="13"/>
      <c r="ED266" s="13"/>
      <c r="EE266" s="13"/>
      <c r="EF266" s="13"/>
      <c r="EG266" s="13"/>
    </row>
    <row r="267" spans="1:137" s="4" customFormat="1" ht="17.25" customHeight="1">
      <c r="A267" s="143" t="s">
        <v>392</v>
      </c>
      <c r="B267" s="174"/>
      <c r="C267" s="174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EB267" s="13"/>
      <c r="EC267" s="13"/>
      <c r="ED267" s="13"/>
      <c r="EE267" s="13"/>
      <c r="EF267" s="13"/>
      <c r="EG267" s="13"/>
    </row>
    <row r="268" spans="1:137" s="4" customFormat="1" ht="16.5" customHeight="1">
      <c r="A268" s="145" t="s">
        <v>416</v>
      </c>
      <c r="B268" s="174"/>
      <c r="C268" s="174"/>
      <c r="D268" s="141">
        <v>13</v>
      </c>
      <c r="E268" s="141"/>
      <c r="F268" s="141">
        <f>D268</f>
        <v>13</v>
      </c>
      <c r="G268" s="141">
        <f>D268</f>
        <v>13</v>
      </c>
      <c r="H268" s="141"/>
      <c r="I268" s="141"/>
      <c r="J268" s="141">
        <f>G268</f>
        <v>13</v>
      </c>
      <c r="K268" s="141"/>
      <c r="L268" s="141"/>
      <c r="M268" s="141"/>
      <c r="N268" s="141">
        <f>J268</f>
        <v>13</v>
      </c>
      <c r="O268" s="141"/>
      <c r="P268" s="141">
        <f>N268</f>
        <v>13</v>
      </c>
      <c r="EB268" s="13"/>
      <c r="EC268" s="13"/>
      <c r="ED268" s="13"/>
      <c r="EE268" s="13"/>
      <c r="EF268" s="13"/>
      <c r="EG268" s="13"/>
    </row>
    <row r="269" spans="1:137" s="4" customFormat="1" ht="18.75" customHeight="1">
      <c r="A269" s="143" t="s">
        <v>388</v>
      </c>
      <c r="B269" s="174"/>
      <c r="C269" s="174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EB269" s="13"/>
      <c r="EC269" s="13"/>
      <c r="ED269" s="13"/>
      <c r="EE269" s="13"/>
      <c r="EF269" s="13"/>
      <c r="EG269" s="13"/>
    </row>
    <row r="270" spans="1:137" s="4" customFormat="1" ht="19.5" customHeight="1">
      <c r="A270" s="144" t="s">
        <v>417</v>
      </c>
      <c r="B270" s="174"/>
      <c r="C270" s="174"/>
      <c r="D270" s="141">
        <f>D266/D268</f>
        <v>822230.7692307692</v>
      </c>
      <c r="E270" s="141"/>
      <c r="F270" s="141">
        <f>D270</f>
        <v>822230.7692307692</v>
      </c>
      <c r="G270" s="141">
        <f>G266/G268</f>
        <v>1345200</v>
      </c>
      <c r="H270" s="141"/>
      <c r="I270" s="141"/>
      <c r="J270" s="141">
        <f>G270</f>
        <v>1345200</v>
      </c>
      <c r="K270" s="141"/>
      <c r="L270" s="141"/>
      <c r="M270" s="141"/>
      <c r="N270" s="141">
        <f>N266/N268</f>
        <v>1412484.6153846155</v>
      </c>
      <c r="O270" s="141"/>
      <c r="P270" s="141">
        <f>N270</f>
        <v>1412484.6153846155</v>
      </c>
      <c r="EB270" s="13"/>
      <c r="EC270" s="13"/>
      <c r="ED270" s="13"/>
      <c r="EE270" s="13"/>
      <c r="EF270" s="13"/>
      <c r="EG270" s="13"/>
    </row>
    <row r="271" spans="1:137" s="55" customFormat="1" ht="27.75" customHeight="1">
      <c r="A271" s="147" t="s">
        <v>27</v>
      </c>
      <c r="B271" s="172"/>
      <c r="C271" s="172"/>
      <c r="D271" s="184">
        <f>D273</f>
        <v>1905300</v>
      </c>
      <c r="E271" s="184"/>
      <c r="F271" s="184">
        <f>D271</f>
        <v>1905300</v>
      </c>
      <c r="G271" s="171">
        <f>G273</f>
        <v>5385700</v>
      </c>
      <c r="H271" s="171"/>
      <c r="I271" s="171"/>
      <c r="J271" s="171">
        <f>G271</f>
        <v>5385700</v>
      </c>
      <c r="K271" s="171"/>
      <c r="L271" s="171"/>
      <c r="M271" s="171"/>
      <c r="N271" s="171">
        <f>N273</f>
        <v>5655000</v>
      </c>
      <c r="O271" s="171"/>
      <c r="P271" s="171">
        <f>N271</f>
        <v>5655000</v>
      </c>
      <c r="EB271" s="56"/>
      <c r="EC271" s="56"/>
      <c r="ED271" s="56"/>
      <c r="EE271" s="56"/>
      <c r="EF271" s="56"/>
      <c r="EG271" s="56"/>
    </row>
    <row r="272" spans="1:137" s="4" customFormat="1" ht="19.5" customHeight="1">
      <c r="A272" s="143" t="s">
        <v>261</v>
      </c>
      <c r="B272" s="174"/>
      <c r="C272" s="174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EB272" s="13"/>
      <c r="EC272" s="13"/>
      <c r="ED272" s="13"/>
      <c r="EE272" s="13"/>
      <c r="EF272" s="13"/>
      <c r="EG272" s="13"/>
    </row>
    <row r="273" spans="1:137" s="4" customFormat="1" ht="27.75" customHeight="1">
      <c r="A273" s="144" t="s">
        <v>418</v>
      </c>
      <c r="B273" s="174"/>
      <c r="C273" s="174"/>
      <c r="D273" s="141">
        <f>4826500-2921200</f>
        <v>1905300</v>
      </c>
      <c r="E273" s="141"/>
      <c r="F273" s="141">
        <f>D273</f>
        <v>1905300</v>
      </c>
      <c r="G273" s="141">
        <v>5385700</v>
      </c>
      <c r="H273" s="141"/>
      <c r="I273" s="141"/>
      <c r="J273" s="141">
        <f>G273</f>
        <v>5385700</v>
      </c>
      <c r="K273" s="141"/>
      <c r="L273" s="141"/>
      <c r="M273" s="141"/>
      <c r="N273" s="141">
        <v>5655000</v>
      </c>
      <c r="O273" s="141"/>
      <c r="P273" s="141">
        <f>N273</f>
        <v>5655000</v>
      </c>
      <c r="EB273" s="13"/>
      <c r="EC273" s="13"/>
      <c r="ED273" s="13"/>
      <c r="EE273" s="13"/>
      <c r="EF273" s="13"/>
      <c r="EG273" s="13"/>
    </row>
    <row r="274" spans="1:137" s="4" customFormat="1" ht="20.25" customHeight="1">
      <c r="A274" s="143" t="s">
        <v>392</v>
      </c>
      <c r="B274" s="174"/>
      <c r="C274" s="174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EB274" s="13"/>
      <c r="EC274" s="13"/>
      <c r="ED274" s="13"/>
      <c r="EE274" s="13"/>
      <c r="EF274" s="13"/>
      <c r="EG274" s="13"/>
    </row>
    <row r="275" spans="1:137" s="4" customFormat="1" ht="38.25" customHeight="1">
      <c r="A275" s="145" t="s">
        <v>419</v>
      </c>
      <c r="B275" s="174"/>
      <c r="C275" s="174"/>
      <c r="D275" s="141">
        <v>13</v>
      </c>
      <c r="E275" s="141"/>
      <c r="F275" s="141">
        <f>D275</f>
        <v>13</v>
      </c>
      <c r="G275" s="141">
        <f>F275</f>
        <v>13</v>
      </c>
      <c r="H275" s="141"/>
      <c r="I275" s="141"/>
      <c r="J275" s="141">
        <f>G275</f>
        <v>13</v>
      </c>
      <c r="K275" s="141"/>
      <c r="L275" s="141"/>
      <c r="M275" s="141"/>
      <c r="N275" s="141">
        <v>13</v>
      </c>
      <c r="O275" s="141"/>
      <c r="P275" s="141">
        <f>N275</f>
        <v>13</v>
      </c>
      <c r="EB275" s="13"/>
      <c r="EC275" s="13"/>
      <c r="ED275" s="13"/>
      <c r="EE275" s="13"/>
      <c r="EF275" s="13"/>
      <c r="EG275" s="13"/>
    </row>
    <row r="276" spans="1:137" s="4" customFormat="1" ht="18" customHeight="1">
      <c r="A276" s="143" t="s">
        <v>388</v>
      </c>
      <c r="B276" s="174"/>
      <c r="C276" s="174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EB276" s="13"/>
      <c r="EC276" s="13"/>
      <c r="ED276" s="13"/>
      <c r="EE276" s="13"/>
      <c r="EF276" s="13"/>
      <c r="EG276" s="13"/>
    </row>
    <row r="277" spans="1:137" s="4" customFormat="1" ht="27.75" customHeight="1">
      <c r="A277" s="144" t="s">
        <v>420</v>
      </c>
      <c r="B277" s="174"/>
      <c r="C277" s="174"/>
      <c r="D277" s="141">
        <f>D273/D275</f>
        <v>146561.53846153847</v>
      </c>
      <c r="E277" s="141"/>
      <c r="F277" s="141">
        <f>F273/F275</f>
        <v>146561.53846153847</v>
      </c>
      <c r="G277" s="141">
        <f>G273/G275</f>
        <v>414284.6153846154</v>
      </c>
      <c r="H277" s="141"/>
      <c r="I277" s="141"/>
      <c r="J277" s="141">
        <f>G277</f>
        <v>414284.6153846154</v>
      </c>
      <c r="K277" s="141"/>
      <c r="L277" s="141"/>
      <c r="M277" s="141"/>
      <c r="N277" s="141">
        <f>N273/N275</f>
        <v>435000</v>
      </c>
      <c r="O277" s="141"/>
      <c r="P277" s="141">
        <f>N277</f>
        <v>435000</v>
      </c>
      <c r="EB277" s="13"/>
      <c r="EC277" s="13"/>
      <c r="ED277" s="13"/>
      <c r="EE277" s="13"/>
      <c r="EF277" s="13"/>
      <c r="EG277" s="13"/>
    </row>
    <row r="278" spans="1:137" s="57" customFormat="1" ht="20.25" customHeight="1">
      <c r="A278" s="147" t="s">
        <v>28</v>
      </c>
      <c r="B278" s="169"/>
      <c r="C278" s="169"/>
      <c r="D278" s="286">
        <f>D280</f>
        <v>4600000</v>
      </c>
      <c r="E278" s="286"/>
      <c r="F278" s="286">
        <f>D278</f>
        <v>4600000</v>
      </c>
      <c r="G278" s="170">
        <f>G280</f>
        <v>6628300</v>
      </c>
      <c r="H278" s="170"/>
      <c r="I278" s="170"/>
      <c r="J278" s="170">
        <f>G278</f>
        <v>6628300</v>
      </c>
      <c r="K278" s="170"/>
      <c r="L278" s="170"/>
      <c r="M278" s="170"/>
      <c r="N278" s="170">
        <f>N280</f>
        <v>6960000</v>
      </c>
      <c r="O278" s="170"/>
      <c r="P278" s="170">
        <f>N278</f>
        <v>6960000</v>
      </c>
      <c r="EB278" s="58"/>
      <c r="EC278" s="58"/>
      <c r="ED278" s="58"/>
      <c r="EE278" s="58"/>
      <c r="EF278" s="58"/>
      <c r="EG278" s="58"/>
    </row>
    <row r="279" spans="1:137" s="4" customFormat="1" ht="12.75">
      <c r="A279" s="143" t="s">
        <v>261</v>
      </c>
      <c r="B279" s="174"/>
      <c r="C279" s="174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EB279" s="13"/>
      <c r="EC279" s="13"/>
      <c r="ED279" s="13"/>
      <c r="EE279" s="13"/>
      <c r="EF279" s="13"/>
      <c r="EG279" s="13"/>
    </row>
    <row r="280" spans="1:137" s="4" customFormat="1" ht="18" customHeight="1">
      <c r="A280" s="144" t="s">
        <v>421</v>
      </c>
      <c r="B280" s="174"/>
      <c r="C280" s="174"/>
      <c r="D280" s="141">
        <f>5928700-150000-1178700</f>
        <v>4600000</v>
      </c>
      <c r="E280" s="141"/>
      <c r="F280" s="141">
        <f>D280</f>
        <v>4600000</v>
      </c>
      <c r="G280" s="141">
        <v>6628300</v>
      </c>
      <c r="H280" s="141"/>
      <c r="I280" s="141"/>
      <c r="J280" s="141">
        <f>G280</f>
        <v>6628300</v>
      </c>
      <c r="K280" s="141"/>
      <c r="L280" s="141"/>
      <c r="M280" s="141"/>
      <c r="N280" s="141">
        <v>6960000</v>
      </c>
      <c r="O280" s="141"/>
      <c r="P280" s="141">
        <f>N280</f>
        <v>6960000</v>
      </c>
      <c r="EB280" s="13"/>
      <c r="EC280" s="13"/>
      <c r="ED280" s="13"/>
      <c r="EE280" s="13"/>
      <c r="EF280" s="13"/>
      <c r="EG280" s="13"/>
    </row>
    <row r="281" spans="1:137" s="4" customFormat="1" ht="18.75" customHeight="1">
      <c r="A281" s="143" t="s">
        <v>392</v>
      </c>
      <c r="B281" s="174"/>
      <c r="C281" s="174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EB281" s="13"/>
      <c r="EC281" s="13"/>
      <c r="ED281" s="13"/>
      <c r="EE281" s="13"/>
      <c r="EF281" s="13"/>
      <c r="EG281" s="13"/>
    </row>
    <row r="282" spans="1:137" s="4" customFormat="1" ht="21.75" customHeight="1">
      <c r="A282" s="144" t="s">
        <v>282</v>
      </c>
      <c r="B282" s="174"/>
      <c r="C282" s="174"/>
      <c r="D282" s="141">
        <v>1600</v>
      </c>
      <c r="E282" s="141"/>
      <c r="F282" s="141">
        <f>D282</f>
        <v>1600</v>
      </c>
      <c r="G282" s="141">
        <v>1600</v>
      </c>
      <c r="H282" s="141"/>
      <c r="I282" s="141"/>
      <c r="J282" s="141">
        <f>G282</f>
        <v>1600</v>
      </c>
      <c r="K282" s="141"/>
      <c r="L282" s="141"/>
      <c r="M282" s="141"/>
      <c r="N282" s="141">
        <f>J282</f>
        <v>1600</v>
      </c>
      <c r="O282" s="141"/>
      <c r="P282" s="141">
        <f>N282</f>
        <v>1600</v>
      </c>
      <c r="EB282" s="13"/>
      <c r="EC282" s="13"/>
      <c r="ED282" s="13"/>
      <c r="EE282" s="13"/>
      <c r="EF282" s="13"/>
      <c r="EG282" s="13"/>
    </row>
    <row r="283" spans="1:137" s="4" customFormat="1" ht="12.75">
      <c r="A283" s="143" t="s">
        <v>388</v>
      </c>
      <c r="B283" s="174"/>
      <c r="C283" s="174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EB283" s="13"/>
      <c r="EC283" s="13"/>
      <c r="ED283" s="13"/>
      <c r="EE283" s="13"/>
      <c r="EF283" s="13"/>
      <c r="EG283" s="13"/>
    </row>
    <row r="284" spans="1:137" s="4" customFormat="1" ht="18" customHeight="1">
      <c r="A284" s="144" t="s">
        <v>422</v>
      </c>
      <c r="B284" s="174"/>
      <c r="C284" s="174"/>
      <c r="D284" s="141">
        <f>D280/D282</f>
        <v>2875</v>
      </c>
      <c r="E284" s="141"/>
      <c r="F284" s="141">
        <f>D284</f>
        <v>2875</v>
      </c>
      <c r="G284" s="141">
        <f>G280/G282</f>
        <v>4142.6875</v>
      </c>
      <c r="H284" s="141"/>
      <c r="I284" s="141"/>
      <c r="J284" s="141">
        <f>G284</f>
        <v>4142.6875</v>
      </c>
      <c r="K284" s="141"/>
      <c r="L284" s="141"/>
      <c r="M284" s="141"/>
      <c r="N284" s="141">
        <f>N280/N282</f>
        <v>4350</v>
      </c>
      <c r="O284" s="141"/>
      <c r="P284" s="141">
        <f>N284</f>
        <v>4350</v>
      </c>
      <c r="EB284" s="13"/>
      <c r="EC284" s="13"/>
      <c r="ED284" s="13"/>
      <c r="EE284" s="13"/>
      <c r="EF284" s="13"/>
      <c r="EG284" s="13"/>
    </row>
    <row r="285" spans="1:137" s="57" customFormat="1" ht="19.5" customHeight="1">
      <c r="A285" s="147" t="s">
        <v>29</v>
      </c>
      <c r="B285" s="169"/>
      <c r="C285" s="169"/>
      <c r="D285" s="286">
        <f>D287</f>
        <v>193200</v>
      </c>
      <c r="E285" s="286"/>
      <c r="F285" s="286">
        <f>D285</f>
        <v>193200</v>
      </c>
      <c r="G285" s="170">
        <f>G287</f>
        <v>454000</v>
      </c>
      <c r="H285" s="170"/>
      <c r="I285" s="170"/>
      <c r="J285" s="170">
        <f>G285</f>
        <v>454000</v>
      </c>
      <c r="K285" s="170"/>
      <c r="L285" s="170"/>
      <c r="M285" s="170"/>
      <c r="N285" s="170">
        <f>N287</f>
        <v>476700</v>
      </c>
      <c r="O285" s="170"/>
      <c r="P285" s="170">
        <f>N285</f>
        <v>476700</v>
      </c>
      <c r="EB285" s="58"/>
      <c r="EC285" s="58"/>
      <c r="ED285" s="58"/>
      <c r="EE285" s="58"/>
      <c r="EF285" s="58"/>
      <c r="EG285" s="58"/>
    </row>
    <row r="286" spans="1:137" s="4" customFormat="1" ht="15" customHeight="1">
      <c r="A286" s="143" t="s">
        <v>261</v>
      </c>
      <c r="B286" s="174"/>
      <c r="C286" s="174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EB286" s="13"/>
      <c r="EC286" s="13"/>
      <c r="ED286" s="13"/>
      <c r="EE286" s="13"/>
      <c r="EF286" s="13"/>
      <c r="EG286" s="13"/>
    </row>
    <row r="287" spans="1:137" s="4" customFormat="1" ht="18.75" customHeight="1">
      <c r="A287" s="144" t="s">
        <v>423</v>
      </c>
      <c r="B287" s="174"/>
      <c r="C287" s="174"/>
      <c r="D287" s="141">
        <f>406100-212900</f>
        <v>193200</v>
      </c>
      <c r="E287" s="141"/>
      <c r="F287" s="141">
        <f>D287</f>
        <v>193200</v>
      </c>
      <c r="G287" s="141">
        <v>454000</v>
      </c>
      <c r="H287" s="141"/>
      <c r="I287" s="141"/>
      <c r="J287" s="141">
        <f>G287</f>
        <v>454000</v>
      </c>
      <c r="K287" s="141"/>
      <c r="L287" s="141"/>
      <c r="M287" s="141"/>
      <c r="N287" s="141">
        <v>476700</v>
      </c>
      <c r="O287" s="141"/>
      <c r="P287" s="141">
        <f>N287</f>
        <v>476700</v>
      </c>
      <c r="EB287" s="13"/>
      <c r="EC287" s="13"/>
      <c r="ED287" s="13"/>
      <c r="EE287" s="13"/>
      <c r="EF287" s="13"/>
      <c r="EG287" s="13"/>
    </row>
    <row r="288" spans="1:137" s="4" customFormat="1" ht="12.75">
      <c r="A288" s="143" t="s">
        <v>392</v>
      </c>
      <c r="B288" s="174"/>
      <c r="C288" s="174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EB288" s="13"/>
      <c r="EC288" s="13"/>
      <c r="ED288" s="13"/>
      <c r="EE288" s="13"/>
      <c r="EF288" s="13"/>
      <c r="EG288" s="13"/>
    </row>
    <row r="289" spans="1:137" s="4" customFormat="1" ht="20.25" customHeight="1">
      <c r="A289" s="144" t="s">
        <v>337</v>
      </c>
      <c r="B289" s="174"/>
      <c r="C289" s="174"/>
      <c r="D289" s="141">
        <v>43</v>
      </c>
      <c r="E289" s="141"/>
      <c r="F289" s="141">
        <f>D289</f>
        <v>43</v>
      </c>
      <c r="G289" s="141">
        <v>90</v>
      </c>
      <c r="H289" s="141"/>
      <c r="I289" s="141"/>
      <c r="J289" s="141">
        <f>G289</f>
        <v>90</v>
      </c>
      <c r="K289" s="141"/>
      <c r="L289" s="141"/>
      <c r="M289" s="141"/>
      <c r="N289" s="141">
        <v>90</v>
      </c>
      <c r="O289" s="141"/>
      <c r="P289" s="141">
        <v>90</v>
      </c>
      <c r="EB289" s="13"/>
      <c r="EC289" s="13"/>
      <c r="ED289" s="13"/>
      <c r="EE289" s="13"/>
      <c r="EF289" s="13"/>
      <c r="EG289" s="13"/>
    </row>
    <row r="290" spans="1:137" s="4" customFormat="1" ht="12.75">
      <c r="A290" s="143" t="s">
        <v>388</v>
      </c>
      <c r="B290" s="174"/>
      <c r="C290" s="174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EB290" s="13"/>
      <c r="EC290" s="13"/>
      <c r="ED290" s="13"/>
      <c r="EE290" s="13"/>
      <c r="EF290" s="13"/>
      <c r="EG290" s="13"/>
    </row>
    <row r="291" spans="1:137" s="4" customFormat="1" ht="21.75" customHeight="1">
      <c r="A291" s="144" t="s">
        <v>289</v>
      </c>
      <c r="B291" s="174"/>
      <c r="C291" s="174"/>
      <c r="D291" s="141">
        <f>D287/D289</f>
        <v>4493.023255813953</v>
      </c>
      <c r="E291" s="141"/>
      <c r="F291" s="141">
        <f>D291</f>
        <v>4493.023255813953</v>
      </c>
      <c r="G291" s="141">
        <f>G287/G289</f>
        <v>5044.444444444444</v>
      </c>
      <c r="H291" s="141"/>
      <c r="I291" s="141"/>
      <c r="J291" s="141">
        <f>G291</f>
        <v>5044.444444444444</v>
      </c>
      <c r="K291" s="141"/>
      <c r="L291" s="141"/>
      <c r="M291" s="141"/>
      <c r="N291" s="141">
        <f>N287/N289</f>
        <v>5296.666666666667</v>
      </c>
      <c r="O291" s="141"/>
      <c r="P291" s="141">
        <f>N291</f>
        <v>5296.666666666667</v>
      </c>
      <c r="EB291" s="13"/>
      <c r="EC291" s="13"/>
      <c r="ED291" s="13"/>
      <c r="EE291" s="13"/>
      <c r="EF291" s="13"/>
      <c r="EG291" s="13"/>
    </row>
    <row r="292" spans="1:137" s="57" customFormat="1" ht="20.25" customHeight="1">
      <c r="A292" s="147" t="s">
        <v>30</v>
      </c>
      <c r="B292" s="169"/>
      <c r="C292" s="169"/>
      <c r="D292" s="286">
        <f>D294</f>
        <v>55000</v>
      </c>
      <c r="E292" s="286"/>
      <c r="F292" s="286">
        <f>D292</f>
        <v>55000</v>
      </c>
      <c r="G292" s="170">
        <f>G294</f>
        <v>67800</v>
      </c>
      <c r="H292" s="170"/>
      <c r="I292" s="170"/>
      <c r="J292" s="170">
        <f>G292</f>
        <v>67800</v>
      </c>
      <c r="K292" s="170"/>
      <c r="L292" s="170"/>
      <c r="M292" s="170"/>
      <c r="N292" s="170">
        <f>N294</f>
        <v>71200</v>
      </c>
      <c r="O292" s="170"/>
      <c r="P292" s="170">
        <f>N292</f>
        <v>71200</v>
      </c>
      <c r="EB292" s="58"/>
      <c r="EC292" s="58"/>
      <c r="ED292" s="58"/>
      <c r="EE292" s="58"/>
      <c r="EF292" s="58"/>
      <c r="EG292" s="58"/>
    </row>
    <row r="293" spans="1:137" s="4" customFormat="1" ht="12.75">
      <c r="A293" s="143" t="s">
        <v>261</v>
      </c>
      <c r="B293" s="174"/>
      <c r="C293" s="174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EB293" s="13"/>
      <c r="EC293" s="13"/>
      <c r="ED293" s="13"/>
      <c r="EE293" s="13"/>
      <c r="EF293" s="13"/>
      <c r="EG293" s="13"/>
    </row>
    <row r="294" spans="1:137" s="4" customFormat="1" ht="23.25" customHeight="1">
      <c r="A294" s="144" t="s">
        <v>424</v>
      </c>
      <c r="B294" s="174"/>
      <c r="C294" s="174"/>
      <c r="D294" s="141">
        <f>D296*D298</f>
        <v>55000</v>
      </c>
      <c r="E294" s="141"/>
      <c r="F294" s="141">
        <f>D294</f>
        <v>55000</v>
      </c>
      <c r="G294" s="141">
        <f>G296*G298</f>
        <v>67800</v>
      </c>
      <c r="H294" s="141"/>
      <c r="I294" s="141"/>
      <c r="J294" s="141">
        <f>G294</f>
        <v>67800</v>
      </c>
      <c r="K294" s="141"/>
      <c r="L294" s="141"/>
      <c r="M294" s="141"/>
      <c r="N294" s="141">
        <f>N296*N298</f>
        <v>71200</v>
      </c>
      <c r="O294" s="141"/>
      <c r="P294" s="141">
        <f>N294</f>
        <v>71200</v>
      </c>
      <c r="EB294" s="13"/>
      <c r="EC294" s="13"/>
      <c r="ED294" s="13"/>
      <c r="EE294" s="13"/>
      <c r="EF294" s="13"/>
      <c r="EG294" s="13"/>
    </row>
    <row r="295" spans="1:137" s="4" customFormat="1" ht="14.25" customHeight="1">
      <c r="A295" s="143" t="s">
        <v>392</v>
      </c>
      <c r="B295" s="174"/>
      <c r="C295" s="174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EB295" s="13"/>
      <c r="EC295" s="13"/>
      <c r="ED295" s="13"/>
      <c r="EE295" s="13"/>
      <c r="EF295" s="13"/>
      <c r="EG295" s="13"/>
    </row>
    <row r="296" spans="1:137" s="4" customFormat="1" ht="15.75" customHeight="1">
      <c r="A296" s="144" t="s">
        <v>140</v>
      </c>
      <c r="B296" s="174"/>
      <c r="C296" s="174"/>
      <c r="D296" s="141">
        <v>4</v>
      </c>
      <c r="E296" s="141"/>
      <c r="F296" s="141">
        <f>D296</f>
        <v>4</v>
      </c>
      <c r="G296" s="141">
        <v>4</v>
      </c>
      <c r="H296" s="141"/>
      <c r="I296" s="141"/>
      <c r="J296" s="141">
        <f>G296</f>
        <v>4</v>
      </c>
      <c r="K296" s="141"/>
      <c r="L296" s="141"/>
      <c r="M296" s="141"/>
      <c r="N296" s="141">
        <f>J296</f>
        <v>4</v>
      </c>
      <c r="O296" s="141"/>
      <c r="P296" s="141">
        <f>N296</f>
        <v>4</v>
      </c>
      <c r="EB296" s="13"/>
      <c r="EC296" s="13"/>
      <c r="ED296" s="13"/>
      <c r="EE296" s="13"/>
      <c r="EF296" s="13"/>
      <c r="EG296" s="13"/>
    </row>
    <row r="297" spans="1:137" s="4" customFormat="1" ht="15.75" customHeight="1">
      <c r="A297" s="143" t="s">
        <v>388</v>
      </c>
      <c r="B297" s="174"/>
      <c r="C297" s="174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EB297" s="13"/>
      <c r="EC297" s="13"/>
      <c r="ED297" s="13"/>
      <c r="EE297" s="13"/>
      <c r="EF297" s="13"/>
      <c r="EG297" s="13"/>
    </row>
    <row r="298" spans="1:137" s="4" customFormat="1" ht="21.75" customHeight="1">
      <c r="A298" s="144" t="s">
        <v>425</v>
      </c>
      <c r="B298" s="174"/>
      <c r="C298" s="174"/>
      <c r="D298" s="141">
        <v>13750</v>
      </c>
      <c r="E298" s="141"/>
      <c r="F298" s="141">
        <f>D298</f>
        <v>13750</v>
      </c>
      <c r="G298" s="141">
        <v>16950</v>
      </c>
      <c r="H298" s="141"/>
      <c r="I298" s="141"/>
      <c r="J298" s="141">
        <f>G298</f>
        <v>16950</v>
      </c>
      <c r="K298" s="141"/>
      <c r="L298" s="141"/>
      <c r="M298" s="141"/>
      <c r="N298" s="141">
        <v>17800</v>
      </c>
      <c r="O298" s="141"/>
      <c r="P298" s="141">
        <f>N298</f>
        <v>17800</v>
      </c>
      <c r="EB298" s="13"/>
      <c r="EC298" s="13"/>
      <c r="ED298" s="13"/>
      <c r="EE298" s="13"/>
      <c r="EF298" s="13"/>
      <c r="EG298" s="13"/>
    </row>
    <row r="299" spans="1:137" s="55" customFormat="1" ht="41.25" customHeight="1">
      <c r="A299" s="147" t="s">
        <v>180</v>
      </c>
      <c r="B299" s="186"/>
      <c r="C299" s="186"/>
      <c r="D299" s="170">
        <v>150000</v>
      </c>
      <c r="E299" s="170"/>
      <c r="F299" s="170">
        <f>D299</f>
        <v>150000</v>
      </c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EB299" s="56"/>
      <c r="EC299" s="56"/>
      <c r="ED299" s="56"/>
      <c r="EE299" s="56"/>
      <c r="EF299" s="56"/>
      <c r="EG299" s="56"/>
    </row>
    <row r="300" spans="1:137" s="4" customFormat="1" ht="21.75" customHeight="1">
      <c r="A300" s="143" t="s">
        <v>261</v>
      </c>
      <c r="B300" s="177"/>
      <c r="C300" s="177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EB300" s="13"/>
      <c r="EC300" s="13"/>
      <c r="ED300" s="13"/>
      <c r="EE300" s="13"/>
      <c r="EF300" s="13"/>
      <c r="EG300" s="13"/>
    </row>
    <row r="301" spans="1:137" s="4" customFormat="1" ht="16.5" customHeight="1">
      <c r="A301" s="144" t="s">
        <v>181</v>
      </c>
      <c r="B301" s="177"/>
      <c r="C301" s="177"/>
      <c r="D301" s="141">
        <v>150000</v>
      </c>
      <c r="E301" s="141"/>
      <c r="F301" s="141">
        <f>D301+E301</f>
        <v>150000</v>
      </c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EB301" s="13"/>
      <c r="EC301" s="13"/>
      <c r="ED301" s="13"/>
      <c r="EE301" s="13"/>
      <c r="EF301" s="13"/>
      <c r="EG301" s="13"/>
    </row>
    <row r="302" spans="1:137" s="4" customFormat="1" ht="21.75" customHeight="1">
      <c r="A302" s="143" t="s">
        <v>392</v>
      </c>
      <c r="B302" s="177"/>
      <c r="C302" s="177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EB302" s="13"/>
      <c r="EC302" s="13"/>
      <c r="ED302" s="13"/>
      <c r="EE302" s="13"/>
      <c r="EF302" s="13"/>
      <c r="EG302" s="13"/>
    </row>
    <row r="303" spans="1:137" s="4" customFormat="1" ht="21.75" customHeight="1">
      <c r="A303" s="144" t="s">
        <v>541</v>
      </c>
      <c r="B303" s="177"/>
      <c r="C303" s="177"/>
      <c r="D303" s="176">
        <v>42</v>
      </c>
      <c r="E303" s="141"/>
      <c r="F303" s="176">
        <v>42</v>
      </c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EB303" s="13"/>
      <c r="EC303" s="13"/>
      <c r="ED303" s="13"/>
      <c r="EE303" s="13"/>
      <c r="EF303" s="13"/>
      <c r="EG303" s="13"/>
    </row>
    <row r="304" spans="1:137" s="4" customFormat="1" ht="15" customHeight="1">
      <c r="A304" s="143" t="s">
        <v>388</v>
      </c>
      <c r="B304" s="177"/>
      <c r="C304" s="177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EB304" s="13"/>
      <c r="EC304" s="13"/>
      <c r="ED304" s="13"/>
      <c r="EE304" s="13"/>
      <c r="EF304" s="13"/>
      <c r="EG304" s="13"/>
    </row>
    <row r="305" spans="1:137" s="4" customFormat="1" ht="14.25" customHeight="1">
      <c r="A305" s="144" t="s">
        <v>182</v>
      </c>
      <c r="B305" s="177"/>
      <c r="C305" s="177"/>
      <c r="D305" s="141">
        <v>3500</v>
      </c>
      <c r="E305" s="141"/>
      <c r="F305" s="141">
        <f>D305</f>
        <v>3500</v>
      </c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EB305" s="13"/>
      <c r="EC305" s="13"/>
      <c r="ED305" s="13"/>
      <c r="EE305" s="13"/>
      <c r="EF305" s="13"/>
      <c r="EG305" s="13"/>
    </row>
    <row r="306" spans="1:137" s="4" customFormat="1" ht="24.75" customHeight="1" hidden="1">
      <c r="A306" s="187" t="s">
        <v>99</v>
      </c>
      <c r="B306" s="174"/>
      <c r="C306" s="174"/>
      <c r="D306" s="173">
        <f>D308</f>
        <v>0</v>
      </c>
      <c r="E306" s="173"/>
      <c r="F306" s="173">
        <f>D306+E306</f>
        <v>0</v>
      </c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EB306" s="13"/>
      <c r="EC306" s="13"/>
      <c r="ED306" s="13"/>
      <c r="EE306" s="13"/>
      <c r="EF306" s="13"/>
      <c r="EG306" s="13"/>
    </row>
    <row r="307" spans="1:137" s="4" customFormat="1" ht="21.75" customHeight="1" hidden="1">
      <c r="A307" s="188" t="s">
        <v>261</v>
      </c>
      <c r="B307" s="174"/>
      <c r="C307" s="174"/>
      <c r="D307" s="141"/>
      <c r="E307" s="141"/>
      <c r="F307" s="141">
        <f>D307+E307</f>
        <v>0</v>
      </c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EB307" s="13"/>
      <c r="EC307" s="13"/>
      <c r="ED307" s="13"/>
      <c r="EE307" s="13"/>
      <c r="EF307" s="13"/>
      <c r="EG307" s="13"/>
    </row>
    <row r="308" spans="1:137" s="4" customFormat="1" ht="21.75" customHeight="1" hidden="1">
      <c r="A308" s="189" t="s">
        <v>494</v>
      </c>
      <c r="B308" s="174"/>
      <c r="C308" s="174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EB308" s="13"/>
      <c r="EC308" s="13"/>
      <c r="ED308" s="13"/>
      <c r="EE308" s="13"/>
      <c r="EF308" s="13"/>
      <c r="EG308" s="13"/>
    </row>
    <row r="309" spans="1:137" s="4" customFormat="1" ht="21.75" customHeight="1" hidden="1">
      <c r="A309" s="188" t="s">
        <v>392</v>
      </c>
      <c r="B309" s="174"/>
      <c r="C309" s="174"/>
      <c r="D309" s="141"/>
      <c r="E309" s="141"/>
      <c r="F309" s="141">
        <f>D309+E309</f>
        <v>0</v>
      </c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EB309" s="13"/>
      <c r="EC309" s="13"/>
      <c r="ED309" s="13"/>
      <c r="EE309" s="13"/>
      <c r="EF309" s="13"/>
      <c r="EG309" s="13"/>
    </row>
    <row r="310" spans="1:137" s="4" customFormat="1" ht="21.75" customHeight="1" hidden="1">
      <c r="A310" s="189" t="s">
        <v>495</v>
      </c>
      <c r="B310" s="174"/>
      <c r="C310" s="174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EB310" s="13"/>
      <c r="EC310" s="13"/>
      <c r="ED310" s="13"/>
      <c r="EE310" s="13"/>
      <c r="EF310" s="13"/>
      <c r="EG310" s="13"/>
    </row>
    <row r="311" spans="1:137" s="4" customFormat="1" ht="21.75" customHeight="1" hidden="1">
      <c r="A311" s="188" t="s">
        <v>388</v>
      </c>
      <c r="B311" s="174"/>
      <c r="C311" s="174"/>
      <c r="D311" s="141"/>
      <c r="E311" s="141"/>
      <c r="F311" s="141">
        <f>D311+E311</f>
        <v>0</v>
      </c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EB311" s="13"/>
      <c r="EC311" s="13"/>
      <c r="ED311" s="13"/>
      <c r="EE311" s="13"/>
      <c r="EF311" s="13"/>
      <c r="EG311" s="13"/>
    </row>
    <row r="312" spans="1:137" s="4" customFormat="1" ht="21.75" customHeight="1" hidden="1">
      <c r="A312" s="189" t="s">
        <v>496</v>
      </c>
      <c r="B312" s="174"/>
      <c r="C312" s="174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EB312" s="13"/>
      <c r="EC312" s="13"/>
      <c r="ED312" s="13"/>
      <c r="EE312" s="13"/>
      <c r="EF312" s="13"/>
      <c r="EG312" s="13"/>
    </row>
    <row r="313" spans="1:137" s="57" customFormat="1" ht="24.75" customHeight="1" hidden="1">
      <c r="A313" s="187" t="s">
        <v>100</v>
      </c>
      <c r="B313" s="190"/>
      <c r="C313" s="190"/>
      <c r="D313" s="170"/>
      <c r="E313" s="170">
        <f>E315</f>
        <v>0</v>
      </c>
      <c r="F313" s="170">
        <f>E313</f>
        <v>0</v>
      </c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EB313" s="58"/>
      <c r="EC313" s="58"/>
      <c r="ED313" s="58"/>
      <c r="EE313" s="58"/>
      <c r="EF313" s="58"/>
      <c r="EG313" s="58"/>
    </row>
    <row r="314" spans="1:137" s="4" customFormat="1" ht="21.75" customHeight="1" hidden="1">
      <c r="A314" s="188" t="s">
        <v>261</v>
      </c>
      <c r="B314" s="177"/>
      <c r="C314" s="177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EB314" s="13"/>
      <c r="EC314" s="13"/>
      <c r="ED314" s="13"/>
      <c r="EE314" s="13"/>
      <c r="EF314" s="13"/>
      <c r="EG314" s="13"/>
    </row>
    <row r="315" spans="1:137" s="4" customFormat="1" ht="21.75" customHeight="1" hidden="1">
      <c r="A315" s="189" t="s">
        <v>494</v>
      </c>
      <c r="B315" s="177"/>
      <c r="C315" s="177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EB315" s="13"/>
      <c r="EC315" s="13"/>
      <c r="ED315" s="13"/>
      <c r="EE315" s="13"/>
      <c r="EF315" s="13"/>
      <c r="EG315" s="13"/>
    </row>
    <row r="316" spans="1:137" s="4" customFormat="1" ht="21.75" customHeight="1" hidden="1">
      <c r="A316" s="188" t="s">
        <v>392</v>
      </c>
      <c r="B316" s="177"/>
      <c r="C316" s="177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EB316" s="13"/>
      <c r="EC316" s="13"/>
      <c r="ED316" s="13"/>
      <c r="EE316" s="13"/>
      <c r="EF316" s="13"/>
      <c r="EG316" s="13"/>
    </row>
    <row r="317" spans="1:137" s="4" customFormat="1" ht="21.75" customHeight="1" hidden="1">
      <c r="A317" s="189" t="s">
        <v>495</v>
      </c>
      <c r="B317" s="177"/>
      <c r="C317" s="177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EB317" s="13"/>
      <c r="EC317" s="13"/>
      <c r="ED317" s="13"/>
      <c r="EE317" s="13"/>
      <c r="EF317" s="13"/>
      <c r="EG317" s="13"/>
    </row>
    <row r="318" spans="1:137" s="4" customFormat="1" ht="21.75" customHeight="1" hidden="1">
      <c r="A318" s="188" t="s">
        <v>388</v>
      </c>
      <c r="B318" s="177"/>
      <c r="C318" s="177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EB318" s="13"/>
      <c r="EC318" s="13"/>
      <c r="ED318" s="13"/>
      <c r="EE318" s="13"/>
      <c r="EF318" s="13"/>
      <c r="EG318" s="13"/>
    </row>
    <row r="319" spans="1:137" s="4" customFormat="1" ht="24.75" customHeight="1" hidden="1">
      <c r="A319" s="189" t="s">
        <v>496</v>
      </c>
      <c r="B319" s="177"/>
      <c r="C319" s="177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EB319" s="13"/>
      <c r="EC319" s="13"/>
      <c r="ED319" s="13"/>
      <c r="EE319" s="13"/>
      <c r="EF319" s="13"/>
      <c r="EG319" s="13"/>
    </row>
    <row r="320" spans="1:137" s="77" customFormat="1" ht="32.25" customHeight="1">
      <c r="A320" s="75" t="s">
        <v>109</v>
      </c>
      <c r="B320" s="76"/>
      <c r="C320" s="76"/>
      <c r="D320" s="74">
        <f>D321+D328+D335+D342+D349+D356</f>
        <v>6930000</v>
      </c>
      <c r="E320" s="74">
        <f aca="true" t="shared" si="29" ref="E320:P320">E321+E328+E335+E342+E349+E356</f>
        <v>0</v>
      </c>
      <c r="F320" s="74">
        <f t="shared" si="29"/>
        <v>6930000</v>
      </c>
      <c r="G320" s="74">
        <f t="shared" si="29"/>
        <v>11812800</v>
      </c>
      <c r="H320" s="74">
        <f t="shared" si="29"/>
        <v>0</v>
      </c>
      <c r="I320" s="74">
        <f t="shared" si="29"/>
        <v>0</v>
      </c>
      <c r="J320" s="74">
        <f t="shared" si="29"/>
        <v>11812800</v>
      </c>
      <c r="K320" s="74">
        <f t="shared" si="29"/>
        <v>0</v>
      </c>
      <c r="L320" s="74">
        <f t="shared" si="29"/>
        <v>0</v>
      </c>
      <c r="M320" s="74">
        <f t="shared" si="29"/>
        <v>0</v>
      </c>
      <c r="N320" s="74">
        <f t="shared" si="29"/>
        <v>10277000</v>
      </c>
      <c r="O320" s="74">
        <f t="shared" si="29"/>
        <v>0</v>
      </c>
      <c r="P320" s="74">
        <f t="shared" si="29"/>
        <v>10277000</v>
      </c>
      <c r="EB320" s="78"/>
      <c r="EC320" s="78"/>
      <c r="ED320" s="78"/>
      <c r="EE320" s="78"/>
      <c r="EF320" s="78"/>
      <c r="EG320" s="78"/>
    </row>
    <row r="321" spans="1:137" s="57" customFormat="1" ht="45.75" customHeight="1">
      <c r="A321" s="147" t="s">
        <v>31</v>
      </c>
      <c r="B321" s="169"/>
      <c r="C321" s="169"/>
      <c r="D321" s="170">
        <f>D323</f>
        <v>680000</v>
      </c>
      <c r="E321" s="170"/>
      <c r="F321" s="170">
        <f>D321</f>
        <v>680000</v>
      </c>
      <c r="G321" s="170">
        <f>G323</f>
        <v>1550800</v>
      </c>
      <c r="H321" s="170"/>
      <c r="I321" s="170"/>
      <c r="J321" s="170">
        <f>G321</f>
        <v>1550800</v>
      </c>
      <c r="K321" s="170"/>
      <c r="L321" s="170"/>
      <c r="M321" s="170"/>
      <c r="N321" s="170">
        <f>N323</f>
        <v>1638300</v>
      </c>
      <c r="O321" s="170"/>
      <c r="P321" s="170">
        <f>N321</f>
        <v>1638300</v>
      </c>
      <c r="EB321" s="58"/>
      <c r="EC321" s="58"/>
      <c r="ED321" s="58"/>
      <c r="EE321" s="58"/>
      <c r="EF321" s="58"/>
      <c r="EG321" s="58"/>
    </row>
    <row r="322" spans="1:137" s="55" customFormat="1" ht="17.25" customHeight="1">
      <c r="A322" s="143" t="s">
        <v>261</v>
      </c>
      <c r="B322" s="71"/>
      <c r="C322" s="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EB322" s="56"/>
      <c r="EC322" s="56"/>
      <c r="ED322" s="56"/>
      <c r="EE322" s="56"/>
      <c r="EF322" s="56"/>
      <c r="EG322" s="56"/>
    </row>
    <row r="323" spans="1:137" s="55" customFormat="1" ht="38.25" customHeight="1">
      <c r="A323" s="144" t="s">
        <v>427</v>
      </c>
      <c r="B323" s="71"/>
      <c r="C323" s="71"/>
      <c r="D323" s="171">
        <f>1651700-200000-300000-471700</f>
        <v>680000</v>
      </c>
      <c r="E323" s="171"/>
      <c r="F323" s="171">
        <f>D323</f>
        <v>680000</v>
      </c>
      <c r="G323" s="171">
        <f>1750800-200000</f>
        <v>1550800</v>
      </c>
      <c r="H323" s="171"/>
      <c r="I323" s="171"/>
      <c r="J323" s="171">
        <f>G323</f>
        <v>1550800</v>
      </c>
      <c r="K323" s="171"/>
      <c r="L323" s="171"/>
      <c r="M323" s="171"/>
      <c r="N323" s="171">
        <f>1838300-200000</f>
        <v>1638300</v>
      </c>
      <c r="O323" s="171"/>
      <c r="P323" s="171">
        <f>N323</f>
        <v>1638300</v>
      </c>
      <c r="EB323" s="56"/>
      <c r="EC323" s="56"/>
      <c r="ED323" s="56"/>
      <c r="EE323" s="56"/>
      <c r="EF323" s="56"/>
      <c r="EG323" s="56"/>
    </row>
    <row r="324" spans="1:137" s="55" customFormat="1" ht="16.5" customHeight="1">
      <c r="A324" s="143" t="s">
        <v>426</v>
      </c>
      <c r="B324" s="71"/>
      <c r="C324" s="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EB324" s="56"/>
      <c r="EC324" s="56"/>
      <c r="ED324" s="56"/>
      <c r="EE324" s="56"/>
      <c r="EF324" s="56"/>
      <c r="EG324" s="56"/>
    </row>
    <row r="325" spans="1:137" s="55" customFormat="1" ht="38.25" customHeight="1">
      <c r="A325" s="144" t="s">
        <v>302</v>
      </c>
      <c r="B325" s="71"/>
      <c r="C325" s="71"/>
      <c r="D325" s="171">
        <v>92016</v>
      </c>
      <c r="E325" s="171"/>
      <c r="F325" s="171">
        <f>D325</f>
        <v>92016</v>
      </c>
      <c r="G325" s="171">
        <v>155760</v>
      </c>
      <c r="H325" s="171"/>
      <c r="I325" s="171"/>
      <c r="J325" s="171">
        <f>G325</f>
        <v>155760</v>
      </c>
      <c r="K325" s="171"/>
      <c r="L325" s="171"/>
      <c r="M325" s="171"/>
      <c r="N325" s="171">
        <v>155760</v>
      </c>
      <c r="O325" s="171"/>
      <c r="P325" s="171">
        <f>N325</f>
        <v>155760</v>
      </c>
      <c r="EB325" s="56"/>
      <c r="EC325" s="56"/>
      <c r="ED325" s="56"/>
      <c r="EE325" s="56"/>
      <c r="EF325" s="56"/>
      <c r="EG325" s="56"/>
    </row>
    <row r="326" spans="1:137" s="55" customFormat="1" ht="17.25" customHeight="1">
      <c r="A326" s="143" t="s">
        <v>388</v>
      </c>
      <c r="B326" s="71"/>
      <c r="C326" s="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EB326" s="56"/>
      <c r="EC326" s="56"/>
      <c r="ED326" s="56"/>
      <c r="EE326" s="56"/>
      <c r="EF326" s="56"/>
      <c r="EG326" s="56"/>
    </row>
    <row r="327" spans="1:137" s="55" customFormat="1" ht="38.25" customHeight="1">
      <c r="A327" s="144" t="s">
        <v>303</v>
      </c>
      <c r="B327" s="71"/>
      <c r="C327" s="71"/>
      <c r="D327" s="171">
        <f>D323/D325</f>
        <v>7.390019127108329</v>
      </c>
      <c r="E327" s="171"/>
      <c r="F327" s="171">
        <f>D327</f>
        <v>7.390019127108329</v>
      </c>
      <c r="G327" s="171">
        <f>G323/G325</f>
        <v>9.956343091936311</v>
      </c>
      <c r="H327" s="171"/>
      <c r="I327" s="171"/>
      <c r="J327" s="171">
        <f>G327</f>
        <v>9.956343091936311</v>
      </c>
      <c r="K327" s="171"/>
      <c r="L327" s="171"/>
      <c r="M327" s="171"/>
      <c r="N327" s="171">
        <f>N321/N325</f>
        <v>10.518104776579353</v>
      </c>
      <c r="O327" s="171"/>
      <c r="P327" s="171">
        <f>N327</f>
        <v>10.518104776579353</v>
      </c>
      <c r="EB327" s="56"/>
      <c r="EC327" s="56"/>
      <c r="ED327" s="56"/>
      <c r="EE327" s="56"/>
      <c r="EF327" s="56"/>
      <c r="EG327" s="56"/>
    </row>
    <row r="328" spans="1:137" s="57" customFormat="1" ht="33.75" customHeight="1">
      <c r="A328" s="147" t="s">
        <v>32</v>
      </c>
      <c r="B328" s="169"/>
      <c r="C328" s="169"/>
      <c r="D328" s="170">
        <f>D330</f>
        <v>3820000</v>
      </c>
      <c r="E328" s="170"/>
      <c r="F328" s="170">
        <f>D328</f>
        <v>3820000</v>
      </c>
      <c r="G328" s="170">
        <f>G330</f>
        <v>7000000</v>
      </c>
      <c r="H328" s="170"/>
      <c r="I328" s="170"/>
      <c r="J328" s="170">
        <f>G328</f>
        <v>7000000</v>
      </c>
      <c r="K328" s="170"/>
      <c r="L328" s="170"/>
      <c r="M328" s="170"/>
      <c r="N328" s="170">
        <f>N330</f>
        <v>5256000</v>
      </c>
      <c r="O328" s="170"/>
      <c r="P328" s="170">
        <f>N328</f>
        <v>5256000</v>
      </c>
      <c r="EB328" s="58"/>
      <c r="EC328" s="58"/>
      <c r="ED328" s="58"/>
      <c r="EE328" s="58"/>
      <c r="EF328" s="58"/>
      <c r="EG328" s="58"/>
    </row>
    <row r="329" spans="1:137" s="55" customFormat="1" ht="19.5" customHeight="1">
      <c r="A329" s="143" t="s">
        <v>261</v>
      </c>
      <c r="B329" s="71"/>
      <c r="C329" s="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EB329" s="56"/>
      <c r="EC329" s="56"/>
      <c r="ED329" s="56"/>
      <c r="EE329" s="56"/>
      <c r="EF329" s="56"/>
      <c r="EG329" s="56"/>
    </row>
    <row r="330" spans="1:137" s="55" customFormat="1" ht="38.25" customHeight="1">
      <c r="A330" s="144" t="s">
        <v>428</v>
      </c>
      <c r="B330" s="71"/>
      <c r="C330" s="71"/>
      <c r="D330" s="171">
        <f>6519400-2000000-1160000+460600</f>
        <v>3820000</v>
      </c>
      <c r="E330" s="171"/>
      <c r="F330" s="171">
        <f>D330</f>
        <v>3820000</v>
      </c>
      <c r="G330" s="171">
        <f>6910500-2000000+2089500</f>
        <v>7000000</v>
      </c>
      <c r="H330" s="171"/>
      <c r="I330" s="171"/>
      <c r="J330" s="171">
        <f>G330</f>
        <v>7000000</v>
      </c>
      <c r="K330" s="171"/>
      <c r="L330" s="171"/>
      <c r="M330" s="171"/>
      <c r="N330" s="171">
        <f>7256000-2000000</f>
        <v>5256000</v>
      </c>
      <c r="O330" s="171"/>
      <c r="P330" s="171">
        <f>N330</f>
        <v>5256000</v>
      </c>
      <c r="EB330" s="56"/>
      <c r="EC330" s="56"/>
      <c r="ED330" s="56"/>
      <c r="EE330" s="56"/>
      <c r="EF330" s="56"/>
      <c r="EG330" s="56"/>
    </row>
    <row r="331" spans="1:137" s="55" customFormat="1" ht="17.25" customHeight="1">
      <c r="A331" s="143" t="s">
        <v>426</v>
      </c>
      <c r="B331" s="71"/>
      <c r="C331" s="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EB331" s="56"/>
      <c r="EC331" s="56"/>
      <c r="ED331" s="56"/>
      <c r="EE331" s="56"/>
      <c r="EF331" s="56"/>
      <c r="EG331" s="56"/>
    </row>
    <row r="332" spans="1:137" s="55" customFormat="1" ht="18.75" customHeight="1">
      <c r="A332" s="144" t="s">
        <v>429</v>
      </c>
      <c r="B332" s="71"/>
      <c r="C332" s="71"/>
      <c r="D332" s="171">
        <v>390</v>
      </c>
      <c r="E332" s="171"/>
      <c r="F332" s="171">
        <f>D332</f>
        <v>390</v>
      </c>
      <c r="G332" s="171">
        <f>F332</f>
        <v>390</v>
      </c>
      <c r="H332" s="171"/>
      <c r="I332" s="171"/>
      <c r="J332" s="171">
        <f>G332</f>
        <v>390</v>
      </c>
      <c r="K332" s="171"/>
      <c r="L332" s="171"/>
      <c r="M332" s="171"/>
      <c r="N332" s="171">
        <f>J332</f>
        <v>390</v>
      </c>
      <c r="O332" s="171"/>
      <c r="P332" s="171">
        <f>N332</f>
        <v>390</v>
      </c>
      <c r="EB332" s="56"/>
      <c r="EC332" s="56"/>
      <c r="ED332" s="56"/>
      <c r="EE332" s="56"/>
      <c r="EF332" s="56"/>
      <c r="EG332" s="56"/>
    </row>
    <row r="333" spans="1:137" s="55" customFormat="1" ht="21" customHeight="1">
      <c r="A333" s="143" t="s">
        <v>388</v>
      </c>
      <c r="B333" s="71"/>
      <c r="C333" s="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EB333" s="56"/>
      <c r="EC333" s="56"/>
      <c r="ED333" s="56"/>
      <c r="EE333" s="56"/>
      <c r="EF333" s="56"/>
      <c r="EG333" s="56"/>
    </row>
    <row r="334" spans="1:137" s="55" customFormat="1" ht="38.25" customHeight="1">
      <c r="A334" s="144" t="s">
        <v>497</v>
      </c>
      <c r="B334" s="71"/>
      <c r="C334" s="71"/>
      <c r="D334" s="171">
        <f>D330/D332/12</f>
        <v>816.2393162393163</v>
      </c>
      <c r="E334" s="171"/>
      <c r="F334" s="171">
        <f>D334</f>
        <v>816.2393162393163</v>
      </c>
      <c r="G334" s="171">
        <f>G330/G332/12</f>
        <v>1495.7264957264958</v>
      </c>
      <c r="H334" s="171"/>
      <c r="I334" s="171"/>
      <c r="J334" s="171">
        <f>G334</f>
        <v>1495.7264957264958</v>
      </c>
      <c r="K334" s="171"/>
      <c r="L334" s="171"/>
      <c r="M334" s="171"/>
      <c r="N334" s="171">
        <f>N330/N332/12</f>
        <v>1123.076923076923</v>
      </c>
      <c r="O334" s="171"/>
      <c r="P334" s="171">
        <f>N334</f>
        <v>1123.076923076923</v>
      </c>
      <c r="EB334" s="56"/>
      <c r="EC334" s="56"/>
      <c r="ED334" s="56"/>
      <c r="EE334" s="56"/>
      <c r="EF334" s="56"/>
      <c r="EG334" s="56"/>
    </row>
    <row r="335" spans="1:137" s="55" customFormat="1" ht="18.75" customHeight="1">
      <c r="A335" s="147" t="s">
        <v>33</v>
      </c>
      <c r="B335" s="172"/>
      <c r="C335" s="172"/>
      <c r="D335" s="170">
        <f>D337</f>
        <v>100000</v>
      </c>
      <c r="E335" s="170"/>
      <c r="F335" s="170">
        <f>D335</f>
        <v>100000</v>
      </c>
      <c r="G335" s="170">
        <f>G337</f>
        <v>316000</v>
      </c>
      <c r="H335" s="170"/>
      <c r="I335" s="170"/>
      <c r="J335" s="170">
        <f>G335</f>
        <v>316000</v>
      </c>
      <c r="K335" s="170"/>
      <c r="L335" s="170"/>
      <c r="M335" s="170"/>
      <c r="N335" s="170">
        <f>N337</f>
        <v>331700</v>
      </c>
      <c r="O335" s="170"/>
      <c r="P335" s="170">
        <f>N335</f>
        <v>331700</v>
      </c>
      <c r="EB335" s="56"/>
      <c r="EC335" s="56"/>
      <c r="ED335" s="56"/>
      <c r="EE335" s="56"/>
      <c r="EF335" s="56"/>
      <c r="EG335" s="56"/>
    </row>
    <row r="336" spans="1:137" s="55" customFormat="1" ht="12.75">
      <c r="A336" s="143" t="s">
        <v>261</v>
      </c>
      <c r="B336" s="71"/>
      <c r="C336" s="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EB336" s="56"/>
      <c r="EC336" s="56"/>
      <c r="ED336" s="56"/>
      <c r="EE336" s="56"/>
      <c r="EF336" s="56"/>
      <c r="EG336" s="56"/>
    </row>
    <row r="337" spans="1:137" s="55" customFormat="1" ht="21.75" customHeight="1">
      <c r="A337" s="148" t="s">
        <v>498</v>
      </c>
      <c r="B337" s="71"/>
      <c r="C337" s="71"/>
      <c r="D337" s="171">
        <f>300000-200000</f>
        <v>100000</v>
      </c>
      <c r="E337" s="171"/>
      <c r="F337" s="171">
        <f>D337</f>
        <v>100000</v>
      </c>
      <c r="G337" s="171">
        <v>316000</v>
      </c>
      <c r="H337" s="171"/>
      <c r="I337" s="171"/>
      <c r="J337" s="171">
        <f>G337</f>
        <v>316000</v>
      </c>
      <c r="K337" s="171"/>
      <c r="L337" s="171"/>
      <c r="M337" s="171"/>
      <c r="N337" s="171">
        <v>331700</v>
      </c>
      <c r="O337" s="171"/>
      <c r="P337" s="171">
        <f>N337</f>
        <v>331700</v>
      </c>
      <c r="EB337" s="56"/>
      <c r="EC337" s="56"/>
      <c r="ED337" s="56"/>
      <c r="EE337" s="56"/>
      <c r="EF337" s="56"/>
      <c r="EG337" s="56"/>
    </row>
    <row r="338" spans="1:137" s="55" customFormat="1" ht="18.75" customHeight="1">
      <c r="A338" s="149" t="s">
        <v>426</v>
      </c>
      <c r="B338" s="71"/>
      <c r="C338" s="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EB338" s="56"/>
      <c r="EC338" s="56"/>
      <c r="ED338" s="56"/>
      <c r="EE338" s="56"/>
      <c r="EF338" s="56"/>
      <c r="EG338" s="56"/>
    </row>
    <row r="339" spans="1:137" s="55" customFormat="1" ht="20.25" customHeight="1">
      <c r="A339" s="148" t="s">
        <v>499</v>
      </c>
      <c r="B339" s="71"/>
      <c r="C339" s="71"/>
      <c r="D339" s="171">
        <v>55</v>
      </c>
      <c r="E339" s="171"/>
      <c r="F339" s="171">
        <f>D339</f>
        <v>55</v>
      </c>
      <c r="G339" s="171">
        <v>140</v>
      </c>
      <c r="H339" s="171"/>
      <c r="I339" s="171"/>
      <c r="J339" s="171">
        <f>G339</f>
        <v>140</v>
      </c>
      <c r="K339" s="171"/>
      <c r="L339" s="171"/>
      <c r="M339" s="171"/>
      <c r="N339" s="171">
        <v>135</v>
      </c>
      <c r="O339" s="171"/>
      <c r="P339" s="171">
        <f>N339</f>
        <v>135</v>
      </c>
      <c r="EB339" s="56"/>
      <c r="EC339" s="56"/>
      <c r="ED339" s="56"/>
      <c r="EE339" s="56"/>
      <c r="EF339" s="56"/>
      <c r="EG339" s="56"/>
    </row>
    <row r="340" spans="1:137" s="55" customFormat="1" ht="12.75">
      <c r="A340" s="149" t="s">
        <v>388</v>
      </c>
      <c r="B340" s="71"/>
      <c r="C340" s="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EB340" s="56"/>
      <c r="EC340" s="56"/>
      <c r="ED340" s="56"/>
      <c r="EE340" s="56"/>
      <c r="EF340" s="56"/>
      <c r="EG340" s="56"/>
    </row>
    <row r="341" spans="1:137" s="55" customFormat="1" ht="33" customHeight="1">
      <c r="A341" s="148" t="s">
        <v>500</v>
      </c>
      <c r="B341" s="71"/>
      <c r="C341" s="71"/>
      <c r="D341" s="171">
        <f>D337/D339</f>
        <v>1818.1818181818182</v>
      </c>
      <c r="E341" s="171"/>
      <c r="F341" s="171">
        <f>D341</f>
        <v>1818.1818181818182</v>
      </c>
      <c r="G341" s="171">
        <f>G337/G339</f>
        <v>2257.1428571428573</v>
      </c>
      <c r="H341" s="171"/>
      <c r="I341" s="171"/>
      <c r="J341" s="171">
        <f>G341</f>
        <v>2257.1428571428573</v>
      </c>
      <c r="K341" s="171"/>
      <c r="L341" s="171"/>
      <c r="M341" s="171"/>
      <c r="N341" s="171">
        <f>N337/N339</f>
        <v>2457.037037037037</v>
      </c>
      <c r="O341" s="171"/>
      <c r="P341" s="171">
        <f>N341</f>
        <v>2457.037037037037</v>
      </c>
      <c r="EB341" s="56"/>
      <c r="EC341" s="56"/>
      <c r="ED341" s="56"/>
      <c r="EE341" s="56"/>
      <c r="EF341" s="56"/>
      <c r="EG341" s="56"/>
    </row>
    <row r="342" spans="1:137" s="43" customFormat="1" ht="45" customHeight="1">
      <c r="A342" s="147" t="s">
        <v>110</v>
      </c>
      <c r="B342" s="172"/>
      <c r="C342" s="172"/>
      <c r="D342" s="170">
        <f>D344</f>
        <v>500000</v>
      </c>
      <c r="E342" s="170"/>
      <c r="F342" s="170">
        <f>D342</f>
        <v>500000</v>
      </c>
      <c r="G342" s="170">
        <f>G344</f>
        <v>516000</v>
      </c>
      <c r="H342" s="170"/>
      <c r="I342" s="170"/>
      <c r="J342" s="170">
        <f>G342</f>
        <v>516000</v>
      </c>
      <c r="K342" s="170"/>
      <c r="L342" s="170"/>
      <c r="M342" s="170"/>
      <c r="N342" s="170">
        <f>N344</f>
        <v>498000</v>
      </c>
      <c r="O342" s="170"/>
      <c r="P342" s="170">
        <f>N342</f>
        <v>498000</v>
      </c>
      <c r="EB342" s="44"/>
      <c r="EC342" s="44"/>
      <c r="ED342" s="44"/>
      <c r="EE342" s="44"/>
      <c r="EF342" s="44"/>
      <c r="EG342" s="44"/>
    </row>
    <row r="343" spans="1:137" s="55" customFormat="1" ht="21.75" customHeight="1">
      <c r="A343" s="143" t="s">
        <v>261</v>
      </c>
      <c r="B343" s="71"/>
      <c r="C343" s="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EB343" s="56"/>
      <c r="EC343" s="56"/>
      <c r="ED343" s="56"/>
      <c r="EE343" s="56"/>
      <c r="EF343" s="56"/>
      <c r="EG343" s="56"/>
    </row>
    <row r="344" spans="1:137" s="55" customFormat="1" ht="36" customHeight="1">
      <c r="A344" s="148" t="s">
        <v>501</v>
      </c>
      <c r="B344" s="71"/>
      <c r="C344" s="71"/>
      <c r="D344" s="171">
        <f>450000+50000</f>
        <v>500000</v>
      </c>
      <c r="E344" s="171"/>
      <c r="F344" s="171">
        <f>D344</f>
        <v>500000</v>
      </c>
      <c r="G344" s="171">
        <f>475000+41000</f>
        <v>516000</v>
      </c>
      <c r="H344" s="171"/>
      <c r="I344" s="171"/>
      <c r="J344" s="171">
        <f>G344</f>
        <v>516000</v>
      </c>
      <c r="K344" s="171"/>
      <c r="L344" s="171"/>
      <c r="M344" s="171"/>
      <c r="N344" s="171">
        <v>498000</v>
      </c>
      <c r="O344" s="171"/>
      <c r="P344" s="171">
        <f>N344</f>
        <v>498000</v>
      </c>
      <c r="EB344" s="56"/>
      <c r="EC344" s="56"/>
      <c r="ED344" s="56"/>
      <c r="EE344" s="56"/>
      <c r="EF344" s="56"/>
      <c r="EG344" s="56"/>
    </row>
    <row r="345" spans="1:137" s="55" customFormat="1" ht="21" customHeight="1">
      <c r="A345" s="149" t="s">
        <v>426</v>
      </c>
      <c r="B345" s="71"/>
      <c r="C345" s="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EB345" s="56"/>
      <c r="EC345" s="56"/>
      <c r="ED345" s="56"/>
      <c r="EE345" s="56"/>
      <c r="EF345" s="56"/>
      <c r="EG345" s="56"/>
    </row>
    <row r="346" spans="1:137" s="55" customFormat="1" ht="24" customHeight="1">
      <c r="A346" s="148" t="s">
        <v>502</v>
      </c>
      <c r="B346" s="71"/>
      <c r="C346" s="71"/>
      <c r="D346" s="171">
        <v>685</v>
      </c>
      <c r="E346" s="171"/>
      <c r="F346" s="171">
        <f>D346</f>
        <v>685</v>
      </c>
      <c r="G346" s="171">
        <v>802</v>
      </c>
      <c r="H346" s="171"/>
      <c r="I346" s="171"/>
      <c r="J346" s="171">
        <f>G346</f>
        <v>802</v>
      </c>
      <c r="K346" s="171"/>
      <c r="L346" s="171"/>
      <c r="M346" s="171"/>
      <c r="N346" s="171">
        <v>908</v>
      </c>
      <c r="O346" s="171"/>
      <c r="P346" s="171">
        <f>N346</f>
        <v>908</v>
      </c>
      <c r="EB346" s="56"/>
      <c r="EC346" s="56"/>
      <c r="ED346" s="56"/>
      <c r="EE346" s="56"/>
      <c r="EF346" s="56"/>
      <c r="EG346" s="56"/>
    </row>
    <row r="347" spans="1:137" s="55" customFormat="1" ht="12.75">
      <c r="A347" s="149" t="s">
        <v>388</v>
      </c>
      <c r="B347" s="71"/>
      <c r="C347" s="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EB347" s="56"/>
      <c r="EC347" s="56"/>
      <c r="ED347" s="56"/>
      <c r="EE347" s="56"/>
      <c r="EF347" s="56"/>
      <c r="EG347" s="56"/>
    </row>
    <row r="348" spans="1:137" s="55" customFormat="1" ht="12.75">
      <c r="A348" s="148" t="s">
        <v>503</v>
      </c>
      <c r="B348" s="71"/>
      <c r="C348" s="71"/>
      <c r="D348" s="171">
        <f>D344/D346</f>
        <v>729.92700729927</v>
      </c>
      <c r="E348" s="171"/>
      <c r="F348" s="171">
        <f>D348</f>
        <v>729.92700729927</v>
      </c>
      <c r="G348" s="171">
        <f>G344/G346</f>
        <v>643.3915211970075</v>
      </c>
      <c r="H348" s="171"/>
      <c r="I348" s="171"/>
      <c r="J348" s="171">
        <f>G348</f>
        <v>643.3915211970075</v>
      </c>
      <c r="K348" s="171"/>
      <c r="L348" s="171"/>
      <c r="M348" s="171"/>
      <c r="N348" s="171">
        <f>N344/N346</f>
        <v>548.4581497797357</v>
      </c>
      <c r="O348" s="171"/>
      <c r="P348" s="171">
        <f>N348</f>
        <v>548.4581497797357</v>
      </c>
      <c r="EB348" s="56"/>
      <c r="EC348" s="56"/>
      <c r="ED348" s="56"/>
      <c r="EE348" s="56"/>
      <c r="EF348" s="56"/>
      <c r="EG348" s="56"/>
    </row>
    <row r="349" spans="1:137" s="55" customFormat="1" ht="45.75" customHeight="1">
      <c r="A349" s="147" t="s">
        <v>111</v>
      </c>
      <c r="B349" s="71"/>
      <c r="C349" s="71"/>
      <c r="D349" s="170">
        <f>D351</f>
        <v>1290000</v>
      </c>
      <c r="E349" s="170"/>
      <c r="F349" s="170">
        <f>D349</f>
        <v>1290000</v>
      </c>
      <c r="G349" s="170">
        <f>G351</f>
        <v>1580000</v>
      </c>
      <c r="H349" s="170"/>
      <c r="I349" s="170"/>
      <c r="J349" s="170">
        <f>G349</f>
        <v>1580000</v>
      </c>
      <c r="K349" s="170"/>
      <c r="L349" s="170"/>
      <c r="M349" s="170"/>
      <c r="N349" s="170">
        <f>N351</f>
        <v>1660000</v>
      </c>
      <c r="O349" s="170"/>
      <c r="P349" s="170">
        <f>N349</f>
        <v>1660000</v>
      </c>
      <c r="EB349" s="56"/>
      <c r="EC349" s="56"/>
      <c r="ED349" s="56"/>
      <c r="EE349" s="56"/>
      <c r="EF349" s="56"/>
      <c r="EG349" s="56"/>
    </row>
    <row r="350" spans="1:137" s="55" customFormat="1" ht="12.75">
      <c r="A350" s="143" t="s">
        <v>261</v>
      </c>
      <c r="B350" s="71"/>
      <c r="C350" s="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EB350" s="56"/>
      <c r="EC350" s="56"/>
      <c r="ED350" s="56"/>
      <c r="EE350" s="56"/>
      <c r="EF350" s="56"/>
      <c r="EG350" s="56"/>
    </row>
    <row r="351" spans="1:137" s="55" customFormat="1" ht="37.5" customHeight="1">
      <c r="A351" s="148" t="s">
        <v>504</v>
      </c>
      <c r="B351" s="71"/>
      <c r="C351" s="71"/>
      <c r="D351" s="171">
        <f>1500000-200000-10000</f>
        <v>1290000</v>
      </c>
      <c r="E351" s="171"/>
      <c r="F351" s="171">
        <f>D351</f>
        <v>1290000</v>
      </c>
      <c r="G351" s="171">
        <v>1580000</v>
      </c>
      <c r="H351" s="171"/>
      <c r="I351" s="171"/>
      <c r="J351" s="171">
        <f>G351</f>
        <v>1580000</v>
      </c>
      <c r="K351" s="171"/>
      <c r="L351" s="171"/>
      <c r="M351" s="171"/>
      <c r="N351" s="171">
        <v>1660000</v>
      </c>
      <c r="O351" s="171"/>
      <c r="P351" s="171">
        <f>N351</f>
        <v>1660000</v>
      </c>
      <c r="EB351" s="56"/>
      <c r="EC351" s="56"/>
      <c r="ED351" s="56"/>
      <c r="EE351" s="56"/>
      <c r="EF351" s="56"/>
      <c r="EG351" s="56"/>
    </row>
    <row r="352" spans="1:137" s="55" customFormat="1" ht="12.75">
      <c r="A352" s="149" t="s">
        <v>426</v>
      </c>
      <c r="B352" s="71"/>
      <c r="C352" s="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EB352" s="56"/>
      <c r="EC352" s="56"/>
      <c r="ED352" s="56"/>
      <c r="EE352" s="56"/>
      <c r="EF352" s="56"/>
      <c r="EG352" s="56"/>
    </row>
    <row r="353" spans="1:137" s="55" customFormat="1" ht="21" customHeight="1">
      <c r="A353" s="148" t="s">
        <v>502</v>
      </c>
      <c r="B353" s="71"/>
      <c r="C353" s="71"/>
      <c r="D353" s="171">
        <v>2969</v>
      </c>
      <c r="E353" s="171"/>
      <c r="F353" s="171">
        <f>D353</f>
        <v>2969</v>
      </c>
      <c r="G353" s="171">
        <v>4812.01</v>
      </c>
      <c r="H353" s="171"/>
      <c r="I353" s="171"/>
      <c r="J353" s="171">
        <f>G353</f>
        <v>4812.01</v>
      </c>
      <c r="K353" s="171"/>
      <c r="L353" s="171"/>
      <c r="M353" s="171"/>
      <c r="N353" s="171">
        <v>4539.95</v>
      </c>
      <c r="O353" s="171"/>
      <c r="P353" s="171">
        <f>N353</f>
        <v>4539.95</v>
      </c>
      <c r="EB353" s="56"/>
      <c r="EC353" s="56"/>
      <c r="ED353" s="56"/>
      <c r="EE353" s="56"/>
      <c r="EF353" s="56"/>
      <c r="EG353" s="56"/>
    </row>
    <row r="354" spans="1:137" s="55" customFormat="1" ht="12.75">
      <c r="A354" s="149" t="s">
        <v>388</v>
      </c>
      <c r="B354" s="71"/>
      <c r="C354" s="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EB354" s="56"/>
      <c r="EC354" s="56"/>
      <c r="ED354" s="56"/>
      <c r="EE354" s="56"/>
      <c r="EF354" s="56"/>
      <c r="EG354" s="56"/>
    </row>
    <row r="355" spans="1:137" s="55" customFormat="1" ht="22.5" customHeight="1">
      <c r="A355" s="148" t="s">
        <v>503</v>
      </c>
      <c r="B355" s="71"/>
      <c r="C355" s="71"/>
      <c r="D355" s="171">
        <f>D351/D353</f>
        <v>434.48972718086895</v>
      </c>
      <c r="E355" s="171"/>
      <c r="F355" s="171">
        <f>D355</f>
        <v>434.48972718086895</v>
      </c>
      <c r="G355" s="171">
        <f>G351/G353</f>
        <v>328.3451198147967</v>
      </c>
      <c r="H355" s="171"/>
      <c r="I355" s="171"/>
      <c r="J355" s="171">
        <f>G355</f>
        <v>328.3451198147967</v>
      </c>
      <c r="K355" s="171"/>
      <c r="L355" s="171"/>
      <c r="M355" s="171"/>
      <c r="N355" s="171">
        <f>N351/N353</f>
        <v>365.64279342283504</v>
      </c>
      <c r="O355" s="171"/>
      <c r="P355" s="171">
        <f>N355</f>
        <v>365.64279342283504</v>
      </c>
      <c r="EB355" s="56"/>
      <c r="EC355" s="56"/>
      <c r="ED355" s="56"/>
      <c r="EE355" s="56"/>
      <c r="EF355" s="56"/>
      <c r="EG355" s="56"/>
    </row>
    <row r="356" spans="1:137" s="55" customFormat="1" ht="30.75" customHeight="1">
      <c r="A356" s="147" t="s">
        <v>34</v>
      </c>
      <c r="B356" s="71"/>
      <c r="C356" s="71"/>
      <c r="D356" s="170">
        <f>D358</f>
        <v>540000</v>
      </c>
      <c r="E356" s="170"/>
      <c r="F356" s="170">
        <f>D356</f>
        <v>540000</v>
      </c>
      <c r="G356" s="170">
        <f>G358</f>
        <v>850000</v>
      </c>
      <c r="H356" s="170"/>
      <c r="I356" s="170"/>
      <c r="J356" s="170">
        <f>G356</f>
        <v>850000</v>
      </c>
      <c r="K356" s="170"/>
      <c r="L356" s="170"/>
      <c r="M356" s="170"/>
      <c r="N356" s="170">
        <f>N358</f>
        <v>893000</v>
      </c>
      <c r="O356" s="170"/>
      <c r="P356" s="170">
        <f>N356</f>
        <v>893000</v>
      </c>
      <c r="EB356" s="56"/>
      <c r="EC356" s="56"/>
      <c r="ED356" s="56"/>
      <c r="EE356" s="56"/>
      <c r="EF356" s="56"/>
      <c r="EG356" s="56"/>
    </row>
    <row r="357" spans="1:137" s="55" customFormat="1" ht="21" customHeight="1">
      <c r="A357" s="143" t="s">
        <v>261</v>
      </c>
      <c r="B357" s="71"/>
      <c r="C357" s="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EB357" s="56"/>
      <c r="EC357" s="56"/>
      <c r="ED357" s="56"/>
      <c r="EE357" s="56"/>
      <c r="EF357" s="56"/>
      <c r="EG357" s="56"/>
    </row>
    <row r="358" spans="1:137" s="55" customFormat="1" ht="33" customHeight="1">
      <c r="A358" s="148" t="s">
        <v>505</v>
      </c>
      <c r="B358" s="71"/>
      <c r="C358" s="71"/>
      <c r="D358" s="171">
        <f>750000-210000</f>
        <v>540000</v>
      </c>
      <c r="E358" s="171"/>
      <c r="F358" s="171">
        <f>D358</f>
        <v>540000</v>
      </c>
      <c r="G358" s="171">
        <v>850000</v>
      </c>
      <c r="H358" s="171"/>
      <c r="I358" s="171"/>
      <c r="J358" s="171">
        <f>G358</f>
        <v>850000</v>
      </c>
      <c r="K358" s="171"/>
      <c r="L358" s="171"/>
      <c r="M358" s="171"/>
      <c r="N358" s="171">
        <v>893000</v>
      </c>
      <c r="O358" s="171"/>
      <c r="P358" s="171">
        <f>N358</f>
        <v>893000</v>
      </c>
      <c r="EB358" s="56"/>
      <c r="EC358" s="56"/>
      <c r="ED358" s="56"/>
      <c r="EE358" s="56"/>
      <c r="EF358" s="56"/>
      <c r="EG358" s="56"/>
    </row>
    <row r="359" spans="1:137" s="55" customFormat="1" ht="21" customHeight="1">
      <c r="A359" s="149" t="s">
        <v>426</v>
      </c>
      <c r="B359" s="71"/>
      <c r="C359" s="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EB359" s="56"/>
      <c r="EC359" s="56"/>
      <c r="ED359" s="56"/>
      <c r="EE359" s="56"/>
      <c r="EF359" s="56"/>
      <c r="EG359" s="56"/>
    </row>
    <row r="360" spans="1:137" s="55" customFormat="1" ht="21.75" customHeight="1">
      <c r="A360" s="148" t="s">
        <v>506</v>
      </c>
      <c r="B360" s="71"/>
      <c r="C360" s="71"/>
      <c r="D360" s="171">
        <v>231.6</v>
      </c>
      <c r="E360" s="171"/>
      <c r="F360" s="171">
        <f>D360</f>
        <v>231.6</v>
      </c>
      <c r="G360" s="171">
        <v>321.6</v>
      </c>
      <c r="H360" s="171"/>
      <c r="I360" s="171"/>
      <c r="J360" s="171">
        <f>G360</f>
        <v>321.6</v>
      </c>
      <c r="K360" s="171"/>
      <c r="L360" s="171"/>
      <c r="M360" s="171"/>
      <c r="N360" s="171">
        <v>321.6</v>
      </c>
      <c r="O360" s="171"/>
      <c r="P360" s="171">
        <f>N360</f>
        <v>321.6</v>
      </c>
      <c r="EB360" s="56"/>
      <c r="EC360" s="56"/>
      <c r="ED360" s="56"/>
      <c r="EE360" s="56"/>
      <c r="EF360" s="56"/>
      <c r="EG360" s="56"/>
    </row>
    <row r="361" spans="1:137" s="55" customFormat="1" ht="12.75">
      <c r="A361" s="149" t="s">
        <v>388</v>
      </c>
      <c r="B361" s="71"/>
      <c r="C361" s="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EB361" s="56"/>
      <c r="EC361" s="56"/>
      <c r="ED361" s="56"/>
      <c r="EE361" s="56"/>
      <c r="EF361" s="56"/>
      <c r="EG361" s="56"/>
    </row>
    <row r="362" spans="1:137" s="68" customFormat="1" ht="20.25" customHeight="1">
      <c r="A362" s="148" t="s">
        <v>507</v>
      </c>
      <c r="B362" s="104"/>
      <c r="C362" s="104"/>
      <c r="D362" s="171">
        <f>D358/D360</f>
        <v>2331.6062176165806</v>
      </c>
      <c r="E362" s="171"/>
      <c r="F362" s="171">
        <f>D362</f>
        <v>2331.6062176165806</v>
      </c>
      <c r="G362" s="171">
        <f>G358/G360</f>
        <v>2643.0348258706467</v>
      </c>
      <c r="H362" s="171"/>
      <c r="I362" s="171"/>
      <c r="J362" s="171">
        <f>G362</f>
        <v>2643.0348258706467</v>
      </c>
      <c r="K362" s="171"/>
      <c r="L362" s="171"/>
      <c r="M362" s="171"/>
      <c r="N362" s="171">
        <f>N358/N360</f>
        <v>2776.741293532338</v>
      </c>
      <c r="O362" s="171"/>
      <c r="P362" s="171">
        <f>N362</f>
        <v>2776.741293532338</v>
      </c>
      <c r="EB362" s="69"/>
      <c r="EC362" s="69"/>
      <c r="ED362" s="69"/>
      <c r="EE362" s="69"/>
      <c r="EF362" s="69"/>
      <c r="EG362" s="69"/>
    </row>
    <row r="363" spans="1:137" s="72" customFormat="1" ht="26.25" customHeight="1">
      <c r="A363" s="75" t="s">
        <v>35</v>
      </c>
      <c r="B363" s="71"/>
      <c r="C363" s="71"/>
      <c r="D363" s="74">
        <f>D364+D371+D378+D385+D394+D403+D412+D421+D430+D439+D448+D455</f>
        <v>10417200</v>
      </c>
      <c r="E363" s="74">
        <f>E364+E371+E378+E385+E394+E403+E412+E421+E430+E439+E448+E455</f>
        <v>0</v>
      </c>
      <c r="F363" s="74">
        <f>F364+F371+F378+F385+F394+F403+F412+F421+F430+F439+F448+F455</f>
        <v>10417200</v>
      </c>
      <c r="G363" s="74">
        <f aca="true" t="shared" si="30" ref="G363:P363">G364+G371+G378+G385+G394+G403+G412+G421+G430+G439+G448+G455</f>
        <v>11967599.9952</v>
      </c>
      <c r="H363" s="74">
        <f t="shared" si="30"/>
        <v>0</v>
      </c>
      <c r="I363" s="74">
        <f t="shared" si="30"/>
        <v>0</v>
      </c>
      <c r="J363" s="74">
        <f t="shared" si="30"/>
        <v>11967599.9952</v>
      </c>
      <c r="K363" s="74" t="e">
        <f t="shared" si="30"/>
        <v>#REF!</v>
      </c>
      <c r="L363" s="74" t="e">
        <f t="shared" si="30"/>
        <v>#REF!</v>
      </c>
      <c r="M363" s="74" t="e">
        <f t="shared" si="30"/>
        <v>#REF!</v>
      </c>
      <c r="N363" s="74">
        <f t="shared" si="30"/>
        <v>12531605.04</v>
      </c>
      <c r="O363" s="74">
        <f t="shared" si="30"/>
        <v>0</v>
      </c>
      <c r="P363" s="74">
        <f t="shared" si="30"/>
        <v>12531605.04</v>
      </c>
      <c r="Q363" s="74" t="e">
        <f>Q364+Q371+Q378+#REF!+Q394+Q403+Q412+Q430+Q439+Q448+Q455+#REF!</f>
        <v>#REF!</v>
      </c>
      <c r="EB363" s="73"/>
      <c r="EC363" s="73"/>
      <c r="ED363" s="73"/>
      <c r="EE363" s="73"/>
      <c r="EF363" s="73"/>
      <c r="EG363" s="73"/>
    </row>
    <row r="364" spans="1:137" s="68" customFormat="1" ht="32.25" customHeight="1">
      <c r="A364" s="151" t="s">
        <v>71</v>
      </c>
      <c r="B364" s="104"/>
      <c r="C364" s="104"/>
      <c r="D364" s="170">
        <f>D366</f>
        <v>507500</v>
      </c>
      <c r="E364" s="170"/>
      <c r="F364" s="170">
        <f>D364</f>
        <v>507500</v>
      </c>
      <c r="G364" s="170">
        <f>G366</f>
        <v>835000</v>
      </c>
      <c r="H364" s="170"/>
      <c r="I364" s="170"/>
      <c r="J364" s="170">
        <f>G364</f>
        <v>835000</v>
      </c>
      <c r="K364" s="170"/>
      <c r="L364" s="170"/>
      <c r="M364" s="170"/>
      <c r="N364" s="170">
        <f>N366</f>
        <v>877000</v>
      </c>
      <c r="O364" s="170"/>
      <c r="P364" s="170">
        <f>N364</f>
        <v>877000</v>
      </c>
      <c r="EB364" s="69"/>
      <c r="EC364" s="69"/>
      <c r="ED364" s="69"/>
      <c r="EE364" s="69"/>
      <c r="EF364" s="69"/>
      <c r="EG364" s="69"/>
    </row>
    <row r="365" spans="1:137" s="68" customFormat="1" ht="12.75">
      <c r="A365" s="143" t="s">
        <v>261</v>
      </c>
      <c r="B365" s="104"/>
      <c r="C365" s="104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EB365" s="69"/>
      <c r="EC365" s="69"/>
      <c r="ED365" s="69"/>
      <c r="EE365" s="69"/>
      <c r="EF365" s="69"/>
      <c r="EG365" s="69"/>
    </row>
    <row r="366" spans="1:137" s="68" customFormat="1" ht="33" customHeight="1">
      <c r="A366" s="148" t="s">
        <v>508</v>
      </c>
      <c r="B366" s="104"/>
      <c r="C366" s="104"/>
      <c r="D366" s="171">
        <f>755300-247800</f>
        <v>507500</v>
      </c>
      <c r="E366" s="171"/>
      <c r="F366" s="171">
        <f>D366</f>
        <v>507500</v>
      </c>
      <c r="G366" s="171">
        <v>835000</v>
      </c>
      <c r="H366" s="171"/>
      <c r="I366" s="171"/>
      <c r="J366" s="171">
        <f>G366</f>
        <v>835000</v>
      </c>
      <c r="K366" s="171"/>
      <c r="L366" s="171"/>
      <c r="M366" s="171"/>
      <c r="N366" s="171">
        <v>877000</v>
      </c>
      <c r="O366" s="171"/>
      <c r="P366" s="171">
        <f>N366</f>
        <v>877000</v>
      </c>
      <c r="EB366" s="69"/>
      <c r="EC366" s="69"/>
      <c r="ED366" s="69"/>
      <c r="EE366" s="69"/>
      <c r="EF366" s="69"/>
      <c r="EG366" s="69"/>
    </row>
    <row r="367" spans="1:137" s="68" customFormat="1" ht="12.75">
      <c r="A367" s="149" t="s">
        <v>426</v>
      </c>
      <c r="B367" s="104"/>
      <c r="C367" s="104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EB367" s="69"/>
      <c r="EC367" s="69"/>
      <c r="ED367" s="69"/>
      <c r="EE367" s="69"/>
      <c r="EF367" s="69"/>
      <c r="EG367" s="69"/>
    </row>
    <row r="368" spans="1:137" s="68" customFormat="1" ht="25.5">
      <c r="A368" s="148" t="s">
        <v>169</v>
      </c>
      <c r="B368" s="104"/>
      <c r="C368" s="104"/>
      <c r="D368" s="171">
        <v>12</v>
      </c>
      <c r="E368" s="171"/>
      <c r="F368" s="171">
        <f>D368</f>
        <v>12</v>
      </c>
      <c r="G368" s="171">
        <v>12</v>
      </c>
      <c r="H368" s="171"/>
      <c r="I368" s="171"/>
      <c r="J368" s="171">
        <f>G368</f>
        <v>12</v>
      </c>
      <c r="K368" s="171"/>
      <c r="L368" s="171"/>
      <c r="M368" s="171"/>
      <c r="N368" s="171">
        <v>12</v>
      </c>
      <c r="O368" s="171"/>
      <c r="P368" s="171">
        <f>N368</f>
        <v>12</v>
      </c>
      <c r="EB368" s="69"/>
      <c r="EC368" s="69"/>
      <c r="ED368" s="69"/>
      <c r="EE368" s="69"/>
      <c r="EF368" s="69"/>
      <c r="EG368" s="69"/>
    </row>
    <row r="369" spans="1:137" s="68" customFormat="1" ht="12.75">
      <c r="A369" s="149" t="s">
        <v>388</v>
      </c>
      <c r="B369" s="104"/>
      <c r="C369" s="104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EB369" s="69"/>
      <c r="EC369" s="69"/>
      <c r="ED369" s="69"/>
      <c r="EE369" s="69"/>
      <c r="EF369" s="69"/>
      <c r="EG369" s="69"/>
    </row>
    <row r="370" spans="1:137" s="68" customFormat="1" ht="24.75" customHeight="1">
      <c r="A370" s="153" t="s">
        <v>509</v>
      </c>
      <c r="B370" s="104"/>
      <c r="C370" s="104"/>
      <c r="D370" s="171">
        <f>D366/D368</f>
        <v>42291.666666666664</v>
      </c>
      <c r="E370" s="171"/>
      <c r="F370" s="171">
        <f>D370</f>
        <v>42291.666666666664</v>
      </c>
      <c r="G370" s="171">
        <f>G366/G368</f>
        <v>69583.33333333333</v>
      </c>
      <c r="H370" s="171"/>
      <c r="I370" s="171"/>
      <c r="J370" s="171">
        <f>G370</f>
        <v>69583.33333333333</v>
      </c>
      <c r="K370" s="171"/>
      <c r="L370" s="171"/>
      <c r="M370" s="171"/>
      <c r="N370" s="171">
        <f>N366/N368</f>
        <v>73083.33333333333</v>
      </c>
      <c r="O370" s="171"/>
      <c r="P370" s="171">
        <f>N370</f>
        <v>73083.33333333333</v>
      </c>
      <c r="EB370" s="69"/>
      <c r="EC370" s="69"/>
      <c r="ED370" s="69"/>
      <c r="EE370" s="69"/>
      <c r="EF370" s="69"/>
      <c r="EG370" s="69"/>
    </row>
    <row r="371" spans="1:137" s="68" customFormat="1" ht="42.75" customHeight="1">
      <c r="A371" s="281" t="s">
        <v>36</v>
      </c>
      <c r="B371" s="104"/>
      <c r="C371" s="104"/>
      <c r="D371" s="170">
        <f>D373</f>
        <v>110000</v>
      </c>
      <c r="E371" s="170"/>
      <c r="F371" s="170">
        <f>D371</f>
        <v>110000</v>
      </c>
      <c r="G371" s="170">
        <f>G373</f>
        <v>167700</v>
      </c>
      <c r="H371" s="170"/>
      <c r="I371" s="170"/>
      <c r="J371" s="170">
        <f>G371</f>
        <v>167700</v>
      </c>
      <c r="K371" s="170"/>
      <c r="L371" s="170"/>
      <c r="M371" s="170"/>
      <c r="N371" s="170">
        <f>N373</f>
        <v>176100</v>
      </c>
      <c r="O371" s="170"/>
      <c r="P371" s="170">
        <f>N371</f>
        <v>176100</v>
      </c>
      <c r="EB371" s="69"/>
      <c r="EC371" s="69"/>
      <c r="ED371" s="69"/>
      <c r="EE371" s="69"/>
      <c r="EF371" s="69"/>
      <c r="EG371" s="69"/>
    </row>
    <row r="372" spans="1:137" s="68" customFormat="1" ht="12.75">
      <c r="A372" s="143" t="s">
        <v>261</v>
      </c>
      <c r="B372" s="104"/>
      <c r="C372" s="104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EB372" s="69"/>
      <c r="EC372" s="69"/>
      <c r="ED372" s="69"/>
      <c r="EE372" s="69"/>
      <c r="EF372" s="69"/>
      <c r="EG372" s="69"/>
    </row>
    <row r="373" spans="1:137" s="68" customFormat="1" ht="45.75" customHeight="1">
      <c r="A373" s="148" t="s">
        <v>510</v>
      </c>
      <c r="B373" s="104"/>
      <c r="C373" s="104"/>
      <c r="D373" s="171">
        <f>159300-49300</f>
        <v>110000</v>
      </c>
      <c r="E373" s="171"/>
      <c r="F373" s="171">
        <f>D373</f>
        <v>110000</v>
      </c>
      <c r="G373" s="171">
        <v>167700</v>
      </c>
      <c r="H373" s="171"/>
      <c r="I373" s="171"/>
      <c r="J373" s="171">
        <f>G373</f>
        <v>167700</v>
      </c>
      <c r="K373" s="171"/>
      <c r="L373" s="171"/>
      <c r="M373" s="171"/>
      <c r="N373" s="171">
        <v>176100</v>
      </c>
      <c r="O373" s="171"/>
      <c r="P373" s="171">
        <f>N373</f>
        <v>176100</v>
      </c>
      <c r="EB373" s="69"/>
      <c r="EC373" s="69"/>
      <c r="ED373" s="69"/>
      <c r="EE373" s="69"/>
      <c r="EF373" s="69"/>
      <c r="EG373" s="69"/>
    </row>
    <row r="374" spans="1:137" s="68" customFormat="1" ht="12.75">
      <c r="A374" s="149" t="s">
        <v>426</v>
      </c>
      <c r="B374" s="104"/>
      <c r="C374" s="104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EB374" s="69"/>
      <c r="EC374" s="69"/>
      <c r="ED374" s="69"/>
      <c r="EE374" s="69"/>
      <c r="EF374" s="69"/>
      <c r="EG374" s="69"/>
    </row>
    <row r="375" spans="1:137" s="68" customFormat="1" ht="38.25" customHeight="1">
      <c r="A375" s="148" t="s">
        <v>150</v>
      </c>
      <c r="B375" s="104"/>
      <c r="C375" s="104"/>
      <c r="D375" s="171">
        <v>12</v>
      </c>
      <c r="E375" s="171"/>
      <c r="F375" s="171">
        <f>D375</f>
        <v>12</v>
      </c>
      <c r="G375" s="171">
        <v>12</v>
      </c>
      <c r="H375" s="171"/>
      <c r="I375" s="171"/>
      <c r="J375" s="171">
        <f>G375</f>
        <v>12</v>
      </c>
      <c r="K375" s="171"/>
      <c r="L375" s="171"/>
      <c r="M375" s="171"/>
      <c r="N375" s="171">
        <v>12</v>
      </c>
      <c r="O375" s="171"/>
      <c r="P375" s="171">
        <f>N375</f>
        <v>12</v>
      </c>
      <c r="EB375" s="69"/>
      <c r="EC375" s="69"/>
      <c r="ED375" s="69"/>
      <c r="EE375" s="69"/>
      <c r="EF375" s="69"/>
      <c r="EG375" s="69"/>
    </row>
    <row r="376" spans="1:137" s="68" customFormat="1" ht="12.75">
      <c r="A376" s="149" t="s">
        <v>388</v>
      </c>
      <c r="B376" s="104"/>
      <c r="C376" s="104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EB376" s="69"/>
      <c r="EC376" s="69"/>
      <c r="ED376" s="69"/>
      <c r="EE376" s="69"/>
      <c r="EF376" s="69"/>
      <c r="EG376" s="69"/>
    </row>
    <row r="377" spans="1:137" s="68" customFormat="1" ht="39.75" customHeight="1">
      <c r="A377" s="153" t="s">
        <v>511</v>
      </c>
      <c r="B377" s="104"/>
      <c r="C377" s="104"/>
      <c r="D377" s="171">
        <f>D373/D375</f>
        <v>9166.666666666666</v>
      </c>
      <c r="E377" s="171"/>
      <c r="F377" s="171">
        <f>D377</f>
        <v>9166.666666666666</v>
      </c>
      <c r="G377" s="171">
        <f>G373/G375</f>
        <v>13975</v>
      </c>
      <c r="H377" s="171"/>
      <c r="I377" s="171"/>
      <c r="J377" s="171">
        <f>G377</f>
        <v>13975</v>
      </c>
      <c r="K377" s="171"/>
      <c r="L377" s="171"/>
      <c r="M377" s="171"/>
      <c r="N377" s="171">
        <f>N373/N375</f>
        <v>14675</v>
      </c>
      <c r="O377" s="171"/>
      <c r="P377" s="171">
        <f>N377</f>
        <v>14675</v>
      </c>
      <c r="EB377" s="69"/>
      <c r="EC377" s="69"/>
      <c r="ED377" s="69"/>
      <c r="EE377" s="69"/>
      <c r="EF377" s="69"/>
      <c r="EG377" s="69"/>
    </row>
    <row r="378" spans="1:137" s="68" customFormat="1" ht="27">
      <c r="A378" s="147" t="s">
        <v>72</v>
      </c>
      <c r="B378" s="104"/>
      <c r="C378" s="104"/>
      <c r="D378" s="170">
        <f>D380</f>
        <v>0</v>
      </c>
      <c r="E378" s="170"/>
      <c r="F378" s="170">
        <f>D378</f>
        <v>0</v>
      </c>
      <c r="G378" s="170">
        <f>G380</f>
        <v>84200</v>
      </c>
      <c r="H378" s="170"/>
      <c r="I378" s="170"/>
      <c r="J378" s="170">
        <f>G378</f>
        <v>84200</v>
      </c>
      <c r="K378" s="170"/>
      <c r="L378" s="170"/>
      <c r="M378" s="170"/>
      <c r="N378" s="170">
        <f>N380</f>
        <v>88400</v>
      </c>
      <c r="O378" s="170"/>
      <c r="P378" s="170">
        <f>N378</f>
        <v>88400</v>
      </c>
      <c r="EB378" s="69"/>
      <c r="EC378" s="69"/>
      <c r="ED378" s="69"/>
      <c r="EE378" s="69"/>
      <c r="EF378" s="69"/>
      <c r="EG378" s="69"/>
    </row>
    <row r="379" spans="1:137" s="68" customFormat="1" ht="18" customHeight="1">
      <c r="A379" s="143" t="s">
        <v>261</v>
      </c>
      <c r="B379" s="104"/>
      <c r="C379" s="104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EB379" s="69"/>
      <c r="EC379" s="69"/>
      <c r="ED379" s="69"/>
      <c r="EE379" s="69"/>
      <c r="EF379" s="69"/>
      <c r="EG379" s="69"/>
    </row>
    <row r="380" spans="1:137" s="68" customFormat="1" ht="26.25" customHeight="1">
      <c r="A380" s="148" t="s">
        <v>59</v>
      </c>
      <c r="B380" s="104"/>
      <c r="C380" s="104"/>
      <c r="D380" s="171">
        <f>79400-79400</f>
        <v>0</v>
      </c>
      <c r="E380" s="171"/>
      <c r="F380" s="171">
        <f>D380</f>
        <v>0</v>
      </c>
      <c r="G380" s="171">
        <v>84200</v>
      </c>
      <c r="H380" s="171"/>
      <c r="I380" s="171"/>
      <c r="J380" s="171">
        <f>G380</f>
        <v>84200</v>
      </c>
      <c r="K380" s="171"/>
      <c r="L380" s="171"/>
      <c r="M380" s="171"/>
      <c r="N380" s="171">
        <v>88400</v>
      </c>
      <c r="O380" s="171"/>
      <c r="P380" s="171">
        <f>N380</f>
        <v>88400</v>
      </c>
      <c r="EB380" s="69"/>
      <c r="EC380" s="69"/>
      <c r="ED380" s="69"/>
      <c r="EE380" s="69"/>
      <c r="EF380" s="69"/>
      <c r="EG380" s="69"/>
    </row>
    <row r="381" spans="1:137" s="68" customFormat="1" ht="15.75" customHeight="1">
      <c r="A381" s="149" t="s">
        <v>426</v>
      </c>
      <c r="B381" s="104"/>
      <c r="C381" s="104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EB381" s="69"/>
      <c r="EC381" s="69"/>
      <c r="ED381" s="69"/>
      <c r="EE381" s="69"/>
      <c r="EF381" s="69"/>
      <c r="EG381" s="69"/>
    </row>
    <row r="382" spans="1:137" s="68" customFormat="1" ht="32.25" customHeight="1">
      <c r="A382" s="148" t="s">
        <v>151</v>
      </c>
      <c r="B382" s="104"/>
      <c r="C382" s="104"/>
      <c r="D382" s="179" t="e">
        <f>D380/D384</f>
        <v>#DIV/0!</v>
      </c>
      <c r="E382" s="171"/>
      <c r="F382" s="179" t="e">
        <f>D382</f>
        <v>#DIV/0!</v>
      </c>
      <c r="G382" s="179">
        <f>G380/G384</f>
        <v>24405.797101449272</v>
      </c>
      <c r="H382" s="179"/>
      <c r="I382" s="179"/>
      <c r="J382" s="179">
        <f>G382</f>
        <v>24405.797101449272</v>
      </c>
      <c r="K382" s="179"/>
      <c r="L382" s="179"/>
      <c r="M382" s="179"/>
      <c r="N382" s="179">
        <f>N380/N384</f>
        <v>24219.178082191782</v>
      </c>
      <c r="O382" s="179"/>
      <c r="P382" s="179">
        <f>N382</f>
        <v>24219.178082191782</v>
      </c>
      <c r="EB382" s="69"/>
      <c r="EC382" s="69"/>
      <c r="ED382" s="69"/>
      <c r="EE382" s="69"/>
      <c r="EF382" s="69"/>
      <c r="EG382" s="69"/>
    </row>
    <row r="383" spans="1:137" s="68" customFormat="1" ht="16.5" customHeight="1">
      <c r="A383" s="149" t="s">
        <v>388</v>
      </c>
      <c r="B383" s="104"/>
      <c r="C383" s="104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EB383" s="69"/>
      <c r="EC383" s="69"/>
      <c r="ED383" s="69"/>
      <c r="EE383" s="69"/>
      <c r="EF383" s="69"/>
      <c r="EG383" s="69"/>
    </row>
    <row r="384" spans="1:137" s="68" customFormat="1" ht="27.75" customHeight="1">
      <c r="A384" s="148" t="s">
        <v>60</v>
      </c>
      <c r="B384" s="104"/>
      <c r="C384" s="104"/>
      <c r="D384" s="171">
        <v>0</v>
      </c>
      <c r="E384" s="171"/>
      <c r="F384" s="171">
        <f>D384</f>
        <v>0</v>
      </c>
      <c r="G384" s="171">
        <v>3.45</v>
      </c>
      <c r="H384" s="171"/>
      <c r="I384" s="171"/>
      <c r="J384" s="171">
        <f>G384</f>
        <v>3.45</v>
      </c>
      <c r="K384" s="171"/>
      <c r="L384" s="171"/>
      <c r="M384" s="171"/>
      <c r="N384" s="171">
        <v>3.65</v>
      </c>
      <c r="O384" s="171"/>
      <c r="P384" s="171">
        <f>N384</f>
        <v>3.65</v>
      </c>
      <c r="EB384" s="69"/>
      <c r="EC384" s="69"/>
      <c r="ED384" s="69"/>
      <c r="EE384" s="69"/>
      <c r="EF384" s="69"/>
      <c r="EG384" s="69"/>
    </row>
    <row r="385" spans="1:137" s="59" customFormat="1" ht="13.5">
      <c r="A385" s="147" t="s">
        <v>61</v>
      </c>
      <c r="B385" s="169"/>
      <c r="C385" s="169"/>
      <c r="D385" s="170">
        <f>D386*D389+D387*D390-0.04</f>
        <v>2199200</v>
      </c>
      <c r="E385" s="170">
        <f>E386*E389+E387*E390</f>
        <v>0</v>
      </c>
      <c r="F385" s="170">
        <f>D385</f>
        <v>2199200</v>
      </c>
      <c r="G385" s="170">
        <f>G386*G389+G387*G390</f>
        <v>4072099.9952</v>
      </c>
      <c r="H385" s="170">
        <f>H386*H389+H387*H390</f>
        <v>0</v>
      </c>
      <c r="I385" s="170">
        <v>0</v>
      </c>
      <c r="J385" s="170">
        <f>G385+H385</f>
        <v>4072099.9952</v>
      </c>
      <c r="K385" s="170" t="e">
        <f>(K386*K389)+(K387*K390)+(#REF!*#REF!)</f>
        <v>#REF!</v>
      </c>
      <c r="L385" s="170" t="e">
        <f>(L386*L389)+(L387*L390)+(#REF!*#REF!)</f>
        <v>#REF!</v>
      </c>
      <c r="M385" s="170" t="e">
        <f>(M386*M389)+(M387*M390)+(#REF!*#REF!)</f>
        <v>#REF!</v>
      </c>
      <c r="N385" s="170">
        <f>N386*N389+N387*N390</f>
        <v>4275705.04</v>
      </c>
      <c r="O385" s="170">
        <f>O386*O389+O387*O390</f>
        <v>0</v>
      </c>
      <c r="P385" s="170">
        <f>N385+O385</f>
        <v>4275705.04</v>
      </c>
      <c r="Q385" s="48" t="e">
        <f>(Q386*Q389)+(Q387*Q390)+(#REF!*#REF!)</f>
        <v>#REF!</v>
      </c>
      <c r="EB385" s="50"/>
      <c r="EC385" s="50"/>
      <c r="ED385" s="50"/>
      <c r="EE385" s="50"/>
      <c r="EF385" s="50"/>
      <c r="EG385" s="50"/>
    </row>
    <row r="386" spans="1:137" s="68" customFormat="1" ht="12.75">
      <c r="A386" s="148" t="s">
        <v>240</v>
      </c>
      <c r="B386" s="172"/>
      <c r="C386" s="172"/>
      <c r="D386" s="171">
        <v>8</v>
      </c>
      <c r="E386" s="171"/>
      <c r="F386" s="171">
        <f>D386+E386</f>
        <v>8</v>
      </c>
      <c r="G386" s="171">
        <v>8</v>
      </c>
      <c r="H386" s="171"/>
      <c r="I386" s="171"/>
      <c r="J386" s="171">
        <f>G386+H386</f>
        <v>8</v>
      </c>
      <c r="K386" s="171"/>
      <c r="L386" s="171"/>
      <c r="M386" s="171"/>
      <c r="N386" s="171">
        <v>8</v>
      </c>
      <c r="O386" s="171"/>
      <c r="P386" s="171">
        <f>N386+O386</f>
        <v>8</v>
      </c>
      <c r="EB386" s="69"/>
      <c r="EC386" s="69"/>
      <c r="ED386" s="69"/>
      <c r="EE386" s="69"/>
      <c r="EF386" s="69"/>
      <c r="EG386" s="69"/>
    </row>
    <row r="387" spans="1:137" s="68" customFormat="1" ht="22.5" customHeight="1">
      <c r="A387" s="148" t="s">
        <v>241</v>
      </c>
      <c r="B387" s="172"/>
      <c r="C387" s="172"/>
      <c r="D387" s="171">
        <v>5</v>
      </c>
      <c r="E387" s="171"/>
      <c r="F387" s="171">
        <f>D387+E387</f>
        <v>5</v>
      </c>
      <c r="G387" s="171">
        <f>D387</f>
        <v>5</v>
      </c>
      <c r="H387" s="171"/>
      <c r="I387" s="171"/>
      <c r="J387" s="171">
        <f>G387+H387</f>
        <v>5</v>
      </c>
      <c r="K387" s="171"/>
      <c r="L387" s="171"/>
      <c r="M387" s="171"/>
      <c r="N387" s="171">
        <v>5</v>
      </c>
      <c r="O387" s="171"/>
      <c r="P387" s="171">
        <f>N387+O387</f>
        <v>5</v>
      </c>
      <c r="EB387" s="69"/>
      <c r="EC387" s="69"/>
      <c r="ED387" s="69"/>
      <c r="EE387" s="69"/>
      <c r="EF387" s="69"/>
      <c r="EG387" s="69"/>
    </row>
    <row r="388" spans="1:137" s="68" customFormat="1" ht="12" customHeight="1">
      <c r="A388" s="149" t="s">
        <v>191</v>
      </c>
      <c r="B388" s="168"/>
      <c r="C388" s="168"/>
      <c r="D388" s="178"/>
      <c r="E388" s="178"/>
      <c r="F388" s="171"/>
      <c r="G388" s="178"/>
      <c r="H388" s="178"/>
      <c r="I388" s="171"/>
      <c r="J388" s="171"/>
      <c r="K388" s="171"/>
      <c r="L388" s="171"/>
      <c r="M388" s="171"/>
      <c r="N388" s="178"/>
      <c r="O388" s="178"/>
      <c r="P388" s="171"/>
      <c r="EB388" s="69"/>
      <c r="EC388" s="69"/>
      <c r="ED388" s="69"/>
      <c r="EE388" s="69"/>
      <c r="EF388" s="69"/>
      <c r="EG388" s="69"/>
    </row>
    <row r="389" spans="1:137" s="68" customFormat="1" ht="22.5" customHeight="1">
      <c r="A389" s="148" t="s">
        <v>512</v>
      </c>
      <c r="B389" s="172"/>
      <c r="C389" s="172"/>
      <c r="D389" s="171">
        <v>162290.63</v>
      </c>
      <c r="E389" s="171"/>
      <c r="F389" s="171">
        <f>D389+E389</f>
        <v>162290.63</v>
      </c>
      <c r="G389" s="171">
        <v>321687.3119</v>
      </c>
      <c r="H389" s="171"/>
      <c r="I389" s="171"/>
      <c r="J389" s="171">
        <f>G389+H389</f>
        <v>321687.3119</v>
      </c>
      <c r="K389" s="171"/>
      <c r="L389" s="171"/>
      <c r="M389" s="171"/>
      <c r="N389" s="171">
        <v>337771.68</v>
      </c>
      <c r="O389" s="171"/>
      <c r="P389" s="171">
        <f>N389+O389</f>
        <v>337771.68</v>
      </c>
      <c r="EB389" s="69"/>
      <c r="EC389" s="69"/>
      <c r="ED389" s="69"/>
      <c r="EE389" s="69"/>
      <c r="EF389" s="69"/>
      <c r="EG389" s="69"/>
    </row>
    <row r="390" spans="1:137" s="68" customFormat="1" ht="22.5" customHeight="1">
      <c r="A390" s="148" t="s">
        <v>513</v>
      </c>
      <c r="B390" s="172"/>
      <c r="C390" s="172"/>
      <c r="D390" s="171">
        <v>180175</v>
      </c>
      <c r="E390" s="171"/>
      <c r="F390" s="171">
        <f>D390+E390</f>
        <v>180175</v>
      </c>
      <c r="G390" s="171">
        <v>299720.3</v>
      </c>
      <c r="H390" s="171"/>
      <c r="I390" s="171"/>
      <c r="J390" s="171">
        <f>G390+H390</f>
        <v>299720.3</v>
      </c>
      <c r="K390" s="171"/>
      <c r="L390" s="171"/>
      <c r="M390" s="171"/>
      <c r="N390" s="171">
        <v>314706.32</v>
      </c>
      <c r="O390" s="171"/>
      <c r="P390" s="171">
        <f>N390+O390</f>
        <v>314706.32</v>
      </c>
      <c r="EB390" s="69"/>
      <c r="EC390" s="69"/>
      <c r="ED390" s="69"/>
      <c r="EE390" s="69"/>
      <c r="EF390" s="69"/>
      <c r="EG390" s="69"/>
    </row>
    <row r="391" spans="1:137" s="68" customFormat="1" ht="12.75">
      <c r="A391" s="149" t="s">
        <v>190</v>
      </c>
      <c r="B391" s="172"/>
      <c r="C391" s="172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EB391" s="69"/>
      <c r="EC391" s="69"/>
      <c r="ED391" s="69"/>
      <c r="EE391" s="69"/>
      <c r="EF391" s="69"/>
      <c r="EG391" s="69"/>
    </row>
    <row r="392" spans="1:137" s="68" customFormat="1" ht="28.5" customHeight="1">
      <c r="A392" s="148" t="s">
        <v>242</v>
      </c>
      <c r="B392" s="172"/>
      <c r="C392" s="172"/>
      <c r="D392" s="171"/>
      <c r="E392" s="171"/>
      <c r="F392" s="171">
        <f>D392+E392</f>
        <v>0</v>
      </c>
      <c r="G392" s="171">
        <f>G389/F389*100</f>
        <v>198.2168113464098</v>
      </c>
      <c r="H392" s="171"/>
      <c r="I392" s="171"/>
      <c r="J392" s="171">
        <f>G392+H392</f>
        <v>198.2168113464098</v>
      </c>
      <c r="K392" s="171"/>
      <c r="L392" s="171"/>
      <c r="M392" s="171"/>
      <c r="N392" s="171">
        <f>N389/J389*100</f>
        <v>105.00000077870651</v>
      </c>
      <c r="O392" s="171"/>
      <c r="P392" s="171">
        <f>N392+O392</f>
        <v>105.00000077870651</v>
      </c>
      <c r="EB392" s="69"/>
      <c r="EC392" s="69"/>
      <c r="ED392" s="69"/>
      <c r="EE392" s="69"/>
      <c r="EF392" s="69"/>
      <c r="EG392" s="69"/>
    </row>
    <row r="393" spans="1:137" s="68" customFormat="1" ht="30" customHeight="1">
      <c r="A393" s="148" t="s">
        <v>243</v>
      </c>
      <c r="B393" s="172"/>
      <c r="C393" s="172"/>
      <c r="D393" s="171"/>
      <c r="E393" s="171"/>
      <c r="F393" s="171">
        <f>D393+E393</f>
        <v>0</v>
      </c>
      <c r="G393" s="171">
        <f>G390/D390*100</f>
        <v>166.34954904953517</v>
      </c>
      <c r="H393" s="171"/>
      <c r="I393" s="171"/>
      <c r="J393" s="171">
        <f>G393+H393</f>
        <v>166.34954904953517</v>
      </c>
      <c r="K393" s="171"/>
      <c r="L393" s="171"/>
      <c r="M393" s="171"/>
      <c r="N393" s="171">
        <f>N390/G390*100</f>
        <v>105.00000166822201</v>
      </c>
      <c r="O393" s="171"/>
      <c r="P393" s="171">
        <f>N393+O393</f>
        <v>105.00000166822201</v>
      </c>
      <c r="EB393" s="69"/>
      <c r="EC393" s="69"/>
      <c r="ED393" s="69"/>
      <c r="EE393" s="69"/>
      <c r="EF393" s="69"/>
      <c r="EG393" s="69"/>
    </row>
    <row r="394" spans="1:137" s="43" customFormat="1" ht="13.5">
      <c r="A394" s="147" t="s">
        <v>37</v>
      </c>
      <c r="B394" s="172"/>
      <c r="C394" s="172"/>
      <c r="D394" s="170">
        <f>D396</f>
        <v>1636600</v>
      </c>
      <c r="E394" s="170"/>
      <c r="F394" s="170">
        <f>D394</f>
        <v>1636600</v>
      </c>
      <c r="G394" s="170">
        <f>G396</f>
        <v>2289700</v>
      </c>
      <c r="H394" s="170"/>
      <c r="I394" s="170"/>
      <c r="J394" s="170">
        <f>G394</f>
        <v>2289700</v>
      </c>
      <c r="K394" s="170"/>
      <c r="L394" s="170"/>
      <c r="M394" s="170"/>
      <c r="N394" s="170">
        <f>N396</f>
        <v>2404200</v>
      </c>
      <c r="O394" s="170"/>
      <c r="P394" s="170">
        <f>N394</f>
        <v>2404200</v>
      </c>
      <c r="EB394" s="44"/>
      <c r="EC394" s="44"/>
      <c r="ED394" s="44"/>
      <c r="EE394" s="44"/>
      <c r="EF394" s="44"/>
      <c r="EG394" s="44"/>
    </row>
    <row r="395" spans="1:137" s="68" customFormat="1" ht="19.5" customHeight="1">
      <c r="A395" s="143" t="s">
        <v>261</v>
      </c>
      <c r="B395" s="104"/>
      <c r="C395" s="104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EB395" s="69"/>
      <c r="EC395" s="69"/>
      <c r="ED395" s="69"/>
      <c r="EE395" s="69"/>
      <c r="EF395" s="69"/>
      <c r="EG395" s="69"/>
    </row>
    <row r="396" spans="1:137" s="68" customFormat="1" ht="29.25" customHeight="1">
      <c r="A396" s="148" t="s">
        <v>516</v>
      </c>
      <c r="B396" s="104"/>
      <c r="C396" s="104"/>
      <c r="D396" s="171">
        <f>2216400-579800</f>
        <v>1636600</v>
      </c>
      <c r="E396" s="171"/>
      <c r="F396" s="171">
        <f>D396</f>
        <v>1636600</v>
      </c>
      <c r="G396" s="171">
        <v>2289700</v>
      </c>
      <c r="H396" s="171"/>
      <c r="I396" s="171"/>
      <c r="J396" s="171">
        <f>G396</f>
        <v>2289700</v>
      </c>
      <c r="K396" s="171"/>
      <c r="L396" s="171"/>
      <c r="M396" s="171"/>
      <c r="N396" s="171">
        <v>2404200</v>
      </c>
      <c r="O396" s="171"/>
      <c r="P396" s="171">
        <f>N396</f>
        <v>2404200</v>
      </c>
      <c r="EB396" s="69"/>
      <c r="EC396" s="69"/>
      <c r="ED396" s="69"/>
      <c r="EE396" s="69"/>
      <c r="EF396" s="69"/>
      <c r="EG396" s="69"/>
    </row>
    <row r="397" spans="1:137" s="68" customFormat="1" ht="12.75">
      <c r="A397" s="149" t="s">
        <v>426</v>
      </c>
      <c r="B397" s="104"/>
      <c r="C397" s="104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EB397" s="69"/>
      <c r="EC397" s="69"/>
      <c r="ED397" s="69"/>
      <c r="EE397" s="69"/>
      <c r="EF397" s="69"/>
      <c r="EG397" s="69"/>
    </row>
    <row r="398" spans="1:137" s="68" customFormat="1" ht="12.75">
      <c r="A398" s="148" t="s">
        <v>0</v>
      </c>
      <c r="B398" s="104"/>
      <c r="C398" s="104"/>
      <c r="D398" s="171">
        <v>7</v>
      </c>
      <c r="E398" s="171"/>
      <c r="F398" s="171">
        <f>D398</f>
        <v>7</v>
      </c>
      <c r="G398" s="171">
        <v>7</v>
      </c>
      <c r="H398" s="171"/>
      <c r="I398" s="171"/>
      <c r="J398" s="171">
        <f>G398</f>
        <v>7</v>
      </c>
      <c r="K398" s="171"/>
      <c r="L398" s="171"/>
      <c r="M398" s="171"/>
      <c r="N398" s="171">
        <v>7</v>
      </c>
      <c r="O398" s="171"/>
      <c r="P398" s="171">
        <f>N398</f>
        <v>7</v>
      </c>
      <c r="EB398" s="69"/>
      <c r="EC398" s="69"/>
      <c r="ED398" s="69"/>
      <c r="EE398" s="69"/>
      <c r="EF398" s="69"/>
      <c r="EG398" s="69"/>
    </row>
    <row r="399" spans="1:137" s="68" customFormat="1" ht="20.25" customHeight="1">
      <c r="A399" s="149" t="s">
        <v>388</v>
      </c>
      <c r="B399" s="104"/>
      <c r="C399" s="104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EB399" s="69"/>
      <c r="EC399" s="69"/>
      <c r="ED399" s="69"/>
      <c r="EE399" s="69"/>
      <c r="EF399" s="69"/>
      <c r="EG399" s="69"/>
    </row>
    <row r="400" spans="1:137" s="68" customFormat="1" ht="26.25" customHeight="1">
      <c r="A400" s="148" t="s">
        <v>517</v>
      </c>
      <c r="B400" s="104"/>
      <c r="C400" s="104"/>
      <c r="D400" s="171">
        <f>D396/D398</f>
        <v>233800</v>
      </c>
      <c r="E400" s="171"/>
      <c r="F400" s="171">
        <f>D400</f>
        <v>233800</v>
      </c>
      <c r="G400" s="171">
        <f>G396/G398</f>
        <v>327100</v>
      </c>
      <c r="H400" s="171"/>
      <c r="I400" s="171"/>
      <c r="J400" s="171">
        <f>G400</f>
        <v>327100</v>
      </c>
      <c r="K400" s="171"/>
      <c r="L400" s="171"/>
      <c r="M400" s="171"/>
      <c r="N400" s="171">
        <f>N396/N398</f>
        <v>343457.14285714284</v>
      </c>
      <c r="O400" s="171"/>
      <c r="P400" s="171">
        <f>N400</f>
        <v>343457.14285714284</v>
      </c>
      <c r="EB400" s="69"/>
      <c r="EC400" s="69"/>
      <c r="ED400" s="69"/>
      <c r="EE400" s="69"/>
      <c r="EF400" s="69"/>
      <c r="EG400" s="69"/>
    </row>
    <row r="401" spans="1:137" s="68" customFormat="1" ht="16.5" customHeight="1">
      <c r="A401" s="149" t="s">
        <v>515</v>
      </c>
      <c r="B401" s="104"/>
      <c r="C401" s="104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EB401" s="69"/>
      <c r="EC401" s="69"/>
      <c r="ED401" s="69"/>
      <c r="EE401" s="69"/>
      <c r="EF401" s="69"/>
      <c r="EG401" s="69"/>
    </row>
    <row r="402" spans="1:137" s="68" customFormat="1" ht="33" customHeight="1">
      <c r="A402" s="148" t="s">
        <v>518</v>
      </c>
      <c r="B402" s="104"/>
      <c r="C402" s="104"/>
      <c r="D402" s="171"/>
      <c r="E402" s="171"/>
      <c r="F402" s="171"/>
      <c r="G402" s="171">
        <f>G400/D400*100</f>
        <v>139.9059024807528</v>
      </c>
      <c r="H402" s="171"/>
      <c r="I402" s="171"/>
      <c r="J402" s="171">
        <f>G402</f>
        <v>139.9059024807528</v>
      </c>
      <c r="K402" s="171"/>
      <c r="L402" s="171"/>
      <c r="M402" s="171"/>
      <c r="N402" s="171">
        <f>N400/G400*100</f>
        <v>105.00065510765602</v>
      </c>
      <c r="O402" s="171"/>
      <c r="P402" s="171">
        <f>N402</f>
        <v>105.00065510765602</v>
      </c>
      <c r="EB402" s="69"/>
      <c r="EC402" s="69"/>
      <c r="ED402" s="69"/>
      <c r="EE402" s="69"/>
      <c r="EF402" s="69"/>
      <c r="EG402" s="69"/>
    </row>
    <row r="403" spans="1:137" s="68" customFormat="1" ht="21" customHeight="1">
      <c r="A403" s="147" t="s">
        <v>38</v>
      </c>
      <c r="B403" s="104"/>
      <c r="C403" s="104"/>
      <c r="D403" s="170">
        <f>D405</f>
        <v>510000</v>
      </c>
      <c r="E403" s="170"/>
      <c r="F403" s="170">
        <f>D403</f>
        <v>510000</v>
      </c>
      <c r="G403" s="170">
        <f>G405</f>
        <v>600000</v>
      </c>
      <c r="H403" s="170"/>
      <c r="I403" s="170"/>
      <c r="J403" s="170">
        <f>G403</f>
        <v>600000</v>
      </c>
      <c r="K403" s="170"/>
      <c r="L403" s="170"/>
      <c r="M403" s="170"/>
      <c r="N403" s="170">
        <f>N405</f>
        <v>630000</v>
      </c>
      <c r="O403" s="170"/>
      <c r="P403" s="170">
        <f>N403</f>
        <v>630000</v>
      </c>
      <c r="EB403" s="69"/>
      <c r="EC403" s="69"/>
      <c r="ED403" s="69"/>
      <c r="EE403" s="69"/>
      <c r="EF403" s="69"/>
      <c r="EG403" s="69"/>
    </row>
    <row r="404" spans="1:137" s="68" customFormat="1" ht="16.5" customHeight="1">
      <c r="A404" s="143" t="s">
        <v>261</v>
      </c>
      <c r="B404" s="104"/>
      <c r="C404" s="104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EB404" s="69"/>
      <c r="EC404" s="69"/>
      <c r="ED404" s="69"/>
      <c r="EE404" s="69"/>
      <c r="EF404" s="69"/>
      <c r="EG404" s="69"/>
    </row>
    <row r="405" spans="1:137" s="68" customFormat="1" ht="17.25" customHeight="1">
      <c r="A405" s="148" t="s">
        <v>1</v>
      </c>
      <c r="B405" s="104"/>
      <c r="C405" s="104"/>
      <c r="D405" s="171">
        <f>550000-40000</f>
        <v>510000</v>
      </c>
      <c r="E405" s="171"/>
      <c r="F405" s="171">
        <f>D405</f>
        <v>510000</v>
      </c>
      <c r="G405" s="171">
        <v>600000</v>
      </c>
      <c r="H405" s="171"/>
      <c r="I405" s="171"/>
      <c r="J405" s="171">
        <f>G405</f>
        <v>600000</v>
      </c>
      <c r="K405" s="171"/>
      <c r="L405" s="171"/>
      <c r="M405" s="171"/>
      <c r="N405" s="171">
        <v>630000</v>
      </c>
      <c r="O405" s="171"/>
      <c r="P405" s="171">
        <f>N405</f>
        <v>630000</v>
      </c>
      <c r="EB405" s="69"/>
      <c r="EC405" s="69"/>
      <c r="ED405" s="69"/>
      <c r="EE405" s="69"/>
      <c r="EF405" s="69"/>
      <c r="EG405" s="69"/>
    </row>
    <row r="406" spans="1:137" s="68" customFormat="1" ht="18.75" customHeight="1">
      <c r="A406" s="149" t="s">
        <v>426</v>
      </c>
      <c r="B406" s="104"/>
      <c r="C406" s="104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EB406" s="69"/>
      <c r="EC406" s="69"/>
      <c r="ED406" s="69"/>
      <c r="EE406" s="69"/>
      <c r="EF406" s="69"/>
      <c r="EG406" s="69"/>
    </row>
    <row r="407" spans="1:137" s="68" customFormat="1" ht="16.5" customHeight="1">
      <c r="A407" s="148" t="s">
        <v>4</v>
      </c>
      <c r="B407" s="104"/>
      <c r="C407" s="104"/>
      <c r="D407" s="171">
        <f>D405/D409</f>
        <v>36690.647482014385</v>
      </c>
      <c r="E407" s="171"/>
      <c r="F407" s="171">
        <f>D407</f>
        <v>36690.647482014385</v>
      </c>
      <c r="G407" s="171">
        <v>35971.22</v>
      </c>
      <c r="H407" s="171"/>
      <c r="I407" s="171"/>
      <c r="J407" s="171">
        <f>G407</f>
        <v>35971.22</v>
      </c>
      <c r="K407" s="171"/>
      <c r="L407" s="171"/>
      <c r="M407" s="171"/>
      <c r="N407" s="171">
        <v>35971.22</v>
      </c>
      <c r="O407" s="171"/>
      <c r="P407" s="171">
        <f>N407</f>
        <v>35971.22</v>
      </c>
      <c r="EB407" s="69"/>
      <c r="EC407" s="69"/>
      <c r="ED407" s="69"/>
      <c r="EE407" s="69"/>
      <c r="EF407" s="69"/>
      <c r="EG407" s="69"/>
    </row>
    <row r="408" spans="1:137" s="68" customFormat="1" ht="21" customHeight="1">
      <c r="A408" s="149" t="s">
        <v>388</v>
      </c>
      <c r="B408" s="104"/>
      <c r="C408" s="104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EB408" s="69"/>
      <c r="EC408" s="69"/>
      <c r="ED408" s="69"/>
      <c r="EE408" s="69"/>
      <c r="EF408" s="69"/>
      <c r="EG408" s="69"/>
    </row>
    <row r="409" spans="1:137" s="68" customFormat="1" ht="12.75">
      <c r="A409" s="148" t="s">
        <v>2</v>
      </c>
      <c r="B409" s="104"/>
      <c r="C409" s="104"/>
      <c r="D409" s="171">
        <v>13.9</v>
      </c>
      <c r="E409" s="171"/>
      <c r="F409" s="171">
        <f>D409</f>
        <v>13.9</v>
      </c>
      <c r="G409" s="171">
        <f>G405/G407</f>
        <v>16.680001401120116</v>
      </c>
      <c r="H409" s="171"/>
      <c r="I409" s="171"/>
      <c r="J409" s="171">
        <f>G409</f>
        <v>16.680001401120116</v>
      </c>
      <c r="K409" s="171"/>
      <c r="L409" s="171"/>
      <c r="M409" s="171"/>
      <c r="N409" s="171">
        <f>N405/N407</f>
        <v>17.514001471176122</v>
      </c>
      <c r="O409" s="171"/>
      <c r="P409" s="171">
        <f>N409</f>
        <v>17.514001471176122</v>
      </c>
      <c r="EB409" s="69"/>
      <c r="EC409" s="69"/>
      <c r="ED409" s="69"/>
      <c r="EE409" s="69"/>
      <c r="EF409" s="69"/>
      <c r="EG409" s="69"/>
    </row>
    <row r="410" spans="1:137" s="68" customFormat="1" ht="12.75">
      <c r="A410" s="149" t="s">
        <v>515</v>
      </c>
      <c r="B410" s="104"/>
      <c r="C410" s="104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EB410" s="69"/>
      <c r="EC410" s="69"/>
      <c r="ED410" s="69"/>
      <c r="EE410" s="69"/>
      <c r="EF410" s="69"/>
      <c r="EG410" s="69"/>
    </row>
    <row r="411" spans="1:137" s="68" customFormat="1" ht="29.25" customHeight="1">
      <c r="A411" s="148" t="s">
        <v>3</v>
      </c>
      <c r="B411" s="104"/>
      <c r="C411" s="104"/>
      <c r="D411" s="171"/>
      <c r="E411" s="171"/>
      <c r="F411" s="171"/>
      <c r="G411" s="171">
        <f>G409/D409*100</f>
        <v>120.00001008000083</v>
      </c>
      <c r="H411" s="171"/>
      <c r="I411" s="171"/>
      <c r="J411" s="171">
        <f>G411</f>
        <v>120.00001008000083</v>
      </c>
      <c r="K411" s="171"/>
      <c r="L411" s="171"/>
      <c r="M411" s="171"/>
      <c r="N411" s="171">
        <f>N409/G409*100</f>
        <v>105</v>
      </c>
      <c r="O411" s="171"/>
      <c r="P411" s="171">
        <f>N411</f>
        <v>105</v>
      </c>
      <c r="EB411" s="69"/>
      <c r="EC411" s="69"/>
      <c r="ED411" s="69"/>
      <c r="EE411" s="69"/>
      <c r="EF411" s="69"/>
      <c r="EG411" s="69"/>
    </row>
    <row r="412" spans="1:137" s="43" customFormat="1" ht="29.25" customHeight="1">
      <c r="A412" s="147" t="s">
        <v>39</v>
      </c>
      <c r="B412" s="172"/>
      <c r="C412" s="172"/>
      <c r="D412" s="170">
        <f>D414</f>
        <v>4569000</v>
      </c>
      <c r="E412" s="170"/>
      <c r="F412" s="170">
        <f>D412</f>
        <v>4569000</v>
      </c>
      <c r="G412" s="170">
        <f>G414</f>
        <v>2568600</v>
      </c>
      <c r="H412" s="170"/>
      <c r="I412" s="170"/>
      <c r="J412" s="170">
        <f>G412</f>
        <v>2568600</v>
      </c>
      <c r="K412" s="170"/>
      <c r="L412" s="170"/>
      <c r="M412" s="170"/>
      <c r="N412" s="170">
        <f>N414</f>
        <v>2697000</v>
      </c>
      <c r="O412" s="170"/>
      <c r="P412" s="170">
        <f>N412</f>
        <v>2697000</v>
      </c>
      <c r="EB412" s="44"/>
      <c r="EC412" s="44"/>
      <c r="ED412" s="44"/>
      <c r="EE412" s="44"/>
      <c r="EF412" s="44"/>
      <c r="EG412" s="44"/>
    </row>
    <row r="413" spans="1:137" s="68" customFormat="1" ht="12.75">
      <c r="A413" s="143" t="s">
        <v>261</v>
      </c>
      <c r="B413" s="104"/>
      <c r="C413" s="104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EB413" s="69"/>
      <c r="EC413" s="69"/>
      <c r="ED413" s="69"/>
      <c r="EE413" s="69"/>
      <c r="EF413" s="69"/>
      <c r="EG413" s="69"/>
    </row>
    <row r="414" spans="1:137" s="68" customFormat="1" ht="29.25" customHeight="1">
      <c r="A414" s="148" t="s">
        <v>5</v>
      </c>
      <c r="B414" s="104"/>
      <c r="C414" s="104"/>
      <c r="D414" s="171">
        <f>2423200+2100000+45800</f>
        <v>4569000</v>
      </c>
      <c r="E414" s="171"/>
      <c r="F414" s="171">
        <f>D414</f>
        <v>4569000</v>
      </c>
      <c r="G414" s="171">
        <v>2568600</v>
      </c>
      <c r="H414" s="171"/>
      <c r="I414" s="171"/>
      <c r="J414" s="171">
        <f>G414</f>
        <v>2568600</v>
      </c>
      <c r="K414" s="171"/>
      <c r="L414" s="171"/>
      <c r="M414" s="171"/>
      <c r="N414" s="171">
        <v>2697000</v>
      </c>
      <c r="O414" s="171"/>
      <c r="P414" s="171">
        <f>N414</f>
        <v>2697000</v>
      </c>
      <c r="EB414" s="69"/>
      <c r="EC414" s="69"/>
      <c r="ED414" s="69"/>
      <c r="EE414" s="69"/>
      <c r="EF414" s="69"/>
      <c r="EG414" s="69"/>
    </row>
    <row r="415" spans="1:137" s="68" customFormat="1" ht="12.75">
      <c r="A415" s="149" t="s">
        <v>426</v>
      </c>
      <c r="B415" s="104"/>
      <c r="C415" s="104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EB415" s="69"/>
      <c r="EC415" s="69"/>
      <c r="ED415" s="69"/>
      <c r="EE415" s="69"/>
      <c r="EF415" s="69"/>
      <c r="EG415" s="69"/>
    </row>
    <row r="416" spans="1:137" s="68" customFormat="1" ht="29.25" customHeight="1">
      <c r="A416" s="148" t="s">
        <v>6</v>
      </c>
      <c r="B416" s="104"/>
      <c r="C416" s="104"/>
      <c r="D416" s="171">
        <v>250</v>
      </c>
      <c r="E416" s="171"/>
      <c r="F416" s="171">
        <f>D416</f>
        <v>250</v>
      </c>
      <c r="G416" s="171">
        <v>186</v>
      </c>
      <c r="H416" s="171"/>
      <c r="I416" s="171"/>
      <c r="J416" s="171">
        <f>G416</f>
        <v>186</v>
      </c>
      <c r="K416" s="171"/>
      <c r="L416" s="171"/>
      <c r="M416" s="171"/>
      <c r="N416" s="171">
        <v>186</v>
      </c>
      <c r="O416" s="171"/>
      <c r="P416" s="171">
        <f>N416</f>
        <v>186</v>
      </c>
      <c r="EB416" s="69"/>
      <c r="EC416" s="69"/>
      <c r="ED416" s="69"/>
      <c r="EE416" s="69"/>
      <c r="EF416" s="69"/>
      <c r="EG416" s="69"/>
    </row>
    <row r="417" spans="1:137" s="68" customFormat="1" ht="12.75">
      <c r="A417" s="149" t="s">
        <v>388</v>
      </c>
      <c r="B417" s="104"/>
      <c r="C417" s="104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EB417" s="69"/>
      <c r="EC417" s="69"/>
      <c r="ED417" s="69"/>
      <c r="EE417" s="69"/>
      <c r="EF417" s="69"/>
      <c r="EG417" s="69"/>
    </row>
    <row r="418" spans="1:137" s="68" customFormat="1" ht="29.25" customHeight="1">
      <c r="A418" s="148" t="s">
        <v>7</v>
      </c>
      <c r="B418" s="104"/>
      <c r="C418" s="104"/>
      <c r="D418" s="171">
        <f>D414/D416</f>
        <v>18276</v>
      </c>
      <c r="E418" s="171"/>
      <c r="F418" s="171">
        <f>D418</f>
        <v>18276</v>
      </c>
      <c r="G418" s="171">
        <f>G414/G416</f>
        <v>13809.677419354839</v>
      </c>
      <c r="H418" s="171"/>
      <c r="I418" s="171"/>
      <c r="J418" s="171">
        <f>G418</f>
        <v>13809.677419354839</v>
      </c>
      <c r="K418" s="171"/>
      <c r="L418" s="171"/>
      <c r="M418" s="171"/>
      <c r="N418" s="171">
        <f>N414/N416</f>
        <v>14500</v>
      </c>
      <c r="O418" s="171"/>
      <c r="P418" s="171">
        <f>N418</f>
        <v>14500</v>
      </c>
      <c r="EB418" s="69"/>
      <c r="EC418" s="69"/>
      <c r="ED418" s="69"/>
      <c r="EE418" s="69"/>
      <c r="EF418" s="69"/>
      <c r="EG418" s="69"/>
    </row>
    <row r="419" spans="1:137" s="68" customFormat="1" ht="12.75">
      <c r="A419" s="149" t="s">
        <v>515</v>
      </c>
      <c r="B419" s="104"/>
      <c r="C419" s="104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EB419" s="69"/>
      <c r="EC419" s="69"/>
      <c r="ED419" s="69"/>
      <c r="EE419" s="69"/>
      <c r="EF419" s="69"/>
      <c r="EG419" s="69"/>
    </row>
    <row r="420" spans="1:137" s="68" customFormat="1" ht="42" customHeight="1">
      <c r="A420" s="148" t="s">
        <v>8</v>
      </c>
      <c r="B420" s="104"/>
      <c r="C420" s="104"/>
      <c r="D420" s="171"/>
      <c r="E420" s="171"/>
      <c r="F420" s="171"/>
      <c r="G420" s="171">
        <f>G418/D418*100</f>
        <v>75.56181560163515</v>
      </c>
      <c r="H420" s="171"/>
      <c r="I420" s="171"/>
      <c r="J420" s="171">
        <f>G420</f>
        <v>75.56181560163515</v>
      </c>
      <c r="K420" s="171"/>
      <c r="L420" s="171"/>
      <c r="M420" s="171"/>
      <c r="N420" s="171">
        <f>N418/G418*100</f>
        <v>104.99883204858678</v>
      </c>
      <c r="O420" s="171"/>
      <c r="P420" s="171">
        <f>N420</f>
        <v>104.99883204858678</v>
      </c>
      <c r="EB420" s="69"/>
      <c r="EC420" s="69"/>
      <c r="ED420" s="69"/>
      <c r="EE420" s="69"/>
      <c r="EF420" s="69"/>
      <c r="EG420" s="69"/>
    </row>
    <row r="421" spans="1:137" s="68" customFormat="1" ht="13.5">
      <c r="A421" s="147" t="s">
        <v>62</v>
      </c>
      <c r="B421" s="104"/>
      <c r="C421" s="104"/>
      <c r="D421" s="170">
        <f>D423</f>
        <v>423000</v>
      </c>
      <c r="E421" s="170"/>
      <c r="F421" s="170">
        <f>D421</f>
        <v>423000</v>
      </c>
      <c r="G421" s="170">
        <f>G423</f>
        <v>400000</v>
      </c>
      <c r="H421" s="170"/>
      <c r="I421" s="170"/>
      <c r="J421" s="170">
        <f>G421</f>
        <v>400000</v>
      </c>
      <c r="K421" s="170"/>
      <c r="L421" s="170"/>
      <c r="M421" s="170"/>
      <c r="N421" s="170">
        <f>N423</f>
        <v>390000</v>
      </c>
      <c r="O421" s="170"/>
      <c r="P421" s="170">
        <f>N421</f>
        <v>390000</v>
      </c>
      <c r="Q421" s="43"/>
      <c r="R421" s="43"/>
      <c r="EB421" s="69"/>
      <c r="EC421" s="69"/>
      <c r="ED421" s="69"/>
      <c r="EE421" s="69"/>
      <c r="EF421" s="69"/>
      <c r="EG421" s="69"/>
    </row>
    <row r="422" spans="1:137" s="68" customFormat="1" ht="12.75">
      <c r="A422" s="143" t="s">
        <v>261</v>
      </c>
      <c r="B422" s="104"/>
      <c r="C422" s="104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EB422" s="69"/>
      <c r="EC422" s="69"/>
      <c r="ED422" s="69"/>
      <c r="EE422" s="69"/>
      <c r="EF422" s="69"/>
      <c r="EG422" s="69"/>
    </row>
    <row r="423" spans="1:137" s="68" customFormat="1" ht="21" customHeight="1">
      <c r="A423" s="148" t="s">
        <v>514</v>
      </c>
      <c r="B423" s="104"/>
      <c r="C423" s="104"/>
      <c r="D423" s="171">
        <f>350000+73000</f>
        <v>423000</v>
      </c>
      <c r="E423" s="171"/>
      <c r="F423" s="171">
        <f>D423</f>
        <v>423000</v>
      </c>
      <c r="G423" s="171">
        <f>370000+30000</f>
        <v>400000</v>
      </c>
      <c r="H423" s="171"/>
      <c r="I423" s="171"/>
      <c r="J423" s="171">
        <f>G423</f>
        <v>400000</v>
      </c>
      <c r="K423" s="171"/>
      <c r="L423" s="171"/>
      <c r="M423" s="171"/>
      <c r="N423" s="171">
        <v>390000</v>
      </c>
      <c r="O423" s="171"/>
      <c r="P423" s="171">
        <f>N423</f>
        <v>390000</v>
      </c>
      <c r="EB423" s="69"/>
      <c r="EC423" s="69"/>
      <c r="ED423" s="69"/>
      <c r="EE423" s="69"/>
      <c r="EF423" s="69"/>
      <c r="EG423" s="69"/>
    </row>
    <row r="424" spans="1:137" s="68" customFormat="1" ht="12.75">
      <c r="A424" s="149" t="s">
        <v>426</v>
      </c>
      <c r="B424" s="104"/>
      <c r="C424" s="104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EB424" s="69"/>
      <c r="EC424" s="69"/>
      <c r="ED424" s="69"/>
      <c r="EE424" s="69"/>
      <c r="EF424" s="69"/>
      <c r="EG424" s="69"/>
    </row>
    <row r="425" spans="1:137" s="68" customFormat="1" ht="23.25" customHeight="1">
      <c r="A425" s="148" t="s">
        <v>265</v>
      </c>
      <c r="B425" s="104"/>
      <c r="C425" s="104"/>
      <c r="D425" s="171">
        <v>117</v>
      </c>
      <c r="E425" s="171"/>
      <c r="F425" s="171">
        <f>D425</f>
        <v>117</v>
      </c>
      <c r="G425" s="171">
        <v>90</v>
      </c>
      <c r="H425" s="171"/>
      <c r="I425" s="171"/>
      <c r="J425" s="171">
        <f>G425</f>
        <v>90</v>
      </c>
      <c r="K425" s="171"/>
      <c r="L425" s="171"/>
      <c r="M425" s="171"/>
      <c r="N425" s="171">
        <v>85</v>
      </c>
      <c r="O425" s="171"/>
      <c r="P425" s="171">
        <f>N425</f>
        <v>85</v>
      </c>
      <c r="EB425" s="69"/>
      <c r="EC425" s="69"/>
      <c r="ED425" s="69"/>
      <c r="EE425" s="69"/>
      <c r="EF425" s="69"/>
      <c r="EG425" s="69"/>
    </row>
    <row r="426" spans="1:137" s="68" customFormat="1" ht="15.75" customHeight="1">
      <c r="A426" s="149" t="s">
        <v>388</v>
      </c>
      <c r="B426" s="104"/>
      <c r="C426" s="104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EB426" s="69"/>
      <c r="EC426" s="69"/>
      <c r="ED426" s="69"/>
      <c r="EE426" s="69"/>
      <c r="EF426" s="69"/>
      <c r="EG426" s="69"/>
    </row>
    <row r="427" spans="1:137" s="68" customFormat="1" ht="29.25" customHeight="1">
      <c r="A427" s="148" t="s">
        <v>283</v>
      </c>
      <c r="B427" s="104"/>
      <c r="C427" s="104"/>
      <c r="D427" s="171">
        <f>D423/D425</f>
        <v>3615.3846153846152</v>
      </c>
      <c r="E427" s="171"/>
      <c r="F427" s="171">
        <f>D427</f>
        <v>3615.3846153846152</v>
      </c>
      <c r="G427" s="171">
        <f>G423/G425</f>
        <v>4444.444444444444</v>
      </c>
      <c r="H427" s="171"/>
      <c r="I427" s="171"/>
      <c r="J427" s="171">
        <f>G427</f>
        <v>4444.444444444444</v>
      </c>
      <c r="K427" s="171"/>
      <c r="L427" s="171"/>
      <c r="M427" s="171"/>
      <c r="N427" s="171">
        <f>N423/N425</f>
        <v>4588.235294117647</v>
      </c>
      <c r="O427" s="171"/>
      <c r="P427" s="171">
        <f>N427</f>
        <v>4588.235294117647</v>
      </c>
      <c r="EB427" s="69"/>
      <c r="EC427" s="69"/>
      <c r="ED427" s="69"/>
      <c r="EE427" s="69"/>
      <c r="EF427" s="69"/>
      <c r="EG427" s="69"/>
    </row>
    <row r="428" spans="1:137" s="68" customFormat="1" ht="15.75" customHeight="1">
      <c r="A428" s="149" t="s">
        <v>515</v>
      </c>
      <c r="B428" s="104"/>
      <c r="C428" s="104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EB428" s="69"/>
      <c r="EC428" s="69"/>
      <c r="ED428" s="69"/>
      <c r="EE428" s="69"/>
      <c r="EF428" s="69"/>
      <c r="EG428" s="69"/>
    </row>
    <row r="429" spans="1:137" s="68" customFormat="1" ht="29.25" customHeight="1">
      <c r="A429" s="148" t="s">
        <v>299</v>
      </c>
      <c r="B429" s="104"/>
      <c r="C429" s="104"/>
      <c r="D429" s="171"/>
      <c r="E429" s="171"/>
      <c r="F429" s="171"/>
      <c r="G429" s="171">
        <f>G427/D427*100</f>
        <v>122.93144208037825</v>
      </c>
      <c r="H429" s="171"/>
      <c r="I429" s="171"/>
      <c r="J429" s="171">
        <f>G429</f>
        <v>122.93144208037825</v>
      </c>
      <c r="K429" s="171"/>
      <c r="L429" s="171"/>
      <c r="M429" s="171"/>
      <c r="N429" s="171">
        <f>N427/G427*100</f>
        <v>103.23529411764704</v>
      </c>
      <c r="O429" s="171"/>
      <c r="P429" s="171">
        <f>N429</f>
        <v>103.23529411764704</v>
      </c>
      <c r="EB429" s="69"/>
      <c r="EC429" s="69"/>
      <c r="ED429" s="69"/>
      <c r="EE429" s="69"/>
      <c r="EF429" s="69"/>
      <c r="EG429" s="69"/>
    </row>
    <row r="430" spans="1:137" s="43" customFormat="1" ht="33" customHeight="1" hidden="1">
      <c r="A430" s="147"/>
      <c r="B430" s="172"/>
      <c r="C430" s="172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EB430" s="44"/>
      <c r="EC430" s="44"/>
      <c r="ED430" s="44"/>
      <c r="EE430" s="44"/>
      <c r="EF430" s="44"/>
      <c r="EG430" s="44"/>
    </row>
    <row r="431" spans="1:137" s="68" customFormat="1" ht="23.25" customHeight="1" hidden="1">
      <c r="A431" s="143"/>
      <c r="B431" s="104"/>
      <c r="C431" s="104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EB431" s="69"/>
      <c r="EC431" s="69"/>
      <c r="ED431" s="69"/>
      <c r="EE431" s="69"/>
      <c r="EF431" s="69"/>
      <c r="EG431" s="69"/>
    </row>
    <row r="432" spans="1:137" s="68" customFormat="1" ht="37.5" customHeight="1" hidden="1">
      <c r="A432" s="148"/>
      <c r="B432" s="104"/>
      <c r="C432" s="104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EB432" s="69"/>
      <c r="EC432" s="69"/>
      <c r="ED432" s="69"/>
      <c r="EE432" s="69"/>
      <c r="EF432" s="69"/>
      <c r="EG432" s="69"/>
    </row>
    <row r="433" spans="1:137" s="68" customFormat="1" ht="21" customHeight="1" hidden="1">
      <c r="A433" s="149"/>
      <c r="B433" s="104"/>
      <c r="C433" s="104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EB433" s="69"/>
      <c r="EC433" s="69"/>
      <c r="ED433" s="69"/>
      <c r="EE433" s="69"/>
      <c r="EF433" s="69"/>
      <c r="EG433" s="69"/>
    </row>
    <row r="434" spans="1:137" s="68" customFormat="1" ht="32.25" customHeight="1" hidden="1">
      <c r="A434" s="148"/>
      <c r="B434" s="104"/>
      <c r="C434" s="104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EB434" s="69"/>
      <c r="EC434" s="69"/>
      <c r="ED434" s="69"/>
      <c r="EE434" s="69"/>
      <c r="EF434" s="69"/>
      <c r="EG434" s="69"/>
    </row>
    <row r="435" spans="1:137" s="68" customFormat="1" ht="19.5" customHeight="1" hidden="1">
      <c r="A435" s="149"/>
      <c r="B435" s="104"/>
      <c r="C435" s="104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EB435" s="69"/>
      <c r="EC435" s="69"/>
      <c r="ED435" s="69"/>
      <c r="EE435" s="69"/>
      <c r="EF435" s="69"/>
      <c r="EG435" s="69"/>
    </row>
    <row r="436" spans="1:137" s="68" customFormat="1" ht="32.25" customHeight="1" hidden="1">
      <c r="A436" s="148"/>
      <c r="B436" s="104"/>
      <c r="C436" s="104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EB436" s="69"/>
      <c r="EC436" s="69"/>
      <c r="ED436" s="69"/>
      <c r="EE436" s="69"/>
      <c r="EF436" s="69"/>
      <c r="EG436" s="69"/>
    </row>
    <row r="437" spans="1:137" s="68" customFormat="1" ht="21" customHeight="1" hidden="1">
      <c r="A437" s="149"/>
      <c r="B437" s="104"/>
      <c r="C437" s="104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EB437" s="69"/>
      <c r="EC437" s="69"/>
      <c r="ED437" s="69"/>
      <c r="EE437" s="69"/>
      <c r="EF437" s="69"/>
      <c r="EG437" s="69"/>
    </row>
    <row r="438" spans="1:137" s="68" customFormat="1" ht="45.75" customHeight="1" hidden="1">
      <c r="A438" s="148"/>
      <c r="B438" s="104"/>
      <c r="C438" s="104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EB438" s="69"/>
      <c r="EC438" s="69"/>
      <c r="ED438" s="69"/>
      <c r="EE438" s="69"/>
      <c r="EF438" s="69"/>
      <c r="EG438" s="69"/>
    </row>
    <row r="439" spans="1:137" s="43" customFormat="1" ht="13.5">
      <c r="A439" s="147" t="s">
        <v>96</v>
      </c>
      <c r="B439" s="172"/>
      <c r="C439" s="172"/>
      <c r="D439" s="170">
        <f>D441</f>
        <v>121900</v>
      </c>
      <c r="E439" s="170"/>
      <c r="F439" s="170">
        <f>D439</f>
        <v>121900</v>
      </c>
      <c r="G439" s="170">
        <f>G441</f>
        <v>564300</v>
      </c>
      <c r="H439" s="170"/>
      <c r="I439" s="170"/>
      <c r="J439" s="170">
        <f>G439</f>
        <v>564300</v>
      </c>
      <c r="K439" s="170"/>
      <c r="L439" s="170"/>
      <c r="M439" s="170"/>
      <c r="N439" s="170">
        <f>N441</f>
        <v>592000</v>
      </c>
      <c r="O439" s="170"/>
      <c r="P439" s="170">
        <f>N439</f>
        <v>592000</v>
      </c>
      <c r="EB439" s="44"/>
      <c r="EC439" s="44"/>
      <c r="ED439" s="44"/>
      <c r="EE439" s="44"/>
      <c r="EF439" s="44"/>
      <c r="EG439" s="44"/>
    </row>
    <row r="440" spans="1:137" s="68" customFormat="1" ht="12.75">
      <c r="A440" s="143" t="s">
        <v>261</v>
      </c>
      <c r="B440" s="104"/>
      <c r="C440" s="104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EB440" s="69"/>
      <c r="EC440" s="69"/>
      <c r="ED440" s="69"/>
      <c r="EE440" s="69"/>
      <c r="EF440" s="69"/>
      <c r="EG440" s="69"/>
    </row>
    <row r="441" spans="1:137" s="68" customFormat="1" ht="12.75">
      <c r="A441" s="148" t="s">
        <v>12</v>
      </c>
      <c r="B441" s="104"/>
      <c r="C441" s="104"/>
      <c r="D441" s="171">
        <f>504700-73000-309800</f>
        <v>121900</v>
      </c>
      <c r="E441" s="171"/>
      <c r="F441" s="171">
        <f>D441</f>
        <v>121900</v>
      </c>
      <c r="G441" s="171">
        <v>564300</v>
      </c>
      <c r="H441" s="171"/>
      <c r="I441" s="171"/>
      <c r="J441" s="171">
        <f>G441</f>
        <v>564300</v>
      </c>
      <c r="K441" s="171"/>
      <c r="L441" s="171"/>
      <c r="M441" s="171"/>
      <c r="N441" s="171">
        <v>592000</v>
      </c>
      <c r="O441" s="171"/>
      <c r="P441" s="171">
        <f>N441</f>
        <v>592000</v>
      </c>
      <c r="EB441" s="69"/>
      <c r="EC441" s="69"/>
      <c r="ED441" s="69"/>
      <c r="EE441" s="69"/>
      <c r="EF441" s="69"/>
      <c r="EG441" s="69"/>
    </row>
    <row r="442" spans="1:137" s="68" customFormat="1" ht="12.75">
      <c r="A442" s="149" t="s">
        <v>426</v>
      </c>
      <c r="B442" s="104"/>
      <c r="C442" s="104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EB442" s="69"/>
      <c r="EC442" s="69"/>
      <c r="ED442" s="69"/>
      <c r="EE442" s="69"/>
      <c r="EF442" s="69"/>
      <c r="EG442" s="69"/>
    </row>
    <row r="443" spans="1:137" s="68" customFormat="1" ht="17.25" customHeight="1">
      <c r="A443" s="144" t="s">
        <v>13</v>
      </c>
      <c r="B443" s="104"/>
      <c r="C443" s="104"/>
      <c r="D443" s="171">
        <v>1</v>
      </c>
      <c r="E443" s="171"/>
      <c r="F443" s="171">
        <f>D443</f>
        <v>1</v>
      </c>
      <c r="G443" s="171">
        <v>1</v>
      </c>
      <c r="H443" s="171"/>
      <c r="I443" s="171"/>
      <c r="J443" s="171">
        <f>G443</f>
        <v>1</v>
      </c>
      <c r="K443" s="171"/>
      <c r="L443" s="171"/>
      <c r="M443" s="171"/>
      <c r="N443" s="171">
        <v>1</v>
      </c>
      <c r="O443" s="171"/>
      <c r="P443" s="171">
        <f>N443</f>
        <v>1</v>
      </c>
      <c r="EB443" s="69"/>
      <c r="EC443" s="69"/>
      <c r="ED443" s="69"/>
      <c r="EE443" s="69"/>
      <c r="EF443" s="69"/>
      <c r="EG443" s="69"/>
    </row>
    <row r="444" spans="1:137" s="68" customFormat="1" ht="12.75">
      <c r="A444" s="149" t="s">
        <v>388</v>
      </c>
      <c r="B444" s="104"/>
      <c r="C444" s="104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EB444" s="69"/>
      <c r="EC444" s="69"/>
      <c r="ED444" s="69"/>
      <c r="EE444" s="69"/>
      <c r="EF444" s="69"/>
      <c r="EG444" s="69"/>
    </row>
    <row r="445" spans="1:137" s="68" customFormat="1" ht="18.75" customHeight="1">
      <c r="A445" s="148" t="s">
        <v>542</v>
      </c>
      <c r="B445" s="104"/>
      <c r="C445" s="104"/>
      <c r="D445" s="171">
        <f>D441/D443/12</f>
        <v>10158.333333333334</v>
      </c>
      <c r="E445" s="171"/>
      <c r="F445" s="171">
        <f>D445</f>
        <v>10158.333333333334</v>
      </c>
      <c r="G445" s="171">
        <f>G441/G443/12</f>
        <v>47025</v>
      </c>
      <c r="H445" s="171"/>
      <c r="I445" s="171"/>
      <c r="J445" s="171">
        <f>G445</f>
        <v>47025</v>
      </c>
      <c r="K445" s="171"/>
      <c r="L445" s="171"/>
      <c r="M445" s="171"/>
      <c r="N445" s="171">
        <f>N441/N443/12</f>
        <v>49333.333333333336</v>
      </c>
      <c r="O445" s="171"/>
      <c r="P445" s="171">
        <f>N445</f>
        <v>49333.333333333336</v>
      </c>
      <c r="EB445" s="69"/>
      <c r="EC445" s="69"/>
      <c r="ED445" s="69"/>
      <c r="EE445" s="69"/>
      <c r="EF445" s="69"/>
      <c r="EG445" s="69"/>
    </row>
    <row r="446" spans="1:137" s="68" customFormat="1" ht="12.75">
      <c r="A446" s="149" t="s">
        <v>515</v>
      </c>
      <c r="B446" s="104"/>
      <c r="C446" s="104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EB446" s="69"/>
      <c r="EC446" s="69"/>
      <c r="ED446" s="69"/>
      <c r="EE446" s="69"/>
      <c r="EF446" s="69"/>
      <c r="EG446" s="69"/>
    </row>
    <row r="447" spans="1:137" s="68" customFormat="1" ht="34.5" customHeight="1">
      <c r="A447" s="148" t="s">
        <v>14</v>
      </c>
      <c r="B447" s="104"/>
      <c r="C447" s="104"/>
      <c r="D447" s="171"/>
      <c r="E447" s="171"/>
      <c r="F447" s="171"/>
      <c r="G447" s="171">
        <f>G445/D445*100</f>
        <v>462.9204265791632</v>
      </c>
      <c r="H447" s="171"/>
      <c r="I447" s="171"/>
      <c r="J447" s="171">
        <f>G447</f>
        <v>462.9204265791632</v>
      </c>
      <c r="K447" s="171"/>
      <c r="L447" s="171"/>
      <c r="M447" s="171"/>
      <c r="N447" s="171">
        <f>N445/G445*100</f>
        <v>104.90873648768387</v>
      </c>
      <c r="O447" s="171"/>
      <c r="P447" s="171">
        <f>N447</f>
        <v>104.90873648768387</v>
      </c>
      <c r="EB447" s="69"/>
      <c r="EC447" s="69"/>
      <c r="ED447" s="69"/>
      <c r="EE447" s="69"/>
      <c r="EF447" s="69"/>
      <c r="EG447" s="69"/>
    </row>
    <row r="448" spans="1:137" s="43" customFormat="1" ht="34.5" customHeight="1">
      <c r="A448" s="147" t="s">
        <v>97</v>
      </c>
      <c r="B448" s="172"/>
      <c r="C448" s="172"/>
      <c r="D448" s="170">
        <f>D450</f>
        <v>340000</v>
      </c>
      <c r="E448" s="170"/>
      <c r="F448" s="170">
        <f>D448</f>
        <v>340000</v>
      </c>
      <c r="G448" s="170">
        <f>G450</f>
        <v>386000</v>
      </c>
      <c r="H448" s="170"/>
      <c r="I448" s="170"/>
      <c r="J448" s="170">
        <f>G448+H448</f>
        <v>386000</v>
      </c>
      <c r="K448" s="170"/>
      <c r="L448" s="170"/>
      <c r="M448" s="170"/>
      <c r="N448" s="170">
        <f>N450</f>
        <v>401200</v>
      </c>
      <c r="O448" s="170"/>
      <c r="P448" s="170">
        <f>N448+O448</f>
        <v>401200</v>
      </c>
      <c r="EB448" s="44"/>
      <c r="EC448" s="44"/>
      <c r="ED448" s="44"/>
      <c r="EE448" s="44"/>
      <c r="EF448" s="44"/>
      <c r="EG448" s="44"/>
    </row>
    <row r="449" spans="1:137" s="68" customFormat="1" ht="12.75">
      <c r="A449" s="143" t="s">
        <v>261</v>
      </c>
      <c r="B449" s="104"/>
      <c r="C449" s="104"/>
      <c r="D449" s="171"/>
      <c r="E449" s="171"/>
      <c r="F449" s="171"/>
      <c r="G449" s="171"/>
      <c r="H449" s="171"/>
      <c r="I449" s="171"/>
      <c r="J449" s="191">
        <f aca="true" t="shared" si="31" ref="J449:J454">G449+H449</f>
        <v>0</v>
      </c>
      <c r="K449" s="171"/>
      <c r="L449" s="171"/>
      <c r="M449" s="171"/>
      <c r="N449" s="171"/>
      <c r="O449" s="171"/>
      <c r="P449" s="191">
        <f aca="true" t="shared" si="32" ref="P449:P454">N449+O449</f>
        <v>0</v>
      </c>
      <c r="EB449" s="69"/>
      <c r="EC449" s="69"/>
      <c r="ED449" s="69"/>
      <c r="EE449" s="69"/>
      <c r="EF449" s="69"/>
      <c r="EG449" s="69"/>
    </row>
    <row r="450" spans="1:137" s="68" customFormat="1" ht="34.5" customHeight="1">
      <c r="A450" s="148" t="s">
        <v>15</v>
      </c>
      <c r="B450" s="104"/>
      <c r="C450" s="104"/>
      <c r="D450" s="171">
        <f>363000-23000</f>
        <v>340000</v>
      </c>
      <c r="E450" s="171"/>
      <c r="F450" s="171">
        <f>D450</f>
        <v>340000</v>
      </c>
      <c r="G450" s="171">
        <f>382100+3900</f>
        <v>386000</v>
      </c>
      <c r="H450" s="171"/>
      <c r="I450" s="171"/>
      <c r="J450" s="191">
        <f t="shared" si="31"/>
        <v>386000</v>
      </c>
      <c r="K450" s="171"/>
      <c r="L450" s="171"/>
      <c r="M450" s="171"/>
      <c r="N450" s="171">
        <v>401200</v>
      </c>
      <c r="O450" s="171"/>
      <c r="P450" s="191">
        <f t="shared" si="32"/>
        <v>401200</v>
      </c>
      <c r="EB450" s="69"/>
      <c r="EC450" s="69"/>
      <c r="ED450" s="69"/>
      <c r="EE450" s="69"/>
      <c r="EF450" s="69"/>
      <c r="EG450" s="69"/>
    </row>
    <row r="451" spans="1:137" s="68" customFormat="1" ht="12.75">
      <c r="A451" s="149" t="s">
        <v>426</v>
      </c>
      <c r="B451" s="104"/>
      <c r="C451" s="104"/>
      <c r="D451" s="171"/>
      <c r="E451" s="171"/>
      <c r="F451" s="171"/>
      <c r="G451" s="171"/>
      <c r="H451" s="171"/>
      <c r="I451" s="171"/>
      <c r="J451" s="191">
        <f t="shared" si="31"/>
        <v>0</v>
      </c>
      <c r="K451" s="171"/>
      <c r="L451" s="171"/>
      <c r="M451" s="171"/>
      <c r="N451" s="171"/>
      <c r="O451" s="171"/>
      <c r="P451" s="191">
        <f t="shared" si="32"/>
        <v>0</v>
      </c>
      <c r="EB451" s="69"/>
      <c r="EC451" s="69"/>
      <c r="ED451" s="69"/>
      <c r="EE451" s="69"/>
      <c r="EF451" s="69"/>
      <c r="EG451" s="69"/>
    </row>
    <row r="452" spans="1:137" s="68" customFormat="1" ht="28.5" customHeight="1">
      <c r="A452" s="144" t="s">
        <v>16</v>
      </c>
      <c r="B452" s="104"/>
      <c r="C452" s="104"/>
      <c r="D452" s="171">
        <v>7</v>
      </c>
      <c r="E452" s="171"/>
      <c r="F452" s="171"/>
      <c r="G452" s="171">
        <v>7</v>
      </c>
      <c r="H452" s="171"/>
      <c r="I452" s="171"/>
      <c r="J452" s="191">
        <f t="shared" si="31"/>
        <v>7</v>
      </c>
      <c r="K452" s="171"/>
      <c r="L452" s="171"/>
      <c r="M452" s="171"/>
      <c r="N452" s="171">
        <v>7</v>
      </c>
      <c r="O452" s="171"/>
      <c r="P452" s="191">
        <f t="shared" si="32"/>
        <v>7</v>
      </c>
      <c r="EB452" s="69"/>
      <c r="EC452" s="69"/>
      <c r="ED452" s="69"/>
      <c r="EE452" s="69"/>
      <c r="EF452" s="69"/>
      <c r="EG452" s="69"/>
    </row>
    <row r="453" spans="1:137" s="68" customFormat="1" ht="12.75">
      <c r="A453" s="149" t="s">
        <v>388</v>
      </c>
      <c r="B453" s="104"/>
      <c r="C453" s="104"/>
      <c r="D453" s="171"/>
      <c r="E453" s="171"/>
      <c r="F453" s="171"/>
      <c r="G453" s="171"/>
      <c r="H453" s="171"/>
      <c r="I453" s="171"/>
      <c r="J453" s="191">
        <f t="shared" si="31"/>
        <v>0</v>
      </c>
      <c r="K453" s="171"/>
      <c r="L453" s="171"/>
      <c r="M453" s="171"/>
      <c r="N453" s="171"/>
      <c r="O453" s="171"/>
      <c r="P453" s="191">
        <f t="shared" si="32"/>
        <v>0</v>
      </c>
      <c r="EB453" s="69"/>
      <c r="EC453" s="69"/>
      <c r="ED453" s="69"/>
      <c r="EE453" s="69"/>
      <c r="EF453" s="69"/>
      <c r="EG453" s="69"/>
    </row>
    <row r="454" spans="1:137" s="68" customFormat="1" ht="34.5" customHeight="1">
      <c r="A454" s="148" t="s">
        <v>17</v>
      </c>
      <c r="B454" s="104"/>
      <c r="C454" s="104"/>
      <c r="D454" s="141">
        <f>D450/D452</f>
        <v>48571.42857142857</v>
      </c>
      <c r="E454" s="141"/>
      <c r="F454" s="141">
        <f>D454</f>
        <v>48571.42857142857</v>
      </c>
      <c r="G454" s="141">
        <f>G450/G452</f>
        <v>55142.857142857145</v>
      </c>
      <c r="H454" s="141"/>
      <c r="I454" s="141"/>
      <c r="J454" s="191">
        <f t="shared" si="31"/>
        <v>55142.857142857145</v>
      </c>
      <c r="K454" s="141"/>
      <c r="L454" s="141"/>
      <c r="M454" s="141"/>
      <c r="N454" s="141">
        <f>N450/N452</f>
        <v>57314.28571428572</v>
      </c>
      <c r="O454" s="141"/>
      <c r="P454" s="191">
        <f t="shared" si="32"/>
        <v>57314.28571428572</v>
      </c>
      <c r="EB454" s="69"/>
      <c r="EC454" s="69"/>
      <c r="ED454" s="69"/>
      <c r="EE454" s="69"/>
      <c r="EF454" s="69"/>
      <c r="EG454" s="69"/>
    </row>
    <row r="455" spans="1:137" s="68" customFormat="1" ht="21.75" customHeight="1">
      <c r="A455" s="147" t="s">
        <v>98</v>
      </c>
      <c r="B455" s="104"/>
      <c r="C455" s="104"/>
      <c r="D455" s="178">
        <f>D457</f>
        <v>0</v>
      </c>
      <c r="E455" s="178"/>
      <c r="F455" s="178">
        <f>D455</f>
        <v>0</v>
      </c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EB455" s="69"/>
      <c r="EC455" s="69"/>
      <c r="ED455" s="69"/>
      <c r="EE455" s="69"/>
      <c r="EF455" s="69"/>
      <c r="EG455" s="69"/>
    </row>
    <row r="456" spans="1:137" s="68" customFormat="1" ht="12.75">
      <c r="A456" s="143" t="s">
        <v>261</v>
      </c>
      <c r="B456" s="104"/>
      <c r="C456" s="104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EB456" s="69"/>
      <c r="EC456" s="69"/>
      <c r="ED456" s="69"/>
      <c r="EE456" s="69"/>
      <c r="EF456" s="69"/>
      <c r="EG456" s="69"/>
    </row>
    <row r="457" spans="1:137" s="68" customFormat="1" ht="21" customHeight="1">
      <c r="A457" s="148" t="s">
        <v>18</v>
      </c>
      <c r="B457" s="104"/>
      <c r="C457" s="104"/>
      <c r="D457" s="171">
        <f>1000000-1000000</f>
        <v>0</v>
      </c>
      <c r="E457" s="171"/>
      <c r="F457" s="171">
        <f>D457</f>
        <v>0</v>
      </c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EB457" s="69"/>
      <c r="EC457" s="69"/>
      <c r="ED457" s="69"/>
      <c r="EE457" s="69"/>
      <c r="EF457" s="69"/>
      <c r="EG457" s="69"/>
    </row>
    <row r="458" spans="1:137" s="68" customFormat="1" ht="12.75">
      <c r="A458" s="149" t="s">
        <v>426</v>
      </c>
      <c r="B458" s="104"/>
      <c r="C458" s="104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EB458" s="69"/>
      <c r="EC458" s="69"/>
      <c r="ED458" s="69"/>
      <c r="EE458" s="69"/>
      <c r="EF458" s="69"/>
      <c r="EG458" s="69"/>
    </row>
    <row r="459" spans="1:137" s="68" customFormat="1" ht="21" customHeight="1">
      <c r="A459" s="144" t="s">
        <v>19</v>
      </c>
      <c r="B459" s="104"/>
      <c r="C459" s="104"/>
      <c r="D459" s="171">
        <v>0</v>
      </c>
      <c r="E459" s="171"/>
      <c r="F459" s="171">
        <f>D459</f>
        <v>0</v>
      </c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EB459" s="69"/>
      <c r="EC459" s="69"/>
      <c r="ED459" s="69"/>
      <c r="EE459" s="69"/>
      <c r="EF459" s="69"/>
      <c r="EG459" s="69"/>
    </row>
    <row r="460" spans="1:137" s="68" customFormat="1" ht="12.75">
      <c r="A460" s="149" t="s">
        <v>388</v>
      </c>
      <c r="B460" s="104"/>
      <c r="C460" s="104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EB460" s="69"/>
      <c r="EC460" s="69"/>
      <c r="ED460" s="69"/>
      <c r="EE460" s="69"/>
      <c r="EF460" s="69"/>
      <c r="EG460" s="69"/>
    </row>
    <row r="461" spans="1:137" s="68" customFormat="1" ht="12.75">
      <c r="A461" s="148" t="s">
        <v>20</v>
      </c>
      <c r="B461" s="104"/>
      <c r="C461" s="104"/>
      <c r="D461" s="171" t="e">
        <f>D457/D459</f>
        <v>#DIV/0!</v>
      </c>
      <c r="E461" s="171"/>
      <c r="F461" s="171" t="e">
        <f>D461</f>
        <v>#DIV/0!</v>
      </c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EB461" s="69"/>
      <c r="EC461" s="69"/>
      <c r="ED461" s="69"/>
      <c r="EE461" s="69"/>
      <c r="EF461" s="69"/>
      <c r="EG461" s="69"/>
    </row>
    <row r="462" spans="1:137" s="57" customFormat="1" ht="22.5" customHeight="1">
      <c r="A462" s="75" t="s">
        <v>40</v>
      </c>
      <c r="B462" s="192"/>
      <c r="C462" s="192"/>
      <c r="D462" s="74">
        <f>1894300-400000-326100</f>
        <v>1168200</v>
      </c>
      <c r="E462" s="74"/>
      <c r="F462" s="74">
        <f>D462</f>
        <v>1168200</v>
      </c>
      <c r="G462" s="74">
        <f>2007900-400000</f>
        <v>1607900</v>
      </c>
      <c r="H462" s="74"/>
      <c r="I462" s="74"/>
      <c r="J462" s="74">
        <f>G462</f>
        <v>1607900</v>
      </c>
      <c r="K462" s="74">
        <f>(K464*K466)</f>
        <v>0</v>
      </c>
      <c r="L462" s="74">
        <f>(L464*L466)</f>
        <v>0</v>
      </c>
      <c r="M462" s="74">
        <f>(M464*M466)</f>
        <v>0</v>
      </c>
      <c r="N462" s="74">
        <f>2108300-400000</f>
        <v>1708300</v>
      </c>
      <c r="O462" s="74"/>
      <c r="P462" s="74">
        <f>N462</f>
        <v>1708300</v>
      </c>
      <c r="EB462" s="58"/>
      <c r="EC462" s="58"/>
      <c r="ED462" s="58"/>
      <c r="EE462" s="58"/>
      <c r="EF462" s="58"/>
      <c r="EG462" s="58"/>
    </row>
    <row r="463" spans="1:137" s="4" customFormat="1" ht="12.75">
      <c r="A463" s="143" t="s">
        <v>189</v>
      </c>
      <c r="B463" s="174"/>
      <c r="C463" s="174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EB463" s="13"/>
      <c r="EC463" s="13"/>
      <c r="ED463" s="13"/>
      <c r="EE463" s="13"/>
      <c r="EF463" s="13"/>
      <c r="EG463" s="13"/>
    </row>
    <row r="464" spans="1:137" s="4" customFormat="1" ht="29.25" customHeight="1">
      <c r="A464" s="144" t="s">
        <v>304</v>
      </c>
      <c r="B464" s="174"/>
      <c r="C464" s="174"/>
      <c r="D464" s="141">
        <v>750</v>
      </c>
      <c r="E464" s="141"/>
      <c r="F464" s="141">
        <f>D464</f>
        <v>750</v>
      </c>
      <c r="G464" s="141">
        <v>700</v>
      </c>
      <c r="H464" s="141"/>
      <c r="I464" s="141"/>
      <c r="J464" s="141">
        <f>G464</f>
        <v>700</v>
      </c>
      <c r="K464" s="141"/>
      <c r="L464" s="141"/>
      <c r="M464" s="141"/>
      <c r="N464" s="141">
        <v>650</v>
      </c>
      <c r="O464" s="141"/>
      <c r="P464" s="141">
        <f>N464</f>
        <v>650</v>
      </c>
      <c r="EB464" s="13"/>
      <c r="EC464" s="13"/>
      <c r="ED464" s="13"/>
      <c r="EE464" s="13"/>
      <c r="EF464" s="13"/>
      <c r="EG464" s="13"/>
    </row>
    <row r="465" spans="1:137" s="4" customFormat="1" ht="12.75">
      <c r="A465" s="143" t="s">
        <v>191</v>
      </c>
      <c r="B465" s="174"/>
      <c r="C465" s="174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EB465" s="13"/>
      <c r="EC465" s="13"/>
      <c r="ED465" s="13"/>
      <c r="EE465" s="13"/>
      <c r="EF465" s="13"/>
      <c r="EG465" s="13"/>
    </row>
    <row r="466" spans="1:137" s="4" customFormat="1" ht="22.5" customHeight="1">
      <c r="A466" s="144" t="s">
        <v>305</v>
      </c>
      <c r="B466" s="174"/>
      <c r="C466" s="174"/>
      <c r="D466" s="141">
        <f>D462/D464</f>
        <v>1557.6</v>
      </c>
      <c r="E466" s="141"/>
      <c r="F466" s="141">
        <f>D466</f>
        <v>1557.6</v>
      </c>
      <c r="G466" s="141">
        <f>G462/G464</f>
        <v>2297</v>
      </c>
      <c r="H466" s="141"/>
      <c r="I466" s="141"/>
      <c r="J466" s="141">
        <f>G466</f>
        <v>2297</v>
      </c>
      <c r="K466" s="141"/>
      <c r="L466" s="141"/>
      <c r="M466" s="141"/>
      <c r="N466" s="141">
        <f>N462/N464</f>
        <v>2628.153846153846</v>
      </c>
      <c r="O466" s="141"/>
      <c r="P466" s="141">
        <f>N466</f>
        <v>2628.153846153846</v>
      </c>
      <c r="EB466" s="13"/>
      <c r="EC466" s="13"/>
      <c r="ED466" s="13"/>
      <c r="EE466" s="13"/>
      <c r="EF466" s="13"/>
      <c r="EG466" s="13"/>
    </row>
    <row r="467" spans="1:137" s="4" customFormat="1" ht="12.75">
      <c r="A467" s="143" t="s">
        <v>190</v>
      </c>
      <c r="B467" s="174"/>
      <c r="C467" s="174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EB467" s="13"/>
      <c r="EC467" s="13"/>
      <c r="ED467" s="13"/>
      <c r="EE467" s="13"/>
      <c r="EF467" s="13"/>
      <c r="EG467" s="13"/>
    </row>
    <row r="468" spans="1:137" s="4" customFormat="1" ht="24" customHeight="1">
      <c r="A468" s="144" t="s">
        <v>278</v>
      </c>
      <c r="B468" s="174"/>
      <c r="C468" s="174"/>
      <c r="D468" s="141"/>
      <c r="E468" s="141"/>
      <c r="F468" s="141"/>
      <c r="G468" s="141">
        <f>G464/D464*100</f>
        <v>93.33333333333333</v>
      </c>
      <c r="H468" s="141"/>
      <c r="I468" s="141"/>
      <c r="J468" s="141">
        <f>G468</f>
        <v>93.33333333333333</v>
      </c>
      <c r="K468" s="141"/>
      <c r="L468" s="141"/>
      <c r="M468" s="141"/>
      <c r="N468" s="141">
        <f>N464/G464*100</f>
        <v>92.85714285714286</v>
      </c>
      <c r="O468" s="141"/>
      <c r="P468" s="141">
        <f>N468</f>
        <v>92.85714285714286</v>
      </c>
      <c r="EB468" s="13"/>
      <c r="EC468" s="13"/>
      <c r="ED468" s="13"/>
      <c r="EE468" s="13"/>
      <c r="EF468" s="13"/>
      <c r="EG468" s="13"/>
    </row>
    <row r="469" spans="1:137" s="4" customFormat="1" ht="31.5" customHeight="1">
      <c r="A469" s="144" t="s">
        <v>279</v>
      </c>
      <c r="B469" s="174"/>
      <c r="C469" s="174"/>
      <c r="D469" s="141"/>
      <c r="E469" s="141"/>
      <c r="F469" s="141"/>
      <c r="G469" s="141">
        <f>G466/D466*100</f>
        <v>147.47046738572163</v>
      </c>
      <c r="H469" s="141"/>
      <c r="I469" s="141"/>
      <c r="J469" s="141">
        <f>G469</f>
        <v>147.47046738572163</v>
      </c>
      <c r="K469" s="141"/>
      <c r="L469" s="141"/>
      <c r="M469" s="141"/>
      <c r="N469" s="141">
        <f>N466/G466*100</f>
        <v>114.41679782994541</v>
      </c>
      <c r="O469" s="141"/>
      <c r="P469" s="141">
        <f>N469</f>
        <v>114.41679782994541</v>
      </c>
      <c r="EB469" s="13"/>
      <c r="EC469" s="13"/>
      <c r="ED469" s="13"/>
      <c r="EE469" s="13"/>
      <c r="EF469" s="13"/>
      <c r="EG469" s="13"/>
    </row>
    <row r="470" spans="1:137" s="77" customFormat="1" ht="36" customHeight="1">
      <c r="A470" s="75" t="s">
        <v>41</v>
      </c>
      <c r="B470" s="76"/>
      <c r="C470" s="76"/>
      <c r="D470" s="74"/>
      <c r="E470" s="74">
        <f>21112400-6000000-6000000-8012400</f>
        <v>1100000</v>
      </c>
      <c r="F470" s="74">
        <f>E470</f>
        <v>1100000</v>
      </c>
      <c r="G470" s="74">
        <f>G472*G474</f>
        <v>0</v>
      </c>
      <c r="H470" s="74">
        <f>22379100-6000000</f>
        <v>16379100</v>
      </c>
      <c r="I470" s="74">
        <f>I472*I474</f>
        <v>0</v>
      </c>
      <c r="J470" s="74">
        <f>G470+H470</f>
        <v>16379100</v>
      </c>
      <c r="K470" s="74">
        <f>K472*K474</f>
        <v>0</v>
      </c>
      <c r="L470" s="74">
        <f>L472*L474</f>
        <v>0</v>
      </c>
      <c r="M470" s="74">
        <f>M472*M474</f>
        <v>0</v>
      </c>
      <c r="N470" s="74">
        <f>N472*N474</f>
        <v>0</v>
      </c>
      <c r="O470" s="74">
        <f>23498000-6000000</f>
        <v>17498000</v>
      </c>
      <c r="P470" s="74">
        <f>N470+O470</f>
        <v>17498000</v>
      </c>
      <c r="EB470" s="78"/>
      <c r="EC470" s="78"/>
      <c r="ED470" s="78"/>
      <c r="EE470" s="78"/>
      <c r="EF470" s="78"/>
      <c r="EG470" s="78"/>
    </row>
    <row r="471" spans="1:137" s="4" customFormat="1" ht="12.75">
      <c r="A471" s="143" t="s">
        <v>189</v>
      </c>
      <c r="B471" s="8"/>
      <c r="C471" s="8"/>
      <c r="D471" s="9"/>
      <c r="E471" s="9"/>
      <c r="F471" s="141"/>
      <c r="G471" s="9"/>
      <c r="H471" s="9"/>
      <c r="I471" s="9"/>
      <c r="J471" s="141"/>
      <c r="K471" s="141"/>
      <c r="L471" s="141"/>
      <c r="M471" s="141"/>
      <c r="N471" s="9"/>
      <c r="O471" s="9"/>
      <c r="P471" s="141"/>
      <c r="EB471" s="13"/>
      <c r="EC471" s="13"/>
      <c r="ED471" s="13"/>
      <c r="EE471" s="13"/>
      <c r="EF471" s="13"/>
      <c r="EG471" s="13"/>
    </row>
    <row r="472" spans="1:137" s="4" customFormat="1" ht="21.75" customHeight="1">
      <c r="A472" s="144" t="s">
        <v>244</v>
      </c>
      <c r="B472" s="174"/>
      <c r="C472" s="174"/>
      <c r="D472" s="141"/>
      <c r="E472" s="141">
        <v>5</v>
      </c>
      <c r="F472" s="141">
        <f>E472</f>
        <v>5</v>
      </c>
      <c r="G472" s="141"/>
      <c r="H472" s="141">
        <v>16</v>
      </c>
      <c r="I472" s="141"/>
      <c r="J472" s="141">
        <f>G472+H472</f>
        <v>16</v>
      </c>
      <c r="K472" s="141"/>
      <c r="L472" s="141"/>
      <c r="M472" s="141"/>
      <c r="N472" s="141"/>
      <c r="O472" s="141">
        <v>15</v>
      </c>
      <c r="P472" s="141">
        <f>O472</f>
        <v>15</v>
      </c>
      <c r="EB472" s="13"/>
      <c r="EC472" s="13"/>
      <c r="ED472" s="13"/>
      <c r="EE472" s="13"/>
      <c r="EF472" s="13"/>
      <c r="EG472" s="13"/>
    </row>
    <row r="473" spans="1:137" s="4" customFormat="1" ht="12.75">
      <c r="A473" s="143" t="s">
        <v>191</v>
      </c>
      <c r="B473" s="8"/>
      <c r="C473" s="8"/>
      <c r="D473" s="9"/>
      <c r="E473" s="9"/>
      <c r="F473" s="141"/>
      <c r="G473" s="9"/>
      <c r="H473" s="9"/>
      <c r="I473" s="9"/>
      <c r="J473" s="141"/>
      <c r="K473" s="141"/>
      <c r="L473" s="141"/>
      <c r="M473" s="141"/>
      <c r="N473" s="9"/>
      <c r="O473" s="9"/>
      <c r="P473" s="141"/>
      <c r="EB473" s="13"/>
      <c r="EC473" s="13"/>
      <c r="ED473" s="13"/>
      <c r="EE473" s="13"/>
      <c r="EF473" s="13"/>
      <c r="EG473" s="13"/>
    </row>
    <row r="474" spans="1:137" s="4" customFormat="1" ht="23.25" customHeight="1">
      <c r="A474" s="144" t="s">
        <v>245</v>
      </c>
      <c r="B474" s="174"/>
      <c r="C474" s="174"/>
      <c r="D474" s="141"/>
      <c r="E474" s="141">
        <f>E470/E472</f>
        <v>220000</v>
      </c>
      <c r="F474" s="141">
        <f>E474</f>
        <v>220000</v>
      </c>
      <c r="G474" s="141"/>
      <c r="H474" s="141">
        <f>H470/H472</f>
        <v>1023693.75</v>
      </c>
      <c r="I474" s="141"/>
      <c r="J474" s="141">
        <f>G474+H474</f>
        <v>1023693.75</v>
      </c>
      <c r="K474" s="141"/>
      <c r="L474" s="141"/>
      <c r="M474" s="141"/>
      <c r="N474" s="141"/>
      <c r="O474" s="141">
        <f>O470/O472</f>
        <v>1166533.3333333333</v>
      </c>
      <c r="P474" s="141">
        <f>O474</f>
        <v>1166533.3333333333</v>
      </c>
      <c r="EB474" s="13"/>
      <c r="EC474" s="13"/>
      <c r="ED474" s="13"/>
      <c r="EE474" s="13"/>
      <c r="EF474" s="13"/>
      <c r="EG474" s="13"/>
    </row>
    <row r="475" spans="1:137" s="4" customFormat="1" ht="12.75">
      <c r="A475" s="143" t="s">
        <v>190</v>
      </c>
      <c r="B475" s="174"/>
      <c r="C475" s="174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EB475" s="13"/>
      <c r="EC475" s="13"/>
      <c r="ED475" s="13"/>
      <c r="EE475" s="13"/>
      <c r="EF475" s="13"/>
      <c r="EG475" s="13"/>
    </row>
    <row r="476" spans="1:137" s="4" customFormat="1" ht="35.25" customHeight="1">
      <c r="A476" s="144" t="s">
        <v>246</v>
      </c>
      <c r="B476" s="174"/>
      <c r="C476" s="174"/>
      <c r="D476" s="141"/>
      <c r="E476" s="141">
        <v>0</v>
      </c>
      <c r="F476" s="141">
        <v>0</v>
      </c>
      <c r="G476" s="141"/>
      <c r="H476" s="141">
        <f>H474/E474*100</f>
        <v>465.31534090909093</v>
      </c>
      <c r="I476" s="141"/>
      <c r="J476" s="141">
        <f>G476+H476</f>
        <v>465.31534090909093</v>
      </c>
      <c r="K476" s="141"/>
      <c r="L476" s="141"/>
      <c r="M476" s="141"/>
      <c r="N476" s="141"/>
      <c r="O476" s="141">
        <f>O474/H474*100</f>
        <v>113.95335112022842</v>
      </c>
      <c r="P476" s="141">
        <f>O476</f>
        <v>113.95335112022842</v>
      </c>
      <c r="EB476" s="13"/>
      <c r="EC476" s="13"/>
      <c r="ED476" s="13"/>
      <c r="EE476" s="13"/>
      <c r="EF476" s="13"/>
      <c r="EG476" s="13"/>
    </row>
    <row r="477" spans="1:131" s="83" customFormat="1" ht="30" customHeight="1">
      <c r="A477" s="80" t="s">
        <v>404</v>
      </c>
      <c r="B477" s="80"/>
      <c r="C477" s="80"/>
      <c r="D477" s="81">
        <f>D479</f>
        <v>0</v>
      </c>
      <c r="E477" s="81">
        <f aca="true" t="shared" si="33" ref="E477:P477">E479</f>
        <v>2060000</v>
      </c>
      <c r="F477" s="81">
        <f t="shared" si="33"/>
        <v>2060000</v>
      </c>
      <c r="G477" s="81">
        <f t="shared" si="33"/>
        <v>0</v>
      </c>
      <c r="H477" s="81">
        <f t="shared" si="33"/>
        <v>20850600</v>
      </c>
      <c r="I477" s="81">
        <f t="shared" si="33"/>
        <v>0</v>
      </c>
      <c r="J477" s="81">
        <f t="shared" si="33"/>
        <v>20850600</v>
      </c>
      <c r="K477" s="81">
        <f t="shared" si="33"/>
        <v>75446.60846035449</v>
      </c>
      <c r="L477" s="81">
        <f t="shared" si="33"/>
        <v>1</v>
      </c>
      <c r="M477" s="81">
        <f t="shared" si="33"/>
        <v>1</v>
      </c>
      <c r="N477" s="81">
        <f t="shared" si="33"/>
        <v>0</v>
      </c>
      <c r="O477" s="81">
        <f t="shared" si="33"/>
        <v>21893300</v>
      </c>
      <c r="P477" s="81">
        <f t="shared" si="33"/>
        <v>21893300</v>
      </c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82"/>
      <c r="DH477" s="82"/>
      <c r="DI477" s="82"/>
      <c r="DJ477" s="82"/>
      <c r="DK477" s="82"/>
      <c r="DL477" s="82"/>
      <c r="DM477" s="82"/>
      <c r="DN477" s="82"/>
      <c r="DO477" s="82"/>
      <c r="DP477" s="82"/>
      <c r="DQ477" s="82"/>
      <c r="DR477" s="82"/>
      <c r="DS477" s="82"/>
      <c r="DT477" s="82"/>
      <c r="DU477" s="82"/>
      <c r="DV477" s="82"/>
      <c r="DW477" s="82"/>
      <c r="DX477" s="82"/>
      <c r="DY477" s="82"/>
      <c r="DZ477" s="82"/>
      <c r="EA477" s="82"/>
    </row>
    <row r="478" spans="1:16" ht="42.75" customHeight="1">
      <c r="A478" s="142" t="s">
        <v>405</v>
      </c>
      <c r="B478" s="174"/>
      <c r="C478" s="174"/>
      <c r="D478" s="141"/>
      <c r="E478" s="173"/>
      <c r="F478" s="173"/>
      <c r="G478" s="141"/>
      <c r="H478" s="173"/>
      <c r="I478" s="173"/>
      <c r="J478" s="173"/>
      <c r="K478" s="141" t="e">
        <f>H478/E478*100</f>
        <v>#DIV/0!</v>
      </c>
      <c r="L478" s="173"/>
      <c r="M478" s="173"/>
      <c r="N478" s="141"/>
      <c r="O478" s="173"/>
      <c r="P478" s="173"/>
    </row>
    <row r="479" spans="1:16" ht="23.25" customHeight="1">
      <c r="A479" s="75" t="s">
        <v>63</v>
      </c>
      <c r="B479" s="174"/>
      <c r="C479" s="174"/>
      <c r="D479" s="74">
        <f>D480+D489</f>
        <v>0</v>
      </c>
      <c r="E479" s="74">
        <f aca="true" t="shared" si="34" ref="E479:O479">E480+E489</f>
        <v>2060000</v>
      </c>
      <c r="F479" s="74">
        <f>D479+E479</f>
        <v>2060000</v>
      </c>
      <c r="G479" s="74">
        <f t="shared" si="34"/>
        <v>0</v>
      </c>
      <c r="H479" s="74">
        <f>H480+H489</f>
        <v>20850600</v>
      </c>
      <c r="I479" s="74">
        <f t="shared" si="34"/>
        <v>0</v>
      </c>
      <c r="J479" s="74">
        <f>G479+H479</f>
        <v>20850600</v>
      </c>
      <c r="K479" s="74">
        <f t="shared" si="34"/>
        <v>75446.60846035449</v>
      </c>
      <c r="L479" s="74">
        <f t="shared" si="34"/>
        <v>1</v>
      </c>
      <c r="M479" s="74">
        <f t="shared" si="34"/>
        <v>1</v>
      </c>
      <c r="N479" s="74">
        <f t="shared" si="34"/>
        <v>0</v>
      </c>
      <c r="O479" s="74">
        <f t="shared" si="34"/>
        <v>21893300</v>
      </c>
      <c r="P479" s="74">
        <f>N479+O479</f>
        <v>21893300</v>
      </c>
    </row>
    <row r="480" spans="1:131" s="50" customFormat="1" ht="18" customHeight="1">
      <c r="A480" s="147" t="s">
        <v>43</v>
      </c>
      <c r="B480" s="169"/>
      <c r="C480" s="169"/>
      <c r="D480" s="170"/>
      <c r="E480" s="170">
        <f>14335400-14321300+1400000+600000</f>
        <v>2014100</v>
      </c>
      <c r="F480" s="170">
        <f>E480</f>
        <v>2014100</v>
      </c>
      <c r="G480" s="170"/>
      <c r="H480" s="170">
        <v>15195500</v>
      </c>
      <c r="I480" s="170"/>
      <c r="J480" s="170">
        <f>H480</f>
        <v>15195500</v>
      </c>
      <c r="K480" s="170">
        <f>K484*K486</f>
        <v>75445.60846035449</v>
      </c>
      <c r="L480" s="170">
        <f>L484*L486</f>
        <v>0</v>
      </c>
      <c r="M480" s="170">
        <f>M484*M486</f>
        <v>0</v>
      </c>
      <c r="N480" s="170"/>
      <c r="O480" s="170">
        <v>15955300</v>
      </c>
      <c r="P480" s="170">
        <f>N480+O480</f>
        <v>15955300</v>
      </c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</row>
    <row r="481" spans="1:16" ht="13.5">
      <c r="A481" s="143" t="s">
        <v>188</v>
      </c>
      <c r="B481" s="8"/>
      <c r="C481" s="8"/>
      <c r="D481" s="141"/>
      <c r="E481" s="173"/>
      <c r="F481" s="173"/>
      <c r="G481" s="141"/>
      <c r="H481" s="173"/>
      <c r="I481" s="173"/>
      <c r="J481" s="173"/>
      <c r="K481" s="141"/>
      <c r="L481" s="173"/>
      <c r="M481" s="173"/>
      <c r="N481" s="141"/>
      <c r="O481" s="173"/>
      <c r="P481" s="173"/>
    </row>
    <row r="482" spans="1:16" ht="20.25" customHeight="1">
      <c r="A482" s="144" t="s">
        <v>153</v>
      </c>
      <c r="B482" s="174"/>
      <c r="C482" s="174"/>
      <c r="D482" s="141"/>
      <c r="E482" s="171">
        <v>1012</v>
      </c>
      <c r="F482" s="171">
        <f>E482</f>
        <v>1012</v>
      </c>
      <c r="G482" s="171"/>
      <c r="H482" s="171">
        <v>992</v>
      </c>
      <c r="I482" s="171"/>
      <c r="J482" s="171">
        <f>H482</f>
        <v>992</v>
      </c>
      <c r="K482" s="111"/>
      <c r="L482" s="193"/>
      <c r="M482" s="193"/>
      <c r="N482" s="171"/>
      <c r="O482" s="171">
        <v>972</v>
      </c>
      <c r="P482" s="171">
        <f>O482</f>
        <v>972</v>
      </c>
    </row>
    <row r="483" spans="1:16" ht="12.75">
      <c r="A483" s="143" t="s">
        <v>189</v>
      </c>
      <c r="B483" s="8"/>
      <c r="C483" s="8"/>
      <c r="D483" s="141"/>
      <c r="E483" s="9"/>
      <c r="F483" s="9"/>
      <c r="G483" s="141"/>
      <c r="H483" s="9"/>
      <c r="I483" s="9"/>
      <c r="J483" s="9"/>
      <c r="K483" s="141" t="e">
        <f>H483/E483*100</f>
        <v>#DIV/0!</v>
      </c>
      <c r="L483" s="9"/>
      <c r="M483" s="9"/>
      <c r="N483" s="141"/>
      <c r="O483" s="9"/>
      <c r="P483" s="9"/>
    </row>
    <row r="484" spans="1:16" ht="25.5">
      <c r="A484" s="144" t="s">
        <v>152</v>
      </c>
      <c r="B484" s="174"/>
      <c r="C484" s="174"/>
      <c r="D484" s="141"/>
      <c r="E484" s="141">
        <v>2</v>
      </c>
      <c r="F484" s="141">
        <f>E484</f>
        <v>2</v>
      </c>
      <c r="G484" s="141"/>
      <c r="H484" s="141">
        <v>20</v>
      </c>
      <c r="I484" s="141"/>
      <c r="J484" s="141">
        <f>H484</f>
        <v>20</v>
      </c>
      <c r="K484" s="141">
        <f>H484/E484*100</f>
        <v>1000</v>
      </c>
      <c r="L484" s="141"/>
      <c r="M484" s="141"/>
      <c r="N484" s="141"/>
      <c r="O484" s="141">
        <v>20</v>
      </c>
      <c r="P484" s="141">
        <f>O484</f>
        <v>20</v>
      </c>
    </row>
    <row r="485" spans="1:16" ht="12.75">
      <c r="A485" s="143" t="s">
        <v>191</v>
      </c>
      <c r="B485" s="8"/>
      <c r="C485" s="8"/>
      <c r="D485" s="141"/>
      <c r="E485" s="9"/>
      <c r="F485" s="9"/>
      <c r="G485" s="141"/>
      <c r="H485" s="9"/>
      <c r="I485" s="9"/>
      <c r="J485" s="9"/>
      <c r="K485" s="141" t="e">
        <f>H485/E485*100</f>
        <v>#DIV/0!</v>
      </c>
      <c r="L485" s="9"/>
      <c r="M485" s="9"/>
      <c r="N485" s="141"/>
      <c r="O485" s="9"/>
      <c r="P485" s="9"/>
    </row>
    <row r="486" spans="1:16" ht="24" customHeight="1">
      <c r="A486" s="144" t="s">
        <v>248</v>
      </c>
      <c r="B486" s="174"/>
      <c r="C486" s="174"/>
      <c r="D486" s="141"/>
      <c r="E486" s="141">
        <f>E480/E484</f>
        <v>1007050</v>
      </c>
      <c r="F486" s="141">
        <f>E486</f>
        <v>1007050</v>
      </c>
      <c r="G486" s="141"/>
      <c r="H486" s="141">
        <f>H480/H484</f>
        <v>759775</v>
      </c>
      <c r="I486" s="141"/>
      <c r="J486" s="141">
        <f>H486</f>
        <v>759775</v>
      </c>
      <c r="K486" s="141">
        <f>H486/E486*100</f>
        <v>75.44560846035449</v>
      </c>
      <c r="L486" s="141"/>
      <c r="M486" s="141"/>
      <c r="N486" s="141"/>
      <c r="O486" s="141">
        <f>O480/O484</f>
        <v>797765</v>
      </c>
      <c r="P486" s="141">
        <f>O486</f>
        <v>797765</v>
      </c>
    </row>
    <row r="487" spans="1:16" ht="12.75">
      <c r="A487" s="143" t="s">
        <v>190</v>
      </c>
      <c r="B487" s="8"/>
      <c r="C487" s="8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</row>
    <row r="488" spans="1:16" ht="36" customHeight="1">
      <c r="A488" s="144" t="s">
        <v>249</v>
      </c>
      <c r="B488" s="174"/>
      <c r="C488" s="174"/>
      <c r="D488" s="141"/>
      <c r="E488" s="141">
        <f>E484/E482*100</f>
        <v>0.1976284584980237</v>
      </c>
      <c r="F488" s="141">
        <f>D488+E488</f>
        <v>0.1976284584980237</v>
      </c>
      <c r="G488" s="141"/>
      <c r="H488" s="141">
        <f>H484/H482*100</f>
        <v>2.0161290322580645</v>
      </c>
      <c r="I488" s="141"/>
      <c r="J488" s="141">
        <f>J484/J482*100</f>
        <v>2.0161290322580645</v>
      </c>
      <c r="K488" s="141" t="e">
        <f>K484/K482*100</f>
        <v>#DIV/0!</v>
      </c>
      <c r="L488" s="141" t="e">
        <f>L484/L482*100</f>
        <v>#DIV/0!</v>
      </c>
      <c r="M488" s="141" t="e">
        <f>M484/M482*100</f>
        <v>#DIV/0!</v>
      </c>
      <c r="N488" s="141"/>
      <c r="O488" s="141">
        <f>O484/O482*100</f>
        <v>2.05761316872428</v>
      </c>
      <c r="P488" s="141">
        <f>P484/P482*100</f>
        <v>2.05761316872428</v>
      </c>
    </row>
    <row r="489" spans="1:131" s="50" customFormat="1" ht="19.5" customHeight="1">
      <c r="A489" s="147" t="s">
        <v>44</v>
      </c>
      <c r="B489" s="169"/>
      <c r="C489" s="169"/>
      <c r="D489" s="170"/>
      <c r="E489" s="170">
        <f>E493*E495</f>
        <v>45900</v>
      </c>
      <c r="F489" s="170">
        <f>F493*F495</f>
        <v>45900</v>
      </c>
      <c r="G489" s="170"/>
      <c r="H489" s="170">
        <f>H493*H495</f>
        <v>5655100</v>
      </c>
      <c r="I489" s="170"/>
      <c r="J489" s="170">
        <f>H489</f>
        <v>5655100</v>
      </c>
      <c r="K489" s="170">
        <f>K493*K495+1</f>
        <v>1</v>
      </c>
      <c r="L489" s="170">
        <f>L493*L495+1</f>
        <v>1</v>
      </c>
      <c r="M489" s="170">
        <f>M493*M495+1</f>
        <v>1</v>
      </c>
      <c r="N489" s="170"/>
      <c r="O489" s="170">
        <f>O491</f>
        <v>5938000</v>
      </c>
      <c r="P489" s="170">
        <f>O489</f>
        <v>5938000</v>
      </c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</row>
    <row r="490" spans="1:131" s="44" customFormat="1" ht="12.75">
      <c r="A490" s="149" t="s">
        <v>188</v>
      </c>
      <c r="B490" s="172"/>
      <c r="C490" s="172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3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3"/>
      <c r="DU490" s="43"/>
      <c r="DV490" s="43"/>
      <c r="DW490" s="43"/>
      <c r="DX490" s="43"/>
      <c r="DY490" s="43"/>
      <c r="DZ490" s="43"/>
      <c r="EA490" s="43"/>
    </row>
    <row r="491" spans="1:131" s="44" customFormat="1" ht="15.75" customHeight="1">
      <c r="A491" s="148" t="s">
        <v>406</v>
      </c>
      <c r="B491" s="172"/>
      <c r="C491" s="172"/>
      <c r="D491" s="171"/>
      <c r="E491" s="171">
        <f>5335000-5289100</f>
        <v>45900</v>
      </c>
      <c r="F491" s="171">
        <f>E491</f>
        <v>45900</v>
      </c>
      <c r="G491" s="171"/>
      <c r="H491" s="171">
        <v>5655100</v>
      </c>
      <c r="I491" s="171"/>
      <c r="J491" s="171">
        <f>H491</f>
        <v>5655100</v>
      </c>
      <c r="K491" s="171"/>
      <c r="L491" s="171"/>
      <c r="M491" s="171"/>
      <c r="N491" s="171"/>
      <c r="O491" s="171">
        <v>5938000</v>
      </c>
      <c r="P491" s="171">
        <f>O491</f>
        <v>5938000</v>
      </c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</row>
    <row r="492" spans="1:131" s="44" customFormat="1" ht="12.75">
      <c r="A492" s="149" t="s">
        <v>189</v>
      </c>
      <c r="B492" s="172"/>
      <c r="C492" s="172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</row>
    <row r="493" spans="1:131" s="44" customFormat="1" ht="25.5">
      <c r="A493" s="148" t="s">
        <v>290</v>
      </c>
      <c r="B493" s="172"/>
      <c r="C493" s="172"/>
      <c r="D493" s="171"/>
      <c r="E493" s="171">
        <v>1</v>
      </c>
      <c r="F493" s="171">
        <f>E493</f>
        <v>1</v>
      </c>
      <c r="G493" s="171"/>
      <c r="H493" s="171">
        <f>H491/H495</f>
        <v>20</v>
      </c>
      <c r="I493" s="171"/>
      <c r="J493" s="171">
        <f>H493</f>
        <v>20</v>
      </c>
      <c r="K493" s="171"/>
      <c r="L493" s="171"/>
      <c r="M493" s="171"/>
      <c r="N493" s="171"/>
      <c r="O493" s="171">
        <f>O491/O495</f>
        <v>20</v>
      </c>
      <c r="P493" s="171">
        <f>O493</f>
        <v>20</v>
      </c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</row>
    <row r="494" spans="1:131" s="44" customFormat="1" ht="12.75">
      <c r="A494" s="149" t="s">
        <v>191</v>
      </c>
      <c r="B494" s="172"/>
      <c r="C494" s="172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</row>
    <row r="495" spans="1:131" s="44" customFormat="1" ht="32.25" customHeight="1">
      <c r="A495" s="148" t="s">
        <v>248</v>
      </c>
      <c r="B495" s="172"/>
      <c r="C495" s="172"/>
      <c r="D495" s="171"/>
      <c r="E495" s="171">
        <f>E491/E493</f>
        <v>45900</v>
      </c>
      <c r="F495" s="171">
        <f>E495</f>
        <v>45900</v>
      </c>
      <c r="G495" s="171"/>
      <c r="H495" s="171">
        <v>282755</v>
      </c>
      <c r="I495" s="171"/>
      <c r="J495" s="171">
        <f>H495</f>
        <v>282755</v>
      </c>
      <c r="K495" s="171"/>
      <c r="L495" s="171"/>
      <c r="M495" s="171"/>
      <c r="N495" s="171"/>
      <c r="O495" s="171">
        <v>296900</v>
      </c>
      <c r="P495" s="171">
        <f>O495</f>
        <v>296900</v>
      </c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</row>
    <row r="496" spans="1:131" s="83" customFormat="1" ht="33" customHeight="1">
      <c r="A496" s="80" t="s">
        <v>547</v>
      </c>
      <c r="B496" s="80"/>
      <c r="C496" s="80"/>
      <c r="D496" s="81">
        <f>D497+D498</f>
        <v>6789144</v>
      </c>
      <c r="E496" s="81">
        <f aca="true" t="shared" si="35" ref="E496:P496">E497+E498</f>
        <v>2416370</v>
      </c>
      <c r="F496" s="81">
        <f t="shared" si="35"/>
        <v>9205514</v>
      </c>
      <c r="G496" s="81">
        <f>G497+G498</f>
        <v>13129411</v>
      </c>
      <c r="H496" s="81">
        <f t="shared" si="35"/>
        <v>11712640</v>
      </c>
      <c r="I496" s="81">
        <f t="shared" si="35"/>
        <v>0</v>
      </c>
      <c r="J496" s="81">
        <f t="shared" si="35"/>
        <v>24842051</v>
      </c>
      <c r="K496" s="81" t="e">
        <f t="shared" si="35"/>
        <v>#REF!</v>
      </c>
      <c r="L496" s="81" t="e">
        <f t="shared" si="35"/>
        <v>#REF!</v>
      </c>
      <c r="M496" s="81" t="e">
        <f t="shared" si="35"/>
        <v>#REF!</v>
      </c>
      <c r="N496" s="81">
        <f t="shared" si="35"/>
        <v>8188460</v>
      </c>
      <c r="O496" s="81">
        <f t="shared" si="35"/>
        <v>733240</v>
      </c>
      <c r="P496" s="81">
        <f t="shared" si="35"/>
        <v>8921700</v>
      </c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82"/>
      <c r="DH496" s="82"/>
      <c r="DI496" s="82"/>
      <c r="DJ496" s="82"/>
      <c r="DK496" s="82"/>
      <c r="DL496" s="82"/>
      <c r="DM496" s="82"/>
      <c r="DN496" s="82"/>
      <c r="DO496" s="82"/>
      <c r="DP496" s="82"/>
      <c r="DQ496" s="82"/>
      <c r="DR496" s="82"/>
      <c r="DS496" s="82"/>
      <c r="DT496" s="82"/>
      <c r="DU496" s="82"/>
      <c r="DV496" s="82"/>
      <c r="DW496" s="82"/>
      <c r="DX496" s="82"/>
      <c r="DY496" s="82"/>
      <c r="DZ496" s="82"/>
      <c r="EA496" s="82"/>
    </row>
    <row r="497" spans="1:16" ht="13.5" customHeight="1">
      <c r="A497" s="8" t="s">
        <v>216</v>
      </c>
      <c r="B497" s="8"/>
      <c r="C497" s="8"/>
      <c r="D497" s="9">
        <f>D500+D507</f>
        <v>6470414</v>
      </c>
      <c r="E497" s="9">
        <f aca="true" t="shared" si="36" ref="E497:O497">E500+E507</f>
        <v>1780000</v>
      </c>
      <c r="F497" s="9">
        <f>D497+E497</f>
        <v>8250414</v>
      </c>
      <c r="G497" s="9">
        <f>G500+G507</f>
        <v>12800959</v>
      </c>
      <c r="H497" s="9">
        <f t="shared" si="36"/>
        <v>11036260</v>
      </c>
      <c r="I497" s="9">
        <f t="shared" si="36"/>
        <v>0</v>
      </c>
      <c r="J497" s="9">
        <f>G497+H497</f>
        <v>23837219</v>
      </c>
      <c r="K497" s="9" t="e">
        <f t="shared" si="36"/>
        <v>#REF!</v>
      </c>
      <c r="L497" s="9" t="e">
        <f t="shared" si="36"/>
        <v>#REF!</v>
      </c>
      <c r="M497" s="9" t="e">
        <f t="shared" si="36"/>
        <v>#REF!</v>
      </c>
      <c r="N497" s="9">
        <f t="shared" si="36"/>
        <v>7844100</v>
      </c>
      <c r="O497" s="9">
        <f t="shared" si="36"/>
        <v>0</v>
      </c>
      <c r="P497" s="9">
        <f>N497+O497</f>
        <v>7844100</v>
      </c>
    </row>
    <row r="498" spans="1:131" s="44" customFormat="1" ht="12.75">
      <c r="A498" s="168" t="s">
        <v>287</v>
      </c>
      <c r="B498" s="168"/>
      <c r="C498" s="168"/>
      <c r="D498" s="178">
        <f>D648</f>
        <v>318730</v>
      </c>
      <c r="E498" s="178">
        <f>E648</f>
        <v>636370</v>
      </c>
      <c r="F498" s="178">
        <f aca="true" t="shared" si="37" ref="F498:P498">F648</f>
        <v>955100</v>
      </c>
      <c r="G498" s="178">
        <f t="shared" si="37"/>
        <v>328452</v>
      </c>
      <c r="H498" s="178">
        <f t="shared" si="37"/>
        <v>676380</v>
      </c>
      <c r="I498" s="178">
        <f t="shared" si="37"/>
        <v>0</v>
      </c>
      <c r="J498" s="178">
        <f t="shared" si="37"/>
        <v>1004832</v>
      </c>
      <c r="K498" s="178" t="e">
        <f t="shared" si="37"/>
        <v>#REF!</v>
      </c>
      <c r="L498" s="178" t="e">
        <f t="shared" si="37"/>
        <v>#REF!</v>
      </c>
      <c r="M498" s="178" t="e">
        <f t="shared" si="37"/>
        <v>#REF!</v>
      </c>
      <c r="N498" s="178">
        <f t="shared" si="37"/>
        <v>344360</v>
      </c>
      <c r="O498" s="178">
        <f t="shared" si="37"/>
        <v>733240</v>
      </c>
      <c r="P498" s="178">
        <f t="shared" si="37"/>
        <v>1077600</v>
      </c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</row>
    <row r="499" spans="1:16" ht="41.25" customHeight="1">
      <c r="A499" s="144" t="s">
        <v>403</v>
      </c>
      <c r="B499" s="174"/>
      <c r="C499" s="174"/>
      <c r="D499" s="173"/>
      <c r="E499" s="173"/>
      <c r="F499" s="173"/>
      <c r="G499" s="173"/>
      <c r="H499" s="173"/>
      <c r="I499" s="173"/>
      <c r="J499" s="173"/>
      <c r="K499" s="141"/>
      <c r="L499" s="173"/>
      <c r="M499" s="173"/>
      <c r="N499" s="173"/>
      <c r="O499" s="173"/>
      <c r="P499" s="173"/>
    </row>
    <row r="500" spans="1:131" s="78" customFormat="1" ht="45" customHeight="1">
      <c r="A500" s="75" t="s">
        <v>45</v>
      </c>
      <c r="B500" s="76"/>
      <c r="C500" s="76"/>
      <c r="D500" s="74">
        <f>D502</f>
        <v>2964000</v>
      </c>
      <c r="E500" s="74">
        <f>E502</f>
        <v>0</v>
      </c>
      <c r="F500" s="74">
        <f>D500+E500</f>
        <v>2964000</v>
      </c>
      <c r="G500" s="74">
        <f>G502</f>
        <v>5167700</v>
      </c>
      <c r="H500" s="74"/>
      <c r="I500" s="74"/>
      <c r="J500" s="74">
        <f>J502</f>
        <v>5167700</v>
      </c>
      <c r="K500" s="74"/>
      <c r="L500" s="74"/>
      <c r="M500" s="74"/>
      <c r="N500" s="74">
        <f>N502</f>
        <v>5377100</v>
      </c>
      <c r="O500" s="74"/>
      <c r="P500" s="74">
        <f>N500</f>
        <v>5377100</v>
      </c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</row>
    <row r="501" spans="1:16" ht="13.5">
      <c r="A501" s="143" t="s">
        <v>206</v>
      </c>
      <c r="B501" s="8"/>
      <c r="C501" s="8"/>
      <c r="D501" s="9"/>
      <c r="E501" s="9"/>
      <c r="F501" s="170"/>
      <c r="G501" s="9"/>
      <c r="H501" s="9"/>
      <c r="I501" s="9"/>
      <c r="J501" s="9"/>
      <c r="K501" s="141"/>
      <c r="L501" s="9"/>
      <c r="M501" s="9"/>
      <c r="N501" s="9"/>
      <c r="O501" s="9"/>
      <c r="P501" s="9"/>
    </row>
    <row r="502" spans="1:16" ht="23.25" customHeight="1">
      <c r="A502" s="144" t="s">
        <v>318</v>
      </c>
      <c r="B502" s="174"/>
      <c r="C502" s="174"/>
      <c r="D502" s="141">
        <f>3835300+850000-1649300-72000</f>
        <v>2964000</v>
      </c>
      <c r="E502" s="141">
        <f>1330000-1330000</f>
        <v>0</v>
      </c>
      <c r="F502" s="170">
        <f>D502+E502</f>
        <v>2964000</v>
      </c>
      <c r="G502" s="141">
        <f>4167700+1000000</f>
        <v>5167700</v>
      </c>
      <c r="H502" s="141"/>
      <c r="I502" s="141"/>
      <c r="J502" s="141">
        <f>G502</f>
        <v>5167700</v>
      </c>
      <c r="K502" s="141">
        <f>G502/D502*100</f>
        <v>174.34885290148446</v>
      </c>
      <c r="L502" s="141"/>
      <c r="M502" s="141"/>
      <c r="N502" s="141">
        <f>4377100+1000000</f>
        <v>5377100</v>
      </c>
      <c r="O502" s="141"/>
      <c r="P502" s="141">
        <f>N502</f>
        <v>5377100</v>
      </c>
    </row>
    <row r="503" spans="1:16" ht="13.5">
      <c r="A503" s="143" t="s">
        <v>189</v>
      </c>
      <c r="B503" s="8"/>
      <c r="C503" s="8"/>
      <c r="D503" s="9"/>
      <c r="E503" s="9"/>
      <c r="F503" s="170"/>
      <c r="G503" s="9"/>
      <c r="H503" s="9"/>
      <c r="I503" s="9"/>
      <c r="J503" s="141"/>
      <c r="K503" s="141"/>
      <c r="L503" s="9"/>
      <c r="M503" s="9"/>
      <c r="N503" s="9"/>
      <c r="O503" s="9"/>
      <c r="P503" s="141"/>
    </row>
    <row r="504" spans="1:16" ht="13.5">
      <c r="A504" s="144" t="s">
        <v>317</v>
      </c>
      <c r="B504" s="174"/>
      <c r="C504" s="174"/>
      <c r="D504" s="171">
        <v>12</v>
      </c>
      <c r="E504" s="141">
        <v>0</v>
      </c>
      <c r="F504" s="170">
        <f>D504+E504</f>
        <v>12</v>
      </c>
      <c r="G504" s="141">
        <v>10</v>
      </c>
      <c r="H504" s="141"/>
      <c r="I504" s="141"/>
      <c r="J504" s="141">
        <f>G504</f>
        <v>10</v>
      </c>
      <c r="K504" s="141">
        <f>G504/D504*100</f>
        <v>83.33333333333334</v>
      </c>
      <c r="L504" s="141"/>
      <c r="M504" s="141"/>
      <c r="N504" s="141">
        <v>10</v>
      </c>
      <c r="O504" s="141"/>
      <c r="P504" s="141">
        <f>N504</f>
        <v>10</v>
      </c>
    </row>
    <row r="505" spans="1:16" ht="13.5">
      <c r="A505" s="143" t="s">
        <v>191</v>
      </c>
      <c r="B505" s="8"/>
      <c r="C505" s="8"/>
      <c r="D505" s="9"/>
      <c r="E505" s="9"/>
      <c r="F505" s="170"/>
      <c r="G505" s="9"/>
      <c r="H505" s="9"/>
      <c r="I505" s="9"/>
      <c r="J505" s="141"/>
      <c r="K505" s="141"/>
      <c r="L505" s="9"/>
      <c r="M505" s="9"/>
      <c r="N505" s="9"/>
      <c r="O505" s="9"/>
      <c r="P505" s="141"/>
    </row>
    <row r="506" spans="1:16" ht="20.25" customHeight="1">
      <c r="A506" s="194" t="s">
        <v>319</v>
      </c>
      <c r="B506" s="140"/>
      <c r="C506" s="140"/>
      <c r="D506" s="195">
        <f>D502/D504</f>
        <v>247000</v>
      </c>
      <c r="E506" s="195">
        <v>0</v>
      </c>
      <c r="F506" s="196">
        <f>D506+E506</f>
        <v>247000</v>
      </c>
      <c r="G506" s="195">
        <f>G502/G504</f>
        <v>516770</v>
      </c>
      <c r="H506" s="195"/>
      <c r="I506" s="195"/>
      <c r="J506" s="195">
        <f>G506</f>
        <v>516770</v>
      </c>
      <c r="K506" s="195">
        <f>G506/D506*100</f>
        <v>209.2186234817814</v>
      </c>
      <c r="L506" s="195"/>
      <c r="M506" s="195"/>
      <c r="N506" s="195">
        <f>N502/N504</f>
        <v>537710</v>
      </c>
      <c r="O506" s="195"/>
      <c r="P506" s="195">
        <f>N506</f>
        <v>537710</v>
      </c>
    </row>
    <row r="507" spans="1:131" s="85" customFormat="1" ht="33.75" customHeight="1">
      <c r="A507" s="75" t="s">
        <v>112</v>
      </c>
      <c r="B507" s="76"/>
      <c r="C507" s="76"/>
      <c r="D507" s="74">
        <f>D508+D515+D522+D529+D534+D541+D548+D555+D562+D569+D576+D583+D590+D597+D604+D613+D620+D634</f>
        <v>3506414</v>
      </c>
      <c r="E507" s="74">
        <f>E508+E515+E522+E529+E534+E541+E548+E555+E562+E569+E576+E583+E590+E597+E604+E613+E620+E634</f>
        <v>1780000</v>
      </c>
      <c r="F507" s="74">
        <f>F508+F515+F522+F529+F534+F541+F548+F555+F562+F569+F576+F583+F590+F597+F604+F613+F620+F634</f>
        <v>5286414</v>
      </c>
      <c r="G507" s="74">
        <f>G508+G515+G522+G529+G534+G541+G548+G555+G562+G569+G576+G583+G590+G597+G604+G613+G620+G627+G634+G641</f>
        <v>7633259</v>
      </c>
      <c r="H507" s="74">
        <f>H508+H515+H522+H529+H534+H541+H548+H555+H562+H569+H576+H583+H590+H597+H604+H613+H620+H627+H634+H641</f>
        <v>11036260</v>
      </c>
      <c r="I507" s="74">
        <f>I508+I515+I522+I529+I534+I541+I548+I555+I562+I569+I576+I583+I590+I597+I604+I613+I620+I627+I634+I641</f>
        <v>0</v>
      </c>
      <c r="J507" s="74">
        <f>J508+J515+J522+J529+J534+J541+J548+J555+J562+J569+J576+J583+J590+J597+J604+J613+J620+J627+J634+J641</f>
        <v>18669519</v>
      </c>
      <c r="K507" s="74" t="e">
        <f>K508+K515+K522+K529+K534+K541+K548+#REF!+K555+K562+#REF!+K569+K576+K583+K590+K597+K604+K613+K620+K634</f>
        <v>#REF!</v>
      </c>
      <c r="L507" s="74" t="e">
        <f>L508+L515+L522+L529+L534+L541+L548+#REF!+L555+L562+#REF!+L569+L576+L583+L590+L597+L604+L613+L620+L634</f>
        <v>#REF!</v>
      </c>
      <c r="M507" s="74" t="e">
        <f>M508+M515+M522+M529+M534+M541+M548+#REF!+M555+M562+#REF!+M569+M576+M583+M590+M597+M604+M613+M620+M634</f>
        <v>#REF!</v>
      </c>
      <c r="N507" s="74">
        <f>N508+N515+N522+N529+N534+N541+N548+N555+N562+N569+N576+N583+N590+N597+N604+N613+N620+N634</f>
        <v>2467000</v>
      </c>
      <c r="O507" s="74">
        <f>O508+O515+O522+O529+O534+O541+O548+O555+O562+O569+O576+O583+O590+O597+O604+O613+O620+O634</f>
        <v>0</v>
      </c>
      <c r="P507" s="74">
        <f>P508+P515+P522+P529+P534+P541+P548+P555+P562+P569+P576+P583+P590+P597+P604+P613+P620+P634</f>
        <v>2467000</v>
      </c>
      <c r="Q507" s="74" t="e">
        <f>Q508+Q515+Q522+Q529+Q534+Q541+Q548+#REF!+Q555+Q562+#REF!+Q569+Q576+Q583+#REF!+#REF!+Q590+Q597</f>
        <v>#REF!</v>
      </c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  <c r="AY507" s="84"/>
      <c r="AZ507" s="84"/>
      <c r="BA507" s="84"/>
      <c r="BB507" s="84"/>
      <c r="BC507" s="84"/>
      <c r="BD507" s="84"/>
      <c r="BE507" s="84"/>
      <c r="BF507" s="84"/>
      <c r="BG507" s="84"/>
      <c r="BH507" s="84"/>
      <c r="BI507" s="84"/>
      <c r="BJ507" s="84"/>
      <c r="BK507" s="84"/>
      <c r="BL507" s="84"/>
      <c r="BM507" s="84"/>
      <c r="BN507" s="84"/>
      <c r="BO507" s="84"/>
      <c r="BP507" s="84"/>
      <c r="BQ507" s="84"/>
      <c r="BR507" s="84"/>
      <c r="BS507" s="84"/>
      <c r="BT507" s="84"/>
      <c r="BU507" s="84"/>
      <c r="BV507" s="84"/>
      <c r="BW507" s="84"/>
      <c r="BX507" s="84"/>
      <c r="BY507" s="84"/>
      <c r="BZ507" s="84"/>
      <c r="CA507" s="84"/>
      <c r="CB507" s="84"/>
      <c r="CC507" s="84"/>
      <c r="CD507" s="84"/>
      <c r="CE507" s="84"/>
      <c r="CF507" s="84"/>
      <c r="CG507" s="84"/>
      <c r="CH507" s="84"/>
      <c r="CI507" s="84"/>
      <c r="CJ507" s="84"/>
      <c r="CK507" s="84"/>
      <c r="CL507" s="84"/>
      <c r="CM507" s="84"/>
      <c r="CN507" s="84"/>
      <c r="CO507" s="84"/>
      <c r="CP507" s="84"/>
      <c r="CQ507" s="84"/>
      <c r="CR507" s="84"/>
      <c r="CS507" s="84"/>
      <c r="CT507" s="84"/>
      <c r="CU507" s="84"/>
      <c r="CV507" s="84"/>
      <c r="CW507" s="84"/>
      <c r="CX507" s="84"/>
      <c r="CY507" s="84"/>
      <c r="CZ507" s="84"/>
      <c r="DA507" s="84"/>
      <c r="DB507" s="84"/>
      <c r="DC507" s="84"/>
      <c r="DD507" s="84"/>
      <c r="DE507" s="84"/>
      <c r="DF507" s="84"/>
      <c r="DG507" s="84"/>
      <c r="DH507" s="84"/>
      <c r="DI507" s="84"/>
      <c r="DJ507" s="84"/>
      <c r="DK507" s="84"/>
      <c r="DL507" s="84"/>
      <c r="DM507" s="84"/>
      <c r="DN507" s="84"/>
      <c r="DO507" s="84"/>
      <c r="DP507" s="84"/>
      <c r="DQ507" s="84"/>
      <c r="DR507" s="84"/>
      <c r="DS507" s="84"/>
      <c r="DT507" s="84"/>
      <c r="DU507" s="84"/>
      <c r="DV507" s="84"/>
      <c r="DW507" s="84"/>
      <c r="DX507" s="84"/>
      <c r="DY507" s="84"/>
      <c r="DZ507" s="84"/>
      <c r="EA507" s="84"/>
    </row>
    <row r="508" spans="1:131" s="11" customFormat="1" ht="30.75" customHeight="1">
      <c r="A508" s="142" t="s">
        <v>170</v>
      </c>
      <c r="B508" s="146"/>
      <c r="C508" s="146"/>
      <c r="D508" s="197">
        <f>D510</f>
        <v>40000</v>
      </c>
      <c r="E508" s="197"/>
      <c r="F508" s="197">
        <f>D508</f>
        <v>40000</v>
      </c>
      <c r="G508" s="197">
        <f>G510</f>
        <v>136600</v>
      </c>
      <c r="H508" s="197"/>
      <c r="I508" s="197"/>
      <c r="J508" s="197">
        <f>G508</f>
        <v>136600</v>
      </c>
      <c r="K508" s="197"/>
      <c r="L508" s="197"/>
      <c r="M508" s="197"/>
      <c r="N508" s="197">
        <f>N510</f>
        <v>150000</v>
      </c>
      <c r="O508" s="197"/>
      <c r="P508" s="197">
        <f>N508</f>
        <v>150000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</row>
    <row r="509" spans="1:16" ht="12.75">
      <c r="A509" s="143" t="s">
        <v>188</v>
      </c>
      <c r="B509" s="198"/>
      <c r="C509" s="198"/>
      <c r="D509" s="199"/>
      <c r="E509" s="199"/>
      <c r="F509" s="199"/>
      <c r="G509" s="199"/>
      <c r="H509" s="199"/>
      <c r="I509" s="199"/>
      <c r="J509" s="199"/>
      <c r="K509" s="200"/>
      <c r="L509" s="200"/>
      <c r="M509" s="200"/>
      <c r="N509" s="199"/>
      <c r="O509" s="199"/>
      <c r="P509" s="199"/>
    </row>
    <row r="510" spans="1:16" ht="12.75">
      <c r="A510" s="144" t="s">
        <v>209</v>
      </c>
      <c r="B510" s="198"/>
      <c r="C510" s="198"/>
      <c r="D510" s="200">
        <f>102200-62200</f>
        <v>40000</v>
      </c>
      <c r="E510" s="200"/>
      <c r="F510" s="200">
        <f>D510</f>
        <v>40000</v>
      </c>
      <c r="G510" s="199">
        <f>137300-700</f>
        <v>136600</v>
      </c>
      <c r="H510" s="199"/>
      <c r="I510" s="199"/>
      <c r="J510" s="199">
        <f>G510</f>
        <v>136600</v>
      </c>
      <c r="K510" s="200"/>
      <c r="L510" s="200"/>
      <c r="M510" s="200"/>
      <c r="N510" s="199">
        <v>150000</v>
      </c>
      <c r="O510" s="199"/>
      <c r="P510" s="199">
        <f>N510</f>
        <v>150000</v>
      </c>
    </row>
    <row r="511" spans="1:16" ht="12.75">
      <c r="A511" s="143" t="s">
        <v>189</v>
      </c>
      <c r="B511" s="198"/>
      <c r="C511" s="198"/>
      <c r="D511" s="200"/>
      <c r="E511" s="200"/>
      <c r="F511" s="200"/>
      <c r="G511" s="199"/>
      <c r="H511" s="199"/>
      <c r="I511" s="199"/>
      <c r="J511" s="199"/>
      <c r="K511" s="200"/>
      <c r="L511" s="200"/>
      <c r="M511" s="200"/>
      <c r="N511" s="199"/>
      <c r="O511" s="199"/>
      <c r="P511" s="199"/>
    </row>
    <row r="512" spans="1:16" ht="12.75">
      <c r="A512" s="144" t="s">
        <v>342</v>
      </c>
      <c r="B512" s="198"/>
      <c r="C512" s="198"/>
      <c r="D512" s="200">
        <v>53</v>
      </c>
      <c r="E512" s="200"/>
      <c r="F512" s="200">
        <f>D512</f>
        <v>53</v>
      </c>
      <c r="G512" s="201">
        <v>180</v>
      </c>
      <c r="H512" s="199"/>
      <c r="I512" s="199"/>
      <c r="J512" s="201">
        <f>G512</f>
        <v>180</v>
      </c>
      <c r="K512" s="200"/>
      <c r="L512" s="200"/>
      <c r="M512" s="200"/>
      <c r="N512" s="201">
        <v>190</v>
      </c>
      <c r="O512" s="201"/>
      <c r="P512" s="201">
        <f>N512</f>
        <v>190</v>
      </c>
    </row>
    <row r="513" spans="1:16" ht="12.75">
      <c r="A513" s="143" t="s">
        <v>191</v>
      </c>
      <c r="B513" s="198"/>
      <c r="C513" s="198"/>
      <c r="D513" s="200"/>
      <c r="E513" s="200"/>
      <c r="F513" s="200"/>
      <c r="G513" s="199"/>
      <c r="H513" s="199"/>
      <c r="I513" s="199"/>
      <c r="J513" s="199"/>
      <c r="K513" s="200"/>
      <c r="L513" s="200"/>
      <c r="M513" s="200"/>
      <c r="N513" s="199"/>
      <c r="O513" s="199"/>
      <c r="P513" s="199"/>
    </row>
    <row r="514" spans="1:16" ht="12.75">
      <c r="A514" s="144" t="s">
        <v>331</v>
      </c>
      <c r="B514" s="198"/>
      <c r="C514" s="198"/>
      <c r="D514" s="200">
        <f>D510/D512</f>
        <v>754.7169811320755</v>
      </c>
      <c r="E514" s="200"/>
      <c r="F514" s="200">
        <f>D514</f>
        <v>754.7169811320755</v>
      </c>
      <c r="G514" s="199">
        <f>G510/G512</f>
        <v>758.8888888888889</v>
      </c>
      <c r="H514" s="199"/>
      <c r="I514" s="199"/>
      <c r="J514" s="199">
        <f>G514</f>
        <v>758.8888888888889</v>
      </c>
      <c r="K514" s="200"/>
      <c r="L514" s="200"/>
      <c r="M514" s="200"/>
      <c r="N514" s="199">
        <f>N510/N512</f>
        <v>789.4736842105264</v>
      </c>
      <c r="O514" s="199"/>
      <c r="P514" s="199">
        <f>N514</f>
        <v>789.4736842105264</v>
      </c>
    </row>
    <row r="515" spans="1:131" s="12" customFormat="1" ht="32.25" customHeight="1">
      <c r="A515" s="202" t="s">
        <v>64</v>
      </c>
      <c r="B515" s="158"/>
      <c r="C515" s="158"/>
      <c r="D515" s="197">
        <f>4000+700</f>
        <v>4700</v>
      </c>
      <c r="E515" s="197"/>
      <c r="F515" s="197">
        <f>D515</f>
        <v>4700</v>
      </c>
      <c r="G515" s="197">
        <f>4000+700</f>
        <v>4700</v>
      </c>
      <c r="H515" s="197"/>
      <c r="I515" s="197"/>
      <c r="J515" s="197">
        <f>G515</f>
        <v>4700</v>
      </c>
      <c r="K515" s="203"/>
      <c r="L515" s="203"/>
      <c r="M515" s="203"/>
      <c r="N515" s="197">
        <v>4000</v>
      </c>
      <c r="O515" s="197"/>
      <c r="P515" s="197">
        <f>N515</f>
        <v>4000</v>
      </c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</row>
    <row r="516" spans="1:131" s="65" customFormat="1" ht="13.5">
      <c r="A516" s="149" t="s">
        <v>188</v>
      </c>
      <c r="B516" s="204"/>
      <c r="C516" s="204"/>
      <c r="D516" s="205"/>
      <c r="E516" s="205"/>
      <c r="F516" s="205"/>
      <c r="G516" s="205"/>
      <c r="H516" s="205"/>
      <c r="I516" s="205"/>
      <c r="J516" s="205"/>
      <c r="K516" s="206"/>
      <c r="L516" s="206"/>
      <c r="M516" s="206"/>
      <c r="N516" s="205"/>
      <c r="O516" s="205"/>
      <c r="P516" s="205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</row>
    <row r="517" spans="1:131" s="65" customFormat="1" ht="12.75">
      <c r="A517" s="148" t="s">
        <v>209</v>
      </c>
      <c r="B517" s="204"/>
      <c r="C517" s="204"/>
      <c r="D517" s="207">
        <f>D515</f>
        <v>4700</v>
      </c>
      <c r="E517" s="207"/>
      <c r="F517" s="207">
        <f>D517</f>
        <v>4700</v>
      </c>
      <c r="G517" s="207">
        <f>G515</f>
        <v>4700</v>
      </c>
      <c r="H517" s="207"/>
      <c r="I517" s="207"/>
      <c r="J517" s="207">
        <f>G517</f>
        <v>4700</v>
      </c>
      <c r="K517" s="207"/>
      <c r="L517" s="207"/>
      <c r="M517" s="207"/>
      <c r="N517" s="207">
        <f>N515</f>
        <v>4000</v>
      </c>
      <c r="O517" s="207"/>
      <c r="P517" s="207">
        <f>P515</f>
        <v>4000</v>
      </c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</row>
    <row r="518" spans="1:16" ht="12.75">
      <c r="A518" s="143" t="s">
        <v>189</v>
      </c>
      <c r="B518" s="198"/>
      <c r="C518" s="198"/>
      <c r="D518" s="199"/>
      <c r="E518" s="199"/>
      <c r="F518" s="199"/>
      <c r="G518" s="199"/>
      <c r="H518" s="199"/>
      <c r="I518" s="199"/>
      <c r="J518" s="199"/>
      <c r="K518" s="200"/>
      <c r="L518" s="200"/>
      <c r="M518" s="200"/>
      <c r="N518" s="199"/>
      <c r="O518" s="199"/>
      <c r="P518" s="199"/>
    </row>
    <row r="519" spans="1:16" ht="30" customHeight="1">
      <c r="A519" s="208" t="s">
        <v>154</v>
      </c>
      <c r="B519" s="198"/>
      <c r="C519" s="198"/>
      <c r="D519" s="199">
        <v>12</v>
      </c>
      <c r="E519" s="199"/>
      <c r="F519" s="199">
        <f>D519</f>
        <v>12</v>
      </c>
      <c r="G519" s="199">
        <v>12</v>
      </c>
      <c r="H519" s="199"/>
      <c r="I519" s="199"/>
      <c r="J519" s="199">
        <f>G519</f>
        <v>12</v>
      </c>
      <c r="K519" s="200"/>
      <c r="L519" s="200"/>
      <c r="M519" s="200"/>
      <c r="N519" s="199">
        <v>12</v>
      </c>
      <c r="O519" s="199"/>
      <c r="P519" s="199">
        <f>N519</f>
        <v>12</v>
      </c>
    </row>
    <row r="520" spans="1:16" ht="12.75">
      <c r="A520" s="158" t="s">
        <v>388</v>
      </c>
      <c r="B520" s="198"/>
      <c r="C520" s="198"/>
      <c r="D520" s="199"/>
      <c r="E520" s="199"/>
      <c r="F520" s="199"/>
      <c r="G520" s="199"/>
      <c r="H520" s="199"/>
      <c r="I520" s="199"/>
      <c r="J520" s="199"/>
      <c r="K520" s="200"/>
      <c r="L520" s="200"/>
      <c r="M520" s="200"/>
      <c r="N520" s="199"/>
      <c r="O520" s="199"/>
      <c r="P520" s="199"/>
    </row>
    <row r="521" spans="1:16" ht="12.75">
      <c r="A521" s="209" t="s">
        <v>546</v>
      </c>
      <c r="B521" s="198"/>
      <c r="C521" s="198"/>
      <c r="D521" s="199">
        <f>D515/D519</f>
        <v>391.6666666666667</v>
      </c>
      <c r="E521" s="199"/>
      <c r="F521" s="199">
        <f>D521</f>
        <v>391.6666666666667</v>
      </c>
      <c r="G521" s="199">
        <f>G515/G519</f>
        <v>391.6666666666667</v>
      </c>
      <c r="H521" s="199"/>
      <c r="I521" s="199"/>
      <c r="J521" s="199">
        <f>G521</f>
        <v>391.6666666666667</v>
      </c>
      <c r="K521" s="200"/>
      <c r="L521" s="200"/>
      <c r="M521" s="200"/>
      <c r="N521" s="199">
        <f>N515/N519</f>
        <v>333.3333333333333</v>
      </c>
      <c r="O521" s="199"/>
      <c r="P521" s="199">
        <f>N521</f>
        <v>333.3333333333333</v>
      </c>
    </row>
    <row r="522" spans="1:16" ht="27" customHeight="1">
      <c r="A522" s="146" t="s">
        <v>65</v>
      </c>
      <c r="B522" s="198"/>
      <c r="C522" s="198"/>
      <c r="D522" s="197">
        <f>101700-700</f>
        <v>101000</v>
      </c>
      <c r="E522" s="197"/>
      <c r="F522" s="197">
        <f>D522</f>
        <v>101000</v>
      </c>
      <c r="G522" s="197">
        <v>60000</v>
      </c>
      <c r="H522" s="197"/>
      <c r="I522" s="197"/>
      <c r="J522" s="197">
        <f>G522</f>
        <v>60000</v>
      </c>
      <c r="K522" s="200"/>
      <c r="L522" s="200"/>
      <c r="M522" s="200"/>
      <c r="N522" s="197">
        <v>65000</v>
      </c>
      <c r="O522" s="199"/>
      <c r="P522" s="197">
        <f>N522+O522</f>
        <v>65000</v>
      </c>
    </row>
    <row r="523" spans="1:131" s="44" customFormat="1" ht="13.5">
      <c r="A523" s="143" t="s">
        <v>188</v>
      </c>
      <c r="B523" s="210"/>
      <c r="C523" s="210"/>
      <c r="D523" s="205"/>
      <c r="E523" s="205"/>
      <c r="F523" s="205"/>
      <c r="G523" s="205"/>
      <c r="H523" s="205"/>
      <c r="I523" s="205"/>
      <c r="J523" s="205"/>
      <c r="K523" s="207"/>
      <c r="L523" s="207"/>
      <c r="M523" s="207"/>
      <c r="N523" s="211"/>
      <c r="O523" s="211"/>
      <c r="P523" s="199">
        <f aca="true" t="shared" si="38" ref="P523:P528">N523+O523</f>
        <v>0</v>
      </c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</row>
    <row r="524" spans="1:131" s="44" customFormat="1" ht="12.75">
      <c r="A524" s="144" t="s">
        <v>209</v>
      </c>
      <c r="B524" s="210"/>
      <c r="C524" s="210"/>
      <c r="D524" s="207">
        <f>D522</f>
        <v>101000</v>
      </c>
      <c r="E524" s="207"/>
      <c r="F524" s="207">
        <f>D524</f>
        <v>101000</v>
      </c>
      <c r="G524" s="207">
        <f>G522</f>
        <v>60000</v>
      </c>
      <c r="H524" s="207"/>
      <c r="I524" s="207"/>
      <c r="J524" s="207">
        <f>G524</f>
        <v>60000</v>
      </c>
      <c r="K524" s="207"/>
      <c r="L524" s="207"/>
      <c r="M524" s="207"/>
      <c r="N524" s="211">
        <f>N522</f>
        <v>65000</v>
      </c>
      <c r="O524" s="211"/>
      <c r="P524" s="199">
        <f t="shared" si="38"/>
        <v>65000</v>
      </c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</row>
    <row r="525" spans="1:16" ht="12.75">
      <c r="A525" s="143" t="s">
        <v>189</v>
      </c>
      <c r="B525" s="198"/>
      <c r="C525" s="198"/>
      <c r="D525" s="199"/>
      <c r="E525" s="199"/>
      <c r="F525" s="199"/>
      <c r="G525" s="199"/>
      <c r="H525" s="199"/>
      <c r="I525" s="199"/>
      <c r="J525" s="199"/>
      <c r="K525" s="200"/>
      <c r="L525" s="200"/>
      <c r="M525" s="200"/>
      <c r="N525" s="199"/>
      <c r="O525" s="199"/>
      <c r="P525" s="199">
        <f t="shared" si="38"/>
        <v>0</v>
      </c>
    </row>
    <row r="526" spans="1:16" ht="20.25" customHeight="1">
      <c r="A526" s="144" t="s">
        <v>339</v>
      </c>
      <c r="B526" s="198"/>
      <c r="C526" s="198"/>
      <c r="D526" s="199">
        <v>9</v>
      </c>
      <c r="E526" s="199"/>
      <c r="F526" s="199">
        <f>D526</f>
        <v>9</v>
      </c>
      <c r="G526" s="199">
        <v>9</v>
      </c>
      <c r="H526" s="199"/>
      <c r="I526" s="199"/>
      <c r="J526" s="199">
        <f>G526</f>
        <v>9</v>
      </c>
      <c r="K526" s="200"/>
      <c r="L526" s="200"/>
      <c r="M526" s="200"/>
      <c r="N526" s="199">
        <v>9</v>
      </c>
      <c r="O526" s="199"/>
      <c r="P526" s="199">
        <f t="shared" si="38"/>
        <v>9</v>
      </c>
    </row>
    <row r="527" spans="1:16" ht="12.75">
      <c r="A527" s="158" t="s">
        <v>191</v>
      </c>
      <c r="B527" s="198"/>
      <c r="C527" s="198"/>
      <c r="D527" s="199"/>
      <c r="E527" s="199"/>
      <c r="F527" s="199"/>
      <c r="G527" s="199"/>
      <c r="H527" s="199"/>
      <c r="I527" s="199"/>
      <c r="J527" s="199"/>
      <c r="K527" s="200"/>
      <c r="L527" s="200"/>
      <c r="M527" s="200"/>
      <c r="N527" s="199"/>
      <c r="O527" s="199"/>
      <c r="P527" s="199">
        <f t="shared" si="38"/>
        <v>0</v>
      </c>
    </row>
    <row r="528" spans="1:16" ht="15.75" customHeight="1">
      <c r="A528" s="198" t="s">
        <v>340</v>
      </c>
      <c r="B528" s="198"/>
      <c r="C528" s="198"/>
      <c r="D528" s="199">
        <f>D522/D526</f>
        <v>11222.222222222223</v>
      </c>
      <c r="E528" s="199"/>
      <c r="F528" s="199">
        <f>D528</f>
        <v>11222.222222222223</v>
      </c>
      <c r="G528" s="199">
        <f>G522/G526</f>
        <v>6666.666666666667</v>
      </c>
      <c r="H528" s="199"/>
      <c r="I528" s="199"/>
      <c r="J528" s="199">
        <f>G528</f>
        <v>6666.666666666667</v>
      </c>
      <c r="K528" s="200"/>
      <c r="L528" s="200"/>
      <c r="M528" s="200"/>
      <c r="N528" s="199">
        <f>N522/N526</f>
        <v>7222.222222222223</v>
      </c>
      <c r="O528" s="199"/>
      <c r="P528" s="199">
        <f t="shared" si="38"/>
        <v>7222.222222222223</v>
      </c>
    </row>
    <row r="529" spans="1:131" s="11" customFormat="1" ht="24.75" customHeight="1">
      <c r="A529" s="146" t="s">
        <v>66</v>
      </c>
      <c r="B529" s="146"/>
      <c r="C529" s="146"/>
      <c r="D529" s="197">
        <f>45000+15000</f>
        <v>60000</v>
      </c>
      <c r="E529" s="197"/>
      <c r="F529" s="197">
        <f>D529</f>
        <v>60000</v>
      </c>
      <c r="G529" s="197">
        <f>50000+10000</f>
        <v>60000</v>
      </c>
      <c r="H529" s="197"/>
      <c r="I529" s="197"/>
      <c r="J529" s="197">
        <f>G529</f>
        <v>60000</v>
      </c>
      <c r="K529" s="197"/>
      <c r="L529" s="197"/>
      <c r="M529" s="197"/>
      <c r="N529" s="197">
        <v>55000</v>
      </c>
      <c r="O529" s="197"/>
      <c r="P529" s="197">
        <f>N529</f>
        <v>55000</v>
      </c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</row>
    <row r="530" spans="1:16" ht="12.75" customHeight="1">
      <c r="A530" s="158" t="s">
        <v>261</v>
      </c>
      <c r="B530" s="146"/>
      <c r="C530" s="146"/>
      <c r="D530" s="197"/>
      <c r="E530" s="197"/>
      <c r="F530" s="197"/>
      <c r="G530" s="197"/>
      <c r="H530" s="197"/>
      <c r="I530" s="197"/>
      <c r="J530" s="197"/>
      <c r="K530" s="200"/>
      <c r="L530" s="197"/>
      <c r="M530" s="197"/>
      <c r="N530" s="197"/>
      <c r="O530" s="197"/>
      <c r="P530" s="197"/>
    </row>
    <row r="531" spans="1:16" ht="24" customHeight="1">
      <c r="A531" s="144" t="s">
        <v>260</v>
      </c>
      <c r="B531" s="198"/>
      <c r="C531" s="198"/>
      <c r="D531" s="199">
        <v>1500</v>
      </c>
      <c r="E531" s="199"/>
      <c r="F531" s="199">
        <f>D531</f>
        <v>1500</v>
      </c>
      <c r="G531" s="199">
        <v>3350</v>
      </c>
      <c r="H531" s="199"/>
      <c r="I531" s="199"/>
      <c r="J531" s="199">
        <f>G531</f>
        <v>3350</v>
      </c>
      <c r="K531" s="200"/>
      <c r="L531" s="200"/>
      <c r="M531" s="200"/>
      <c r="N531" s="199">
        <v>3350</v>
      </c>
      <c r="O531" s="199"/>
      <c r="P531" s="199">
        <f>N531</f>
        <v>3350</v>
      </c>
    </row>
    <row r="532" spans="1:16" ht="12.75">
      <c r="A532" s="158" t="s">
        <v>436</v>
      </c>
      <c r="B532" s="198"/>
      <c r="C532" s="198"/>
      <c r="D532" s="199"/>
      <c r="E532" s="199"/>
      <c r="F532" s="199"/>
      <c r="G532" s="199"/>
      <c r="H532" s="199"/>
      <c r="I532" s="199"/>
      <c r="J532" s="199"/>
      <c r="K532" s="200"/>
      <c r="L532" s="200"/>
      <c r="M532" s="200"/>
      <c r="N532" s="199"/>
      <c r="O532" s="199"/>
      <c r="P532" s="199"/>
    </row>
    <row r="533" spans="1:131" s="44" customFormat="1" ht="17.25" customHeight="1">
      <c r="A533" s="212" t="s">
        <v>435</v>
      </c>
      <c r="B533" s="212"/>
      <c r="C533" s="212"/>
      <c r="D533" s="213">
        <f>D529/D531</f>
        <v>40</v>
      </c>
      <c r="E533" s="213"/>
      <c r="F533" s="213">
        <f>D533</f>
        <v>40</v>
      </c>
      <c r="G533" s="213">
        <f>G529/G531</f>
        <v>17.91044776119403</v>
      </c>
      <c r="H533" s="213"/>
      <c r="I533" s="213"/>
      <c r="J533" s="213">
        <f>G533</f>
        <v>17.91044776119403</v>
      </c>
      <c r="K533" s="214"/>
      <c r="L533" s="214"/>
      <c r="M533" s="214"/>
      <c r="N533" s="213">
        <f>N529/N531</f>
        <v>16.417910447761194</v>
      </c>
      <c r="O533" s="213"/>
      <c r="P533" s="213">
        <f>N533</f>
        <v>16.417910447761194</v>
      </c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</row>
    <row r="534" spans="1:16" ht="24.75" customHeight="1">
      <c r="A534" s="142" t="s">
        <v>113</v>
      </c>
      <c r="B534" s="198"/>
      <c r="C534" s="198"/>
      <c r="D534" s="197">
        <f>D536</f>
        <v>406500</v>
      </c>
      <c r="E534" s="197"/>
      <c r="F534" s="197">
        <f>D534</f>
        <v>406500</v>
      </c>
      <c r="G534" s="197">
        <f>G536</f>
        <v>470000</v>
      </c>
      <c r="H534" s="197"/>
      <c r="I534" s="197"/>
      <c r="J534" s="197">
        <f>J536</f>
        <v>470000</v>
      </c>
      <c r="K534" s="203"/>
      <c r="L534" s="203"/>
      <c r="M534" s="203"/>
      <c r="N534" s="197">
        <f>N536</f>
        <v>265000</v>
      </c>
      <c r="O534" s="197"/>
      <c r="P534" s="197">
        <f>N534</f>
        <v>265000</v>
      </c>
    </row>
    <row r="535" spans="1:16" ht="12.75">
      <c r="A535" s="143" t="s">
        <v>188</v>
      </c>
      <c r="B535" s="198"/>
      <c r="C535" s="198"/>
      <c r="D535" s="199"/>
      <c r="E535" s="199"/>
      <c r="F535" s="199"/>
      <c r="G535" s="199"/>
      <c r="H535" s="199"/>
      <c r="I535" s="199"/>
      <c r="J535" s="199"/>
      <c r="K535" s="200"/>
      <c r="L535" s="200"/>
      <c r="M535" s="200"/>
      <c r="N535" s="199"/>
      <c r="O535" s="199"/>
      <c r="P535" s="199"/>
    </row>
    <row r="536" spans="1:16" ht="12.75">
      <c r="A536" s="144" t="s">
        <v>209</v>
      </c>
      <c r="B536" s="198"/>
      <c r="C536" s="198"/>
      <c r="D536" s="199">
        <f>240000+100000+66500</f>
        <v>406500</v>
      </c>
      <c r="E536" s="199"/>
      <c r="F536" s="199">
        <f>D536</f>
        <v>406500</v>
      </c>
      <c r="G536" s="199">
        <f>253000+217000</f>
        <v>470000</v>
      </c>
      <c r="H536" s="199"/>
      <c r="I536" s="199"/>
      <c r="J536" s="199">
        <f>G536</f>
        <v>470000</v>
      </c>
      <c r="K536" s="200"/>
      <c r="L536" s="200"/>
      <c r="M536" s="200"/>
      <c r="N536" s="199">
        <v>265000</v>
      </c>
      <c r="O536" s="199"/>
      <c r="P536" s="199">
        <f>N536</f>
        <v>265000</v>
      </c>
    </row>
    <row r="537" spans="1:16" ht="12.75">
      <c r="A537" s="143" t="s">
        <v>189</v>
      </c>
      <c r="B537" s="198"/>
      <c r="C537" s="198"/>
      <c r="D537" s="199"/>
      <c r="E537" s="199"/>
      <c r="F537" s="199"/>
      <c r="G537" s="199"/>
      <c r="H537" s="199"/>
      <c r="I537" s="199"/>
      <c r="J537" s="199"/>
      <c r="K537" s="200"/>
      <c r="L537" s="200"/>
      <c r="M537" s="200"/>
      <c r="N537" s="199"/>
      <c r="O537" s="199"/>
      <c r="P537" s="199"/>
    </row>
    <row r="538" spans="1:16" ht="21" customHeight="1">
      <c r="A538" s="144" t="s">
        <v>434</v>
      </c>
      <c r="B538" s="198"/>
      <c r="C538" s="198"/>
      <c r="D538" s="201">
        <f>D536/D540</f>
        <v>116.14285714285714</v>
      </c>
      <c r="E538" s="199"/>
      <c r="F538" s="201">
        <f>D538</f>
        <v>116.14285714285714</v>
      </c>
      <c r="G538" s="201">
        <f>G536/G540</f>
        <v>117.5</v>
      </c>
      <c r="H538" s="201"/>
      <c r="I538" s="201"/>
      <c r="J538" s="201">
        <f>G538</f>
        <v>117.5</v>
      </c>
      <c r="K538" s="215"/>
      <c r="L538" s="215"/>
      <c r="M538" s="215"/>
      <c r="N538" s="201">
        <f>N536/N540</f>
        <v>58.888888888888886</v>
      </c>
      <c r="O538" s="201"/>
      <c r="P538" s="201">
        <f>N538</f>
        <v>58.888888888888886</v>
      </c>
    </row>
    <row r="539" spans="1:16" ht="12.75">
      <c r="A539" s="143" t="s">
        <v>191</v>
      </c>
      <c r="B539" s="198"/>
      <c r="C539" s="198"/>
      <c r="D539" s="199"/>
      <c r="E539" s="199"/>
      <c r="F539" s="199"/>
      <c r="G539" s="199"/>
      <c r="H539" s="199"/>
      <c r="I539" s="199"/>
      <c r="J539" s="199"/>
      <c r="K539" s="200"/>
      <c r="L539" s="200"/>
      <c r="M539" s="200"/>
      <c r="N539" s="199"/>
      <c r="O539" s="199"/>
      <c r="P539" s="199"/>
    </row>
    <row r="540" spans="1:16" ht="18" customHeight="1">
      <c r="A540" s="144" t="s">
        <v>389</v>
      </c>
      <c r="B540" s="198"/>
      <c r="C540" s="198"/>
      <c r="D540" s="199">
        <v>3500</v>
      </c>
      <c r="E540" s="199"/>
      <c r="F540" s="199">
        <f>D540</f>
        <v>3500</v>
      </c>
      <c r="G540" s="199">
        <v>4000</v>
      </c>
      <c r="H540" s="199"/>
      <c r="I540" s="199"/>
      <c r="J540" s="199">
        <f>G540</f>
        <v>4000</v>
      </c>
      <c r="K540" s="200"/>
      <c r="L540" s="200"/>
      <c r="M540" s="200"/>
      <c r="N540" s="199">
        <v>4500</v>
      </c>
      <c r="O540" s="199"/>
      <c r="P540" s="199">
        <f>N540</f>
        <v>4500</v>
      </c>
    </row>
    <row r="541" spans="1:16" ht="27.75" customHeight="1">
      <c r="A541" s="142" t="s">
        <v>114</v>
      </c>
      <c r="B541" s="198"/>
      <c r="C541" s="198"/>
      <c r="D541" s="197">
        <f>D543</f>
        <v>525000</v>
      </c>
      <c r="E541" s="197"/>
      <c r="F541" s="197">
        <f>D541</f>
        <v>525000</v>
      </c>
      <c r="G541" s="197">
        <f>G543</f>
        <v>780000</v>
      </c>
      <c r="H541" s="197"/>
      <c r="I541" s="197"/>
      <c r="J541" s="197">
        <f>G541</f>
        <v>780000</v>
      </c>
      <c r="K541" s="203"/>
      <c r="L541" s="203"/>
      <c r="M541" s="203"/>
      <c r="N541" s="197">
        <f>N543</f>
        <v>560000</v>
      </c>
      <c r="O541" s="197"/>
      <c r="P541" s="197">
        <f>N541</f>
        <v>560000</v>
      </c>
    </row>
    <row r="542" spans="1:16" ht="12.75">
      <c r="A542" s="143" t="s">
        <v>188</v>
      </c>
      <c r="B542" s="198"/>
      <c r="C542" s="198"/>
      <c r="D542" s="199"/>
      <c r="E542" s="199"/>
      <c r="F542" s="199"/>
      <c r="G542" s="199"/>
      <c r="H542" s="199"/>
      <c r="I542" s="199"/>
      <c r="J542" s="199"/>
      <c r="K542" s="200"/>
      <c r="L542" s="200"/>
      <c r="M542" s="200"/>
      <c r="N542" s="199"/>
      <c r="O542" s="199"/>
      <c r="P542" s="199"/>
    </row>
    <row r="543" spans="1:16" ht="12.75">
      <c r="A543" s="144" t="s">
        <v>209</v>
      </c>
      <c r="B543" s="198"/>
      <c r="C543" s="198"/>
      <c r="D543" s="199">
        <v>525000</v>
      </c>
      <c r="E543" s="199"/>
      <c r="F543" s="199">
        <f>D543</f>
        <v>525000</v>
      </c>
      <c r="G543" s="199">
        <f>550000+230000</f>
        <v>780000</v>
      </c>
      <c r="H543" s="199"/>
      <c r="I543" s="199"/>
      <c r="J543" s="199">
        <f>G543</f>
        <v>780000</v>
      </c>
      <c r="K543" s="200"/>
      <c r="L543" s="200"/>
      <c r="M543" s="200"/>
      <c r="N543" s="199">
        <v>560000</v>
      </c>
      <c r="O543" s="199"/>
      <c r="P543" s="199">
        <f>N543</f>
        <v>560000</v>
      </c>
    </row>
    <row r="544" spans="1:16" ht="12.75">
      <c r="A544" s="143" t="s">
        <v>189</v>
      </c>
      <c r="B544" s="198"/>
      <c r="C544" s="198"/>
      <c r="D544" s="199"/>
      <c r="E544" s="199"/>
      <c r="F544" s="199"/>
      <c r="G544" s="199"/>
      <c r="H544" s="199"/>
      <c r="I544" s="199"/>
      <c r="J544" s="199"/>
      <c r="K544" s="200"/>
      <c r="L544" s="200"/>
      <c r="M544" s="200"/>
      <c r="N544" s="199"/>
      <c r="O544" s="199"/>
      <c r="P544" s="199"/>
    </row>
    <row r="545" spans="1:16" ht="22.5" customHeight="1">
      <c r="A545" s="144" t="s">
        <v>391</v>
      </c>
      <c r="B545" s="198"/>
      <c r="C545" s="198"/>
      <c r="D545" s="199">
        <f>D543/D547</f>
        <v>50</v>
      </c>
      <c r="E545" s="199"/>
      <c r="F545" s="199">
        <f>D545</f>
        <v>50</v>
      </c>
      <c r="G545" s="199">
        <v>71</v>
      </c>
      <c r="H545" s="199"/>
      <c r="I545" s="199"/>
      <c r="J545" s="199">
        <f>G545</f>
        <v>71</v>
      </c>
      <c r="K545" s="200"/>
      <c r="L545" s="200"/>
      <c r="M545" s="200"/>
      <c r="N545" s="199">
        <f>N543/N547</f>
        <v>50</v>
      </c>
      <c r="O545" s="199"/>
      <c r="P545" s="199">
        <f>N545</f>
        <v>50</v>
      </c>
    </row>
    <row r="546" spans="1:16" ht="12.75">
      <c r="A546" s="143" t="s">
        <v>191</v>
      </c>
      <c r="B546" s="198"/>
      <c r="C546" s="198"/>
      <c r="D546" s="199"/>
      <c r="E546" s="199"/>
      <c r="F546" s="199"/>
      <c r="G546" s="199"/>
      <c r="H546" s="199"/>
      <c r="I546" s="199"/>
      <c r="J546" s="199"/>
      <c r="K546" s="200"/>
      <c r="L546" s="200"/>
      <c r="M546" s="200"/>
      <c r="N546" s="199"/>
      <c r="O546" s="199"/>
      <c r="P546" s="199"/>
    </row>
    <row r="547" spans="1:16" ht="19.5" customHeight="1">
      <c r="A547" s="144" t="s">
        <v>390</v>
      </c>
      <c r="B547" s="198"/>
      <c r="C547" s="198"/>
      <c r="D547" s="199">
        <v>10500</v>
      </c>
      <c r="E547" s="199"/>
      <c r="F547" s="199">
        <f>D547</f>
        <v>10500</v>
      </c>
      <c r="G547" s="199">
        <f>G543/G545</f>
        <v>10985.915492957747</v>
      </c>
      <c r="H547" s="199"/>
      <c r="I547" s="199"/>
      <c r="J547" s="199">
        <f>G547</f>
        <v>10985.915492957747</v>
      </c>
      <c r="K547" s="200"/>
      <c r="L547" s="200"/>
      <c r="M547" s="200"/>
      <c r="N547" s="199">
        <v>11200</v>
      </c>
      <c r="O547" s="199"/>
      <c r="P547" s="199">
        <f>N547</f>
        <v>11200</v>
      </c>
    </row>
    <row r="548" spans="1:16" ht="27.75" customHeight="1">
      <c r="A548" s="142" t="s">
        <v>67</v>
      </c>
      <c r="B548" s="198"/>
      <c r="C548" s="198"/>
      <c r="D548" s="197">
        <f>D550</f>
        <v>0</v>
      </c>
      <c r="E548" s="197"/>
      <c r="F548" s="197">
        <f>D548</f>
        <v>0</v>
      </c>
      <c r="G548" s="197">
        <f>G550</f>
        <v>520000</v>
      </c>
      <c r="H548" s="197"/>
      <c r="I548" s="197"/>
      <c r="J548" s="197">
        <f>G548+H548</f>
        <v>520000</v>
      </c>
      <c r="K548" s="203"/>
      <c r="L548" s="203"/>
      <c r="M548" s="203"/>
      <c r="N548" s="197">
        <f>N550</f>
        <v>550000</v>
      </c>
      <c r="O548" s="197"/>
      <c r="P548" s="197">
        <f>N548+O548</f>
        <v>550000</v>
      </c>
    </row>
    <row r="549" spans="1:16" ht="12.75">
      <c r="A549" s="143" t="s">
        <v>188</v>
      </c>
      <c r="B549" s="198"/>
      <c r="C549" s="198"/>
      <c r="D549" s="199"/>
      <c r="E549" s="199"/>
      <c r="F549" s="199"/>
      <c r="G549" s="199"/>
      <c r="H549" s="199"/>
      <c r="I549" s="199"/>
      <c r="J549" s="199">
        <f aca="true" t="shared" si="39" ref="J549:J554">G549+H549</f>
        <v>0</v>
      </c>
      <c r="K549" s="200"/>
      <c r="L549" s="200"/>
      <c r="M549" s="200"/>
      <c r="N549" s="199"/>
      <c r="O549" s="199"/>
      <c r="P549" s="199">
        <f aca="true" t="shared" si="40" ref="P549:P554">N549+O549</f>
        <v>0</v>
      </c>
    </row>
    <row r="550" spans="1:16" ht="12.75">
      <c r="A550" s="144" t="s">
        <v>209</v>
      </c>
      <c r="B550" s="198"/>
      <c r="C550" s="198"/>
      <c r="D550" s="199">
        <f>500000-223450-276550</f>
        <v>0</v>
      </c>
      <c r="E550" s="199"/>
      <c r="F550" s="199">
        <f>D550</f>
        <v>0</v>
      </c>
      <c r="G550" s="199">
        <v>520000</v>
      </c>
      <c r="H550" s="199"/>
      <c r="I550" s="199"/>
      <c r="J550" s="199">
        <f t="shared" si="39"/>
        <v>520000</v>
      </c>
      <c r="K550" s="200"/>
      <c r="L550" s="200"/>
      <c r="M550" s="200"/>
      <c r="N550" s="199">
        <v>550000</v>
      </c>
      <c r="O550" s="199"/>
      <c r="P550" s="199">
        <f t="shared" si="40"/>
        <v>550000</v>
      </c>
    </row>
    <row r="551" spans="1:16" ht="12.75">
      <c r="A551" s="143" t="s">
        <v>189</v>
      </c>
      <c r="B551" s="198"/>
      <c r="C551" s="198"/>
      <c r="D551" s="199"/>
      <c r="E551" s="199"/>
      <c r="F551" s="199"/>
      <c r="G551" s="199"/>
      <c r="H551" s="199"/>
      <c r="I551" s="199"/>
      <c r="J551" s="199">
        <f t="shared" si="39"/>
        <v>0</v>
      </c>
      <c r="K551" s="200"/>
      <c r="L551" s="200"/>
      <c r="M551" s="200"/>
      <c r="N551" s="199"/>
      <c r="O551" s="199"/>
      <c r="P551" s="199">
        <f t="shared" si="40"/>
        <v>0</v>
      </c>
    </row>
    <row r="552" spans="1:16" ht="19.5" customHeight="1">
      <c r="A552" s="145" t="s">
        <v>344</v>
      </c>
      <c r="B552" s="198"/>
      <c r="C552" s="198"/>
      <c r="D552" s="199">
        <v>0</v>
      </c>
      <c r="E552" s="199"/>
      <c r="F552" s="199">
        <f>D552</f>
        <v>0</v>
      </c>
      <c r="G552" s="199">
        <f>G550/G554</f>
        <v>20</v>
      </c>
      <c r="H552" s="199"/>
      <c r="I552" s="199"/>
      <c r="J552" s="199">
        <f t="shared" si="39"/>
        <v>20</v>
      </c>
      <c r="K552" s="200"/>
      <c r="L552" s="200"/>
      <c r="M552" s="200"/>
      <c r="N552" s="199">
        <f>N550/N554</f>
        <v>21.00000000006109</v>
      </c>
      <c r="O552" s="199"/>
      <c r="P552" s="199">
        <f t="shared" si="40"/>
        <v>21.00000000006109</v>
      </c>
    </row>
    <row r="553" spans="1:16" ht="12.75">
      <c r="A553" s="143" t="s">
        <v>191</v>
      </c>
      <c r="B553" s="198"/>
      <c r="C553" s="198"/>
      <c r="D553" s="199"/>
      <c r="E553" s="199"/>
      <c r="F553" s="199"/>
      <c r="G553" s="199"/>
      <c r="H553" s="199"/>
      <c r="I553" s="199"/>
      <c r="J553" s="199">
        <f t="shared" si="39"/>
        <v>0</v>
      </c>
      <c r="K553" s="200"/>
      <c r="L553" s="200"/>
      <c r="M553" s="200"/>
      <c r="N553" s="199"/>
      <c r="O553" s="199"/>
      <c r="P553" s="199">
        <f t="shared" si="40"/>
        <v>0</v>
      </c>
    </row>
    <row r="554" spans="1:16" ht="18" customHeight="1">
      <c r="A554" s="144" t="s">
        <v>345</v>
      </c>
      <c r="B554" s="198"/>
      <c r="C554" s="198"/>
      <c r="D554" s="199">
        <v>0</v>
      </c>
      <c r="E554" s="199"/>
      <c r="F554" s="199">
        <f>D554</f>
        <v>0</v>
      </c>
      <c r="G554" s="199">
        <v>26000</v>
      </c>
      <c r="H554" s="199"/>
      <c r="I554" s="199"/>
      <c r="J554" s="199">
        <f t="shared" si="39"/>
        <v>26000</v>
      </c>
      <c r="K554" s="200"/>
      <c r="L554" s="200"/>
      <c r="M554" s="200"/>
      <c r="N554" s="199">
        <v>26190.4761904</v>
      </c>
      <c r="O554" s="199"/>
      <c r="P554" s="199">
        <f t="shared" si="40"/>
        <v>26190.4761904</v>
      </c>
    </row>
    <row r="555" spans="1:16" ht="35.25" customHeight="1">
      <c r="A555" s="142" t="s">
        <v>130</v>
      </c>
      <c r="B555" s="198"/>
      <c r="C555" s="198"/>
      <c r="D555" s="197">
        <f>D557</f>
        <v>0</v>
      </c>
      <c r="E555" s="197"/>
      <c r="F555" s="197">
        <f>D555</f>
        <v>0</v>
      </c>
      <c r="G555" s="197">
        <f>G557</f>
        <v>120000</v>
      </c>
      <c r="H555" s="197"/>
      <c r="I555" s="197"/>
      <c r="J555" s="197">
        <f>G555</f>
        <v>120000</v>
      </c>
      <c r="K555" s="197"/>
      <c r="L555" s="197"/>
      <c r="M555" s="197"/>
      <c r="N555" s="197">
        <f>N557</f>
        <v>140000</v>
      </c>
      <c r="O555" s="197"/>
      <c r="P555" s="197">
        <f>N555</f>
        <v>140000</v>
      </c>
    </row>
    <row r="556" spans="1:16" ht="12.75">
      <c r="A556" s="143" t="s">
        <v>188</v>
      </c>
      <c r="B556" s="198"/>
      <c r="C556" s="198"/>
      <c r="D556" s="199"/>
      <c r="E556" s="199"/>
      <c r="F556" s="199"/>
      <c r="G556" s="199"/>
      <c r="H556" s="199"/>
      <c r="I556" s="199"/>
      <c r="J556" s="199"/>
      <c r="K556" s="200"/>
      <c r="L556" s="200"/>
      <c r="M556" s="200"/>
      <c r="N556" s="199"/>
      <c r="O556" s="199"/>
      <c r="P556" s="199"/>
    </row>
    <row r="557" spans="1:16" ht="12.75">
      <c r="A557" s="144" t="s">
        <v>209</v>
      </c>
      <c r="B557" s="198"/>
      <c r="C557" s="198"/>
      <c r="D557" s="199">
        <f>100000-100000</f>
        <v>0</v>
      </c>
      <c r="E557" s="199"/>
      <c r="F557" s="199">
        <f>D557</f>
        <v>0</v>
      </c>
      <c r="G557" s="199">
        <v>120000</v>
      </c>
      <c r="H557" s="199"/>
      <c r="I557" s="199"/>
      <c r="J557" s="199">
        <f>G557</f>
        <v>120000</v>
      </c>
      <c r="K557" s="200"/>
      <c r="L557" s="200"/>
      <c r="M557" s="200"/>
      <c r="N557" s="199">
        <v>140000</v>
      </c>
      <c r="O557" s="199"/>
      <c r="P557" s="199">
        <f>N557</f>
        <v>140000</v>
      </c>
    </row>
    <row r="558" spans="1:16" ht="12.75">
      <c r="A558" s="143" t="s">
        <v>189</v>
      </c>
      <c r="B558" s="198"/>
      <c r="C558" s="198"/>
      <c r="D558" s="199"/>
      <c r="E558" s="199"/>
      <c r="F558" s="199"/>
      <c r="G558" s="199"/>
      <c r="H558" s="199"/>
      <c r="I558" s="199"/>
      <c r="J558" s="199"/>
      <c r="K558" s="200"/>
      <c r="L558" s="200"/>
      <c r="M558" s="200"/>
      <c r="N558" s="199"/>
      <c r="O558" s="199"/>
      <c r="P558" s="199"/>
    </row>
    <row r="559" spans="1:16" ht="12.75">
      <c r="A559" s="145" t="s">
        <v>433</v>
      </c>
      <c r="B559" s="198"/>
      <c r="C559" s="198"/>
      <c r="D559" s="201" t="e">
        <f>D557/D561</f>
        <v>#DIV/0!</v>
      </c>
      <c r="E559" s="201"/>
      <c r="F559" s="201" t="e">
        <f>D559</f>
        <v>#DIV/0!</v>
      </c>
      <c r="G559" s="201">
        <f>G557/G561</f>
        <v>53333.333333333336</v>
      </c>
      <c r="H559" s="201"/>
      <c r="I559" s="201"/>
      <c r="J559" s="201">
        <f>G559</f>
        <v>53333.333333333336</v>
      </c>
      <c r="K559" s="215"/>
      <c r="L559" s="215"/>
      <c r="M559" s="215"/>
      <c r="N559" s="201">
        <f>N557/N561</f>
        <v>58577.40585774058</v>
      </c>
      <c r="O559" s="201"/>
      <c r="P559" s="201">
        <f>N559</f>
        <v>58577.40585774058</v>
      </c>
    </row>
    <row r="560" spans="1:16" ht="12.75">
      <c r="A560" s="143" t="s">
        <v>191</v>
      </c>
      <c r="B560" s="198"/>
      <c r="C560" s="198"/>
      <c r="D560" s="199"/>
      <c r="E560" s="199"/>
      <c r="F560" s="199"/>
      <c r="G560" s="199"/>
      <c r="H560" s="199"/>
      <c r="I560" s="199"/>
      <c r="J560" s="199"/>
      <c r="K560" s="200"/>
      <c r="L560" s="200"/>
      <c r="M560" s="200"/>
      <c r="N560" s="199"/>
      <c r="O560" s="199"/>
      <c r="P560" s="199"/>
    </row>
    <row r="561" spans="1:16" ht="25.5">
      <c r="A561" s="144" t="s">
        <v>432</v>
      </c>
      <c r="B561" s="198"/>
      <c r="C561" s="198"/>
      <c r="D561" s="199">
        <v>0</v>
      </c>
      <c r="E561" s="199"/>
      <c r="F561" s="199">
        <f>D561</f>
        <v>0</v>
      </c>
      <c r="G561" s="199">
        <v>2.25</v>
      </c>
      <c r="H561" s="199"/>
      <c r="I561" s="199"/>
      <c r="J561" s="199">
        <f>G561</f>
        <v>2.25</v>
      </c>
      <c r="K561" s="200"/>
      <c r="L561" s="200"/>
      <c r="M561" s="200"/>
      <c r="N561" s="199">
        <v>2.39</v>
      </c>
      <c r="O561" s="199"/>
      <c r="P561" s="199">
        <f>N561</f>
        <v>2.39</v>
      </c>
    </row>
    <row r="562" spans="1:16" ht="28.5" customHeight="1">
      <c r="A562" s="142" t="s">
        <v>131</v>
      </c>
      <c r="B562" s="198"/>
      <c r="C562" s="198"/>
      <c r="D562" s="197">
        <f>D564</f>
        <v>0</v>
      </c>
      <c r="E562" s="197"/>
      <c r="F562" s="197">
        <f>D562</f>
        <v>0</v>
      </c>
      <c r="G562" s="197">
        <f>G564</f>
        <v>59000</v>
      </c>
      <c r="H562" s="197"/>
      <c r="I562" s="197"/>
      <c r="J562" s="197">
        <f>G562</f>
        <v>59000</v>
      </c>
      <c r="K562" s="203"/>
      <c r="L562" s="203"/>
      <c r="M562" s="203"/>
      <c r="N562" s="197">
        <f>N564</f>
        <v>60000</v>
      </c>
      <c r="O562" s="197"/>
      <c r="P562" s="197">
        <f>N562</f>
        <v>60000</v>
      </c>
    </row>
    <row r="563" spans="1:16" ht="12.75">
      <c r="A563" s="143" t="s">
        <v>261</v>
      </c>
      <c r="B563" s="198"/>
      <c r="C563" s="198"/>
      <c r="D563" s="199"/>
      <c r="E563" s="199"/>
      <c r="F563" s="199"/>
      <c r="G563" s="199"/>
      <c r="H563" s="199"/>
      <c r="I563" s="199"/>
      <c r="J563" s="199"/>
      <c r="K563" s="200"/>
      <c r="L563" s="200"/>
      <c r="M563" s="200"/>
      <c r="N563" s="199"/>
      <c r="O563" s="199"/>
      <c r="P563" s="199"/>
    </row>
    <row r="564" spans="1:16" ht="12.75">
      <c r="A564" s="144" t="s">
        <v>393</v>
      </c>
      <c r="B564" s="198"/>
      <c r="C564" s="198"/>
      <c r="D564" s="199">
        <f>53100-29860-23240</f>
        <v>0</v>
      </c>
      <c r="E564" s="199"/>
      <c r="F564" s="199">
        <f>D564</f>
        <v>0</v>
      </c>
      <c r="G564" s="199">
        <v>59000</v>
      </c>
      <c r="H564" s="199"/>
      <c r="I564" s="199"/>
      <c r="J564" s="199">
        <f>G564</f>
        <v>59000</v>
      </c>
      <c r="K564" s="200"/>
      <c r="L564" s="200"/>
      <c r="M564" s="200"/>
      <c r="N564" s="199">
        <v>60000</v>
      </c>
      <c r="O564" s="199"/>
      <c r="P564" s="199">
        <f>N564</f>
        <v>60000</v>
      </c>
    </row>
    <row r="565" spans="1:16" ht="12.75">
      <c r="A565" s="143" t="s">
        <v>392</v>
      </c>
      <c r="B565" s="198"/>
      <c r="C565" s="198"/>
      <c r="D565" s="199"/>
      <c r="E565" s="199"/>
      <c r="F565" s="199"/>
      <c r="G565" s="199"/>
      <c r="H565" s="199"/>
      <c r="I565" s="199"/>
      <c r="J565" s="199"/>
      <c r="K565" s="200"/>
      <c r="L565" s="200"/>
      <c r="M565" s="200"/>
      <c r="N565" s="199"/>
      <c r="O565" s="199"/>
      <c r="P565" s="199"/>
    </row>
    <row r="566" spans="1:16" ht="12.75">
      <c r="A566" s="145" t="s">
        <v>399</v>
      </c>
      <c r="B566" s="198"/>
      <c r="C566" s="198"/>
      <c r="D566" s="199">
        <v>0</v>
      </c>
      <c r="E566" s="199"/>
      <c r="F566" s="199">
        <f>D566</f>
        <v>0</v>
      </c>
      <c r="G566" s="201">
        <v>14</v>
      </c>
      <c r="H566" s="201"/>
      <c r="I566" s="201"/>
      <c r="J566" s="201">
        <f>G566</f>
        <v>14</v>
      </c>
      <c r="K566" s="215"/>
      <c r="L566" s="215"/>
      <c r="M566" s="215"/>
      <c r="N566" s="201">
        <v>14</v>
      </c>
      <c r="O566" s="201"/>
      <c r="P566" s="201">
        <f>N566</f>
        <v>14</v>
      </c>
    </row>
    <row r="567" spans="1:16" ht="12.75">
      <c r="A567" s="143" t="s">
        <v>388</v>
      </c>
      <c r="B567" s="198"/>
      <c r="C567" s="198"/>
      <c r="D567" s="199"/>
      <c r="E567" s="199"/>
      <c r="F567" s="199"/>
      <c r="G567" s="199"/>
      <c r="H567" s="199"/>
      <c r="I567" s="199"/>
      <c r="J567" s="199"/>
      <c r="K567" s="200"/>
      <c r="L567" s="200"/>
      <c r="M567" s="200"/>
      <c r="N567" s="199"/>
      <c r="O567" s="199"/>
      <c r="P567" s="199"/>
    </row>
    <row r="568" spans="1:16" ht="12.75">
      <c r="A568" s="144" t="s">
        <v>400</v>
      </c>
      <c r="B568" s="198"/>
      <c r="C568" s="198"/>
      <c r="D568" s="199" t="e">
        <f>D564/D566</f>
        <v>#DIV/0!</v>
      </c>
      <c r="E568" s="199"/>
      <c r="F568" s="199" t="e">
        <f>D568</f>
        <v>#DIV/0!</v>
      </c>
      <c r="G568" s="199">
        <f>G564/G566</f>
        <v>4214.285714285715</v>
      </c>
      <c r="H568" s="199"/>
      <c r="I568" s="199"/>
      <c r="J568" s="199">
        <f>G568</f>
        <v>4214.285714285715</v>
      </c>
      <c r="K568" s="200"/>
      <c r="L568" s="200"/>
      <c r="M568" s="200"/>
      <c r="N568" s="199">
        <f>N564/N566</f>
        <v>4285.714285714285</v>
      </c>
      <c r="O568" s="199"/>
      <c r="P568" s="199">
        <f>N568</f>
        <v>4285.714285714285</v>
      </c>
    </row>
    <row r="569" spans="1:16" ht="19.5" customHeight="1">
      <c r="A569" s="142" t="s">
        <v>132</v>
      </c>
      <c r="B569" s="198"/>
      <c r="C569" s="198"/>
      <c r="D569" s="197">
        <f>D571</f>
        <v>30000</v>
      </c>
      <c r="E569" s="197"/>
      <c r="F569" s="197">
        <f>D569</f>
        <v>30000</v>
      </c>
      <c r="G569" s="197"/>
      <c r="H569" s="197"/>
      <c r="I569" s="197"/>
      <c r="J569" s="197"/>
      <c r="K569" s="203"/>
      <c r="L569" s="203"/>
      <c r="M569" s="203"/>
      <c r="N569" s="197"/>
      <c r="O569" s="197"/>
      <c r="P569" s="197"/>
    </row>
    <row r="570" spans="1:16" ht="12.75">
      <c r="A570" s="143" t="s">
        <v>261</v>
      </c>
      <c r="B570" s="198"/>
      <c r="C570" s="198"/>
      <c r="D570" s="199"/>
      <c r="E570" s="199"/>
      <c r="F570" s="199"/>
      <c r="G570" s="199"/>
      <c r="H570" s="199"/>
      <c r="I570" s="199"/>
      <c r="J570" s="199"/>
      <c r="K570" s="200"/>
      <c r="L570" s="200"/>
      <c r="M570" s="200"/>
      <c r="N570" s="199"/>
      <c r="O570" s="199"/>
      <c r="P570" s="199"/>
    </row>
    <row r="571" spans="1:16" ht="12.75">
      <c r="A571" s="144" t="s">
        <v>393</v>
      </c>
      <c r="B571" s="198"/>
      <c r="C571" s="198"/>
      <c r="D571" s="199">
        <f>300000-270000</f>
        <v>30000</v>
      </c>
      <c r="E571" s="199"/>
      <c r="F571" s="199">
        <f>D571</f>
        <v>30000</v>
      </c>
      <c r="G571" s="199"/>
      <c r="H571" s="199"/>
      <c r="I571" s="199"/>
      <c r="J571" s="199"/>
      <c r="K571" s="200"/>
      <c r="L571" s="200"/>
      <c r="M571" s="200"/>
      <c r="N571" s="199"/>
      <c r="O571" s="199"/>
      <c r="P571" s="199"/>
    </row>
    <row r="572" spans="1:16" ht="12.75">
      <c r="A572" s="143" t="s">
        <v>392</v>
      </c>
      <c r="B572" s="198"/>
      <c r="C572" s="198"/>
      <c r="D572" s="199"/>
      <c r="E572" s="199"/>
      <c r="F572" s="199"/>
      <c r="G572" s="199"/>
      <c r="H572" s="199"/>
      <c r="I572" s="199"/>
      <c r="J572" s="199"/>
      <c r="K572" s="200"/>
      <c r="L572" s="200"/>
      <c r="M572" s="200"/>
      <c r="N572" s="199"/>
      <c r="O572" s="199"/>
      <c r="P572" s="199"/>
    </row>
    <row r="573" spans="1:16" ht="15.75" customHeight="1">
      <c r="A573" s="145" t="s">
        <v>395</v>
      </c>
      <c r="B573" s="198"/>
      <c r="C573" s="198"/>
      <c r="D573" s="199">
        <v>2</v>
      </c>
      <c r="E573" s="199"/>
      <c r="F573" s="199">
        <f>D573</f>
        <v>2</v>
      </c>
      <c r="G573" s="199"/>
      <c r="H573" s="199"/>
      <c r="I573" s="199"/>
      <c r="J573" s="199"/>
      <c r="K573" s="200"/>
      <c r="L573" s="200"/>
      <c r="M573" s="200"/>
      <c r="N573" s="199"/>
      <c r="O573" s="199"/>
      <c r="P573" s="199"/>
    </row>
    <row r="574" spans="1:16" ht="12.75">
      <c r="A574" s="143" t="s">
        <v>388</v>
      </c>
      <c r="B574" s="198"/>
      <c r="C574" s="198"/>
      <c r="D574" s="199"/>
      <c r="E574" s="199"/>
      <c r="F574" s="199"/>
      <c r="G574" s="199"/>
      <c r="H574" s="199"/>
      <c r="I574" s="199"/>
      <c r="J574" s="199"/>
      <c r="K574" s="200"/>
      <c r="L574" s="200"/>
      <c r="M574" s="200"/>
      <c r="N574" s="199"/>
      <c r="O574" s="199"/>
      <c r="P574" s="199"/>
    </row>
    <row r="575" spans="1:16" ht="12.75">
      <c r="A575" s="144" t="s">
        <v>396</v>
      </c>
      <c r="B575" s="198"/>
      <c r="C575" s="198"/>
      <c r="D575" s="199">
        <f>D571/D573</f>
        <v>15000</v>
      </c>
      <c r="E575" s="199"/>
      <c r="F575" s="199">
        <f>D575</f>
        <v>15000</v>
      </c>
      <c r="G575" s="199"/>
      <c r="H575" s="199"/>
      <c r="I575" s="199"/>
      <c r="J575" s="199"/>
      <c r="K575" s="200"/>
      <c r="L575" s="200"/>
      <c r="M575" s="200"/>
      <c r="N575" s="199"/>
      <c r="O575" s="199"/>
      <c r="P575" s="199"/>
    </row>
    <row r="576" spans="1:131" s="12" customFormat="1" ht="38.25" customHeight="1">
      <c r="A576" s="142" t="s">
        <v>133</v>
      </c>
      <c r="B576" s="158"/>
      <c r="C576" s="158"/>
      <c r="D576" s="197">
        <f>D578</f>
        <v>50100</v>
      </c>
      <c r="E576" s="197"/>
      <c r="F576" s="197">
        <f>D576</f>
        <v>50100</v>
      </c>
      <c r="G576" s="197">
        <f>G578</f>
        <v>179000</v>
      </c>
      <c r="H576" s="197"/>
      <c r="I576" s="197"/>
      <c r="J576" s="197">
        <f>G576+H576</f>
        <v>179000</v>
      </c>
      <c r="K576" s="203"/>
      <c r="L576" s="203"/>
      <c r="M576" s="203"/>
      <c r="N576" s="197">
        <f>N578</f>
        <v>188000</v>
      </c>
      <c r="O576" s="197"/>
      <c r="P576" s="197">
        <f>N576+O576</f>
        <v>188000</v>
      </c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</row>
    <row r="577" spans="1:16" ht="12.75">
      <c r="A577" s="143" t="s">
        <v>261</v>
      </c>
      <c r="B577" s="198"/>
      <c r="C577" s="198"/>
      <c r="D577" s="199"/>
      <c r="E577" s="199"/>
      <c r="F577" s="199"/>
      <c r="G577" s="199"/>
      <c r="H577" s="199"/>
      <c r="I577" s="199"/>
      <c r="J577" s="199">
        <f aca="true" t="shared" si="41" ref="J577:J582">G577+H577</f>
        <v>0</v>
      </c>
      <c r="K577" s="200"/>
      <c r="L577" s="200"/>
      <c r="M577" s="200"/>
      <c r="N577" s="199"/>
      <c r="O577" s="199"/>
      <c r="P577" s="199">
        <f aca="true" t="shared" si="42" ref="P577:P582">N577+O577</f>
        <v>0</v>
      </c>
    </row>
    <row r="578" spans="1:16" ht="12.75">
      <c r="A578" s="144" t="s">
        <v>393</v>
      </c>
      <c r="B578" s="198"/>
      <c r="C578" s="198"/>
      <c r="D578" s="199">
        <f>230000-179900</f>
        <v>50100</v>
      </c>
      <c r="E578" s="199"/>
      <c r="F578" s="199">
        <f>D578</f>
        <v>50100</v>
      </c>
      <c r="G578" s="199">
        <v>179000</v>
      </c>
      <c r="H578" s="199"/>
      <c r="I578" s="199"/>
      <c r="J578" s="199">
        <f t="shared" si="41"/>
        <v>179000</v>
      </c>
      <c r="K578" s="200"/>
      <c r="L578" s="200"/>
      <c r="M578" s="200"/>
      <c r="N578" s="199">
        <v>188000</v>
      </c>
      <c r="O578" s="199"/>
      <c r="P578" s="199">
        <f t="shared" si="42"/>
        <v>188000</v>
      </c>
    </row>
    <row r="579" spans="1:16" ht="12.75">
      <c r="A579" s="143" t="s">
        <v>392</v>
      </c>
      <c r="B579" s="198"/>
      <c r="C579" s="198"/>
      <c r="D579" s="199"/>
      <c r="E579" s="199"/>
      <c r="F579" s="199"/>
      <c r="G579" s="199"/>
      <c r="H579" s="199"/>
      <c r="I579" s="199"/>
      <c r="J579" s="199">
        <f t="shared" si="41"/>
        <v>0</v>
      </c>
      <c r="K579" s="200"/>
      <c r="L579" s="200"/>
      <c r="M579" s="200"/>
      <c r="N579" s="199"/>
      <c r="O579" s="199"/>
      <c r="P579" s="199">
        <f t="shared" si="42"/>
        <v>0</v>
      </c>
    </row>
    <row r="580" spans="1:16" ht="12.75">
      <c r="A580" s="145" t="s">
        <v>397</v>
      </c>
      <c r="B580" s="198"/>
      <c r="C580" s="198"/>
      <c r="D580" s="201">
        <f>D578/D582</f>
        <v>2.2772727272727273</v>
      </c>
      <c r="E580" s="199"/>
      <c r="F580" s="201">
        <f>D580</f>
        <v>2.2772727272727273</v>
      </c>
      <c r="G580" s="199">
        <f>G578/G582</f>
        <v>8</v>
      </c>
      <c r="H580" s="199"/>
      <c r="I580" s="199"/>
      <c r="J580" s="199">
        <f t="shared" si="41"/>
        <v>8</v>
      </c>
      <c r="K580" s="200"/>
      <c r="L580" s="200"/>
      <c r="M580" s="200"/>
      <c r="N580" s="199">
        <f>N578/N582</f>
        <v>8</v>
      </c>
      <c r="O580" s="199"/>
      <c r="P580" s="199">
        <f t="shared" si="42"/>
        <v>8</v>
      </c>
    </row>
    <row r="581" spans="1:16" ht="12.75">
      <c r="A581" s="143" t="s">
        <v>388</v>
      </c>
      <c r="B581" s="198"/>
      <c r="C581" s="198"/>
      <c r="D581" s="199"/>
      <c r="E581" s="199"/>
      <c r="F581" s="199"/>
      <c r="G581" s="199"/>
      <c r="H581" s="199"/>
      <c r="I581" s="199"/>
      <c r="J581" s="199">
        <f t="shared" si="41"/>
        <v>0</v>
      </c>
      <c r="K581" s="200"/>
      <c r="L581" s="200"/>
      <c r="M581" s="200"/>
      <c r="N581" s="199"/>
      <c r="O581" s="199"/>
      <c r="P581" s="199">
        <f t="shared" si="42"/>
        <v>0</v>
      </c>
    </row>
    <row r="582" spans="1:16" ht="12.75">
      <c r="A582" s="144" t="s">
        <v>398</v>
      </c>
      <c r="B582" s="198"/>
      <c r="C582" s="198"/>
      <c r="D582" s="199">
        <v>22000</v>
      </c>
      <c r="E582" s="199"/>
      <c r="F582" s="199">
        <f>D582</f>
        <v>22000</v>
      </c>
      <c r="G582" s="199">
        <v>22375</v>
      </c>
      <c r="H582" s="199"/>
      <c r="I582" s="199"/>
      <c r="J582" s="199">
        <f t="shared" si="41"/>
        <v>22375</v>
      </c>
      <c r="K582" s="200"/>
      <c r="L582" s="200"/>
      <c r="M582" s="200"/>
      <c r="N582" s="199">
        <v>23500</v>
      </c>
      <c r="O582" s="199"/>
      <c r="P582" s="199">
        <f t="shared" si="42"/>
        <v>23500</v>
      </c>
    </row>
    <row r="583" spans="1:16" ht="27">
      <c r="A583" s="142" t="s">
        <v>134</v>
      </c>
      <c r="B583" s="198"/>
      <c r="C583" s="198"/>
      <c r="D583" s="316">
        <f>D585</f>
        <v>323000</v>
      </c>
      <c r="E583" s="316">
        <f>E585</f>
        <v>1780000</v>
      </c>
      <c r="F583" s="316">
        <f>D583+E583</f>
        <v>2103000</v>
      </c>
      <c r="G583" s="316">
        <f>G585</f>
        <v>891000</v>
      </c>
      <c r="H583" s="316">
        <f>H585</f>
        <v>4836260</v>
      </c>
      <c r="I583" s="197"/>
      <c r="J583" s="197">
        <f>G583+H583</f>
        <v>5727260</v>
      </c>
      <c r="K583" s="203"/>
      <c r="L583" s="203"/>
      <c r="M583" s="203"/>
      <c r="N583" s="197">
        <f>N585</f>
        <v>0</v>
      </c>
      <c r="O583" s="197"/>
      <c r="P583" s="197">
        <f>N583</f>
        <v>0</v>
      </c>
    </row>
    <row r="584" spans="1:16" ht="13.5">
      <c r="A584" s="143" t="s">
        <v>261</v>
      </c>
      <c r="B584" s="198"/>
      <c r="C584" s="198"/>
      <c r="D584" s="317"/>
      <c r="E584" s="317"/>
      <c r="F584" s="317"/>
      <c r="G584" s="317"/>
      <c r="H584" s="317"/>
      <c r="I584" s="199"/>
      <c r="J584" s="197"/>
      <c r="K584" s="200"/>
      <c r="L584" s="200"/>
      <c r="M584" s="200"/>
      <c r="N584" s="199"/>
      <c r="O584" s="199"/>
      <c r="P584" s="199"/>
    </row>
    <row r="585" spans="1:16" ht="12.75">
      <c r="A585" s="144" t="s">
        <v>393</v>
      </c>
      <c r="B585" s="198"/>
      <c r="C585" s="198"/>
      <c r="D585" s="317">
        <f>350000+1780000-27000-1780000</f>
        <v>323000</v>
      </c>
      <c r="E585" s="317">
        <f>0+1780000</f>
        <v>1780000</v>
      </c>
      <c r="F585" s="317">
        <f>D585</f>
        <v>323000</v>
      </c>
      <c r="G585" s="317">
        <v>891000</v>
      </c>
      <c r="H585" s="317">
        <f>0+4836260</f>
        <v>4836260</v>
      </c>
      <c r="I585" s="199">
        <f>G585</f>
        <v>891000</v>
      </c>
      <c r="J585" s="199">
        <f>G585+H585</f>
        <v>5727260</v>
      </c>
      <c r="K585" s="200"/>
      <c r="L585" s="200"/>
      <c r="M585" s="200"/>
      <c r="N585" s="199"/>
      <c r="O585" s="199"/>
      <c r="P585" s="199">
        <f>N585</f>
        <v>0</v>
      </c>
    </row>
    <row r="586" spans="1:16" ht="12.75">
      <c r="A586" s="143" t="s">
        <v>392</v>
      </c>
      <c r="B586" s="198"/>
      <c r="C586" s="198"/>
      <c r="D586" s="317"/>
      <c r="E586" s="317"/>
      <c r="F586" s="317"/>
      <c r="G586" s="317"/>
      <c r="H586" s="317"/>
      <c r="I586" s="199"/>
      <c r="J586" s="199"/>
      <c r="K586" s="200"/>
      <c r="L586" s="200"/>
      <c r="M586" s="200"/>
      <c r="N586" s="199"/>
      <c r="O586" s="199"/>
      <c r="P586" s="199"/>
    </row>
    <row r="587" spans="1:16" ht="12.75">
      <c r="A587" s="145" t="s">
        <v>401</v>
      </c>
      <c r="B587" s="198"/>
      <c r="C587" s="198"/>
      <c r="D587" s="317">
        <v>1</v>
      </c>
      <c r="E587" s="317">
        <v>1</v>
      </c>
      <c r="F587" s="317">
        <f>D587</f>
        <v>1</v>
      </c>
      <c r="G587" s="317">
        <v>1</v>
      </c>
      <c r="H587" s="317">
        <v>1</v>
      </c>
      <c r="I587" s="199">
        <f>G587</f>
        <v>1</v>
      </c>
      <c r="J587" s="199">
        <f>G587</f>
        <v>1</v>
      </c>
      <c r="K587" s="200"/>
      <c r="L587" s="200"/>
      <c r="M587" s="200"/>
      <c r="N587" s="199"/>
      <c r="O587" s="199"/>
      <c r="P587" s="199">
        <f>N587</f>
        <v>0</v>
      </c>
    </row>
    <row r="588" spans="1:16" ht="12.75">
      <c r="A588" s="143" t="s">
        <v>388</v>
      </c>
      <c r="B588" s="198"/>
      <c r="C588" s="198"/>
      <c r="D588" s="317"/>
      <c r="E588" s="317"/>
      <c r="F588" s="317"/>
      <c r="G588" s="317"/>
      <c r="H588" s="317"/>
      <c r="I588" s="199"/>
      <c r="J588" s="199"/>
      <c r="K588" s="200"/>
      <c r="L588" s="200"/>
      <c r="M588" s="200"/>
      <c r="N588" s="199"/>
      <c r="O588" s="199"/>
      <c r="P588" s="199"/>
    </row>
    <row r="589" spans="1:16" ht="12.75">
      <c r="A589" s="144" t="s">
        <v>402</v>
      </c>
      <c r="B589" s="198"/>
      <c r="C589" s="198"/>
      <c r="D589" s="317">
        <f aca="true" t="shared" si="43" ref="D589:I589">D585/D587</f>
        <v>323000</v>
      </c>
      <c r="E589" s="317">
        <f t="shared" si="43"/>
        <v>1780000</v>
      </c>
      <c r="F589" s="317">
        <f t="shared" si="43"/>
        <v>323000</v>
      </c>
      <c r="G589" s="317">
        <f t="shared" si="43"/>
        <v>891000</v>
      </c>
      <c r="H589" s="317">
        <f t="shared" si="43"/>
        <v>4836260</v>
      </c>
      <c r="I589" s="199">
        <f t="shared" si="43"/>
        <v>891000</v>
      </c>
      <c r="J589" s="199">
        <f>G589</f>
        <v>891000</v>
      </c>
      <c r="K589" s="200"/>
      <c r="L589" s="200"/>
      <c r="M589" s="200"/>
      <c r="N589" s="199"/>
      <c r="O589" s="199"/>
      <c r="P589" s="199">
        <f>N589</f>
        <v>0</v>
      </c>
    </row>
    <row r="590" spans="1:131" s="88" customFormat="1" ht="70.5" customHeight="1">
      <c r="A590" s="290" t="s">
        <v>135</v>
      </c>
      <c r="B590" s="155"/>
      <c r="C590" s="155"/>
      <c r="D590" s="216">
        <f>D592</f>
        <v>1696114</v>
      </c>
      <c r="E590" s="216"/>
      <c r="F590" s="216">
        <f>F592</f>
        <v>1696114</v>
      </c>
      <c r="G590" s="216">
        <f>G592</f>
        <v>1867959</v>
      </c>
      <c r="H590" s="216"/>
      <c r="I590" s="216"/>
      <c r="J590" s="216">
        <f>G590+H590</f>
        <v>1867959</v>
      </c>
      <c r="K590" s="216"/>
      <c r="L590" s="216"/>
      <c r="M590" s="216"/>
      <c r="N590" s="216"/>
      <c r="O590" s="216"/>
      <c r="P590" s="216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  <c r="AX590" s="87"/>
      <c r="AY590" s="87"/>
      <c r="AZ590" s="87"/>
      <c r="BA590" s="87"/>
      <c r="BB590" s="87"/>
      <c r="BC590" s="87"/>
      <c r="BD590" s="87"/>
      <c r="BE590" s="87"/>
      <c r="BF590" s="87"/>
      <c r="BG590" s="87"/>
      <c r="BH590" s="87"/>
      <c r="BI590" s="87"/>
      <c r="BJ590" s="87"/>
      <c r="BK590" s="87"/>
      <c r="BL590" s="87"/>
      <c r="BM590" s="87"/>
      <c r="BN590" s="87"/>
      <c r="BO590" s="87"/>
      <c r="BP590" s="87"/>
      <c r="BQ590" s="87"/>
      <c r="BR590" s="87"/>
      <c r="BS590" s="87"/>
      <c r="BT590" s="87"/>
      <c r="BU590" s="87"/>
      <c r="BV590" s="87"/>
      <c r="BW590" s="87"/>
      <c r="BX590" s="87"/>
      <c r="BY590" s="87"/>
      <c r="BZ590" s="87"/>
      <c r="CA590" s="87"/>
      <c r="CB590" s="87"/>
      <c r="CC590" s="87"/>
      <c r="CD590" s="87"/>
      <c r="CE590" s="87"/>
      <c r="CF590" s="87"/>
      <c r="CG590" s="87"/>
      <c r="CH590" s="87"/>
      <c r="CI590" s="87"/>
      <c r="CJ590" s="87"/>
      <c r="CK590" s="87"/>
      <c r="CL590" s="87"/>
      <c r="CM590" s="87"/>
      <c r="CN590" s="87"/>
      <c r="CO590" s="87"/>
      <c r="CP590" s="87"/>
      <c r="CQ590" s="87"/>
      <c r="CR590" s="87"/>
      <c r="CS590" s="87"/>
      <c r="CT590" s="87"/>
      <c r="CU590" s="87"/>
      <c r="CV590" s="87"/>
      <c r="CW590" s="87"/>
      <c r="CX590" s="87"/>
      <c r="CY590" s="87"/>
      <c r="CZ590" s="87"/>
      <c r="DA590" s="87"/>
      <c r="DB590" s="87"/>
      <c r="DC590" s="87"/>
      <c r="DD590" s="87"/>
      <c r="DE590" s="87"/>
      <c r="DF590" s="87"/>
      <c r="DG590" s="87"/>
      <c r="DH590" s="87"/>
      <c r="DI590" s="87"/>
      <c r="DJ590" s="87"/>
      <c r="DK590" s="87"/>
      <c r="DL590" s="87"/>
      <c r="DM590" s="87"/>
      <c r="DN590" s="87"/>
      <c r="DO590" s="87"/>
      <c r="DP590" s="87"/>
      <c r="DQ590" s="87"/>
      <c r="DR590" s="87"/>
      <c r="DS590" s="87"/>
      <c r="DT590" s="87"/>
      <c r="DU590" s="87"/>
      <c r="DV590" s="87"/>
      <c r="DW590" s="87"/>
      <c r="DX590" s="87"/>
      <c r="DY590" s="87"/>
      <c r="DZ590" s="87"/>
      <c r="EA590" s="87"/>
    </row>
    <row r="591" spans="1:131" s="67" customFormat="1" ht="19.5" customHeight="1">
      <c r="A591" s="143" t="s">
        <v>261</v>
      </c>
      <c r="B591" s="97"/>
      <c r="C591" s="97"/>
      <c r="D591" s="217"/>
      <c r="E591" s="217"/>
      <c r="F591" s="217"/>
      <c r="G591" s="217"/>
      <c r="H591" s="217"/>
      <c r="I591" s="217"/>
      <c r="J591" s="217"/>
      <c r="K591" s="98"/>
      <c r="L591" s="98"/>
      <c r="M591" s="98"/>
      <c r="N591" s="217"/>
      <c r="O591" s="217"/>
      <c r="P591" s="217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</row>
    <row r="592" spans="1:131" s="67" customFormat="1" ht="12.75">
      <c r="A592" s="144" t="s">
        <v>394</v>
      </c>
      <c r="B592" s="97"/>
      <c r="C592" s="97"/>
      <c r="D592" s="217">
        <f>1541959+154155</f>
        <v>1696114</v>
      </c>
      <c r="E592" s="217"/>
      <c r="F592" s="217">
        <f>D592</f>
        <v>1696114</v>
      </c>
      <c r="G592" s="217">
        <f>1541959+326000</f>
        <v>1867959</v>
      </c>
      <c r="H592" s="217"/>
      <c r="I592" s="217"/>
      <c r="J592" s="217">
        <f aca="true" t="shared" si="44" ref="J592:J597">G592+H592</f>
        <v>1867959</v>
      </c>
      <c r="K592" s="98"/>
      <c r="L592" s="98"/>
      <c r="M592" s="98"/>
      <c r="N592" s="217"/>
      <c r="O592" s="217"/>
      <c r="P592" s="217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</row>
    <row r="593" spans="1:131" s="67" customFormat="1" ht="12.75">
      <c r="A593" s="143" t="s">
        <v>426</v>
      </c>
      <c r="B593" s="97"/>
      <c r="C593" s="97"/>
      <c r="D593" s="217"/>
      <c r="E593" s="217"/>
      <c r="F593" s="217"/>
      <c r="G593" s="217"/>
      <c r="H593" s="217"/>
      <c r="I593" s="217"/>
      <c r="J593" s="217">
        <f t="shared" si="44"/>
        <v>0</v>
      </c>
      <c r="K593" s="98"/>
      <c r="L593" s="98"/>
      <c r="M593" s="98"/>
      <c r="N593" s="217"/>
      <c r="O593" s="217"/>
      <c r="P593" s="217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</row>
    <row r="594" spans="1:131" s="67" customFormat="1" ht="16.5" customHeight="1">
      <c r="A594" s="144" t="s">
        <v>155</v>
      </c>
      <c r="B594" s="97"/>
      <c r="C594" s="97"/>
      <c r="D594" s="217">
        <v>12</v>
      </c>
      <c r="E594" s="217"/>
      <c r="F594" s="217">
        <f>D594</f>
        <v>12</v>
      </c>
      <c r="G594" s="217">
        <v>12</v>
      </c>
      <c r="H594" s="217"/>
      <c r="I594" s="217"/>
      <c r="J594" s="217">
        <f t="shared" si="44"/>
        <v>12</v>
      </c>
      <c r="K594" s="98"/>
      <c r="L594" s="98"/>
      <c r="M594" s="98"/>
      <c r="N594" s="217"/>
      <c r="O594" s="217"/>
      <c r="P594" s="217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</row>
    <row r="595" spans="1:131" s="67" customFormat="1" ht="15.75" customHeight="1">
      <c r="A595" s="143" t="s">
        <v>388</v>
      </c>
      <c r="B595" s="97"/>
      <c r="C595" s="97"/>
      <c r="D595" s="217"/>
      <c r="E595" s="217"/>
      <c r="F595" s="217"/>
      <c r="G595" s="217"/>
      <c r="H595" s="217"/>
      <c r="I595" s="217"/>
      <c r="J595" s="217">
        <f t="shared" si="44"/>
        <v>0</v>
      </c>
      <c r="K595" s="98"/>
      <c r="L595" s="98"/>
      <c r="M595" s="98"/>
      <c r="N595" s="217"/>
      <c r="O595" s="217"/>
      <c r="P595" s="217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</row>
    <row r="596" spans="1:131" s="67" customFormat="1" ht="12.75">
      <c r="A596" s="144" t="s">
        <v>438</v>
      </c>
      <c r="B596" s="97"/>
      <c r="C596" s="97"/>
      <c r="D596" s="217">
        <f>D592/D594</f>
        <v>141342.83333333334</v>
      </c>
      <c r="E596" s="217"/>
      <c r="F596" s="217">
        <f>D596</f>
        <v>141342.83333333334</v>
      </c>
      <c r="G596" s="217">
        <f>G592/G594</f>
        <v>155663.25</v>
      </c>
      <c r="H596" s="217"/>
      <c r="I596" s="217"/>
      <c r="J596" s="217">
        <f t="shared" si="44"/>
        <v>155663.25</v>
      </c>
      <c r="K596" s="98"/>
      <c r="L596" s="98"/>
      <c r="M596" s="98"/>
      <c r="N596" s="217"/>
      <c r="O596" s="217"/>
      <c r="P596" s="217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</row>
    <row r="597" spans="1:131" s="88" customFormat="1" ht="13.5">
      <c r="A597" s="146" t="s">
        <v>136</v>
      </c>
      <c r="B597" s="155"/>
      <c r="C597" s="155"/>
      <c r="D597" s="216">
        <f>D599</f>
        <v>70100</v>
      </c>
      <c r="E597" s="216"/>
      <c r="F597" s="216">
        <f>F599</f>
        <v>70100</v>
      </c>
      <c r="G597" s="216">
        <f>G599</f>
        <v>525000</v>
      </c>
      <c r="H597" s="216"/>
      <c r="I597" s="216"/>
      <c r="J597" s="216">
        <f t="shared" si="44"/>
        <v>525000</v>
      </c>
      <c r="K597" s="216"/>
      <c r="L597" s="216"/>
      <c r="M597" s="216"/>
      <c r="N597" s="216">
        <f>N599</f>
        <v>365000</v>
      </c>
      <c r="O597" s="216"/>
      <c r="P597" s="216">
        <f>N597+O597</f>
        <v>365000</v>
      </c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  <c r="AX597" s="87"/>
      <c r="AY597" s="87"/>
      <c r="AZ597" s="87"/>
      <c r="BA597" s="87"/>
      <c r="BB597" s="87"/>
      <c r="BC597" s="87"/>
      <c r="BD597" s="87"/>
      <c r="BE597" s="87"/>
      <c r="BF597" s="87"/>
      <c r="BG597" s="87"/>
      <c r="BH597" s="87"/>
      <c r="BI597" s="87"/>
      <c r="BJ597" s="87"/>
      <c r="BK597" s="87"/>
      <c r="BL597" s="87"/>
      <c r="BM597" s="87"/>
      <c r="BN597" s="87"/>
      <c r="BO597" s="87"/>
      <c r="BP597" s="87"/>
      <c r="BQ597" s="87"/>
      <c r="BR597" s="87"/>
      <c r="BS597" s="87"/>
      <c r="BT597" s="87"/>
      <c r="BU597" s="87"/>
      <c r="BV597" s="87"/>
      <c r="BW597" s="87"/>
      <c r="BX597" s="87"/>
      <c r="BY597" s="87"/>
      <c r="BZ597" s="87"/>
      <c r="CA597" s="87"/>
      <c r="CB597" s="87"/>
      <c r="CC597" s="87"/>
      <c r="CD597" s="87"/>
      <c r="CE597" s="87"/>
      <c r="CF597" s="87"/>
      <c r="CG597" s="87"/>
      <c r="CH597" s="87"/>
      <c r="CI597" s="87"/>
      <c r="CJ597" s="87"/>
      <c r="CK597" s="87"/>
      <c r="CL597" s="87"/>
      <c r="CM597" s="87"/>
      <c r="CN597" s="87"/>
      <c r="CO597" s="87"/>
      <c r="CP597" s="87"/>
      <c r="CQ597" s="87"/>
      <c r="CR597" s="87"/>
      <c r="CS597" s="87"/>
      <c r="CT597" s="87"/>
      <c r="CU597" s="87"/>
      <c r="CV597" s="87"/>
      <c r="CW597" s="87"/>
      <c r="CX597" s="87"/>
      <c r="CY597" s="87"/>
      <c r="CZ597" s="87"/>
      <c r="DA597" s="87"/>
      <c r="DB597" s="87"/>
      <c r="DC597" s="87"/>
      <c r="DD597" s="87"/>
      <c r="DE597" s="87"/>
      <c r="DF597" s="87"/>
      <c r="DG597" s="87"/>
      <c r="DH597" s="87"/>
      <c r="DI597" s="87"/>
      <c r="DJ597" s="87"/>
      <c r="DK597" s="87"/>
      <c r="DL597" s="87"/>
      <c r="DM597" s="87"/>
      <c r="DN597" s="87"/>
      <c r="DO597" s="87"/>
      <c r="DP597" s="87"/>
      <c r="DQ597" s="87"/>
      <c r="DR597" s="87"/>
      <c r="DS597" s="87"/>
      <c r="DT597" s="87"/>
      <c r="DU597" s="87"/>
      <c r="DV597" s="87"/>
      <c r="DW597" s="87"/>
      <c r="DX597" s="87"/>
      <c r="DY597" s="87"/>
      <c r="DZ597" s="87"/>
      <c r="EA597" s="87"/>
    </row>
    <row r="598" spans="1:131" s="67" customFormat="1" ht="12.75">
      <c r="A598" s="143" t="s">
        <v>261</v>
      </c>
      <c r="B598" s="97"/>
      <c r="C598" s="97"/>
      <c r="D598" s="217"/>
      <c r="E598" s="217"/>
      <c r="F598" s="217"/>
      <c r="G598" s="217"/>
      <c r="H598" s="217"/>
      <c r="I598" s="217"/>
      <c r="J598" s="218">
        <f aca="true" t="shared" si="45" ref="J598:J603">G598+H598</f>
        <v>0</v>
      </c>
      <c r="K598" s="98"/>
      <c r="L598" s="98"/>
      <c r="M598" s="98"/>
      <c r="N598" s="217"/>
      <c r="O598" s="217"/>
      <c r="P598" s="218">
        <f aca="true" t="shared" si="46" ref="P598:P603">N598+O598</f>
        <v>0</v>
      </c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</row>
    <row r="599" spans="1:131" s="67" customFormat="1" ht="12.75">
      <c r="A599" s="144" t="s">
        <v>394</v>
      </c>
      <c r="B599" s="97"/>
      <c r="C599" s="97"/>
      <c r="D599" s="217">
        <f>325000-254900</f>
        <v>70100</v>
      </c>
      <c r="E599" s="217"/>
      <c r="F599" s="217">
        <f>D599</f>
        <v>70100</v>
      </c>
      <c r="G599" s="217">
        <f>345000+180000</f>
        <v>525000</v>
      </c>
      <c r="H599" s="217"/>
      <c r="I599" s="217"/>
      <c r="J599" s="218">
        <f t="shared" si="45"/>
        <v>525000</v>
      </c>
      <c r="K599" s="98"/>
      <c r="L599" s="98"/>
      <c r="M599" s="98"/>
      <c r="N599" s="217">
        <v>365000</v>
      </c>
      <c r="O599" s="217"/>
      <c r="P599" s="218">
        <f t="shared" si="46"/>
        <v>365000</v>
      </c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</row>
    <row r="600" spans="1:131" s="67" customFormat="1" ht="12.75">
      <c r="A600" s="143" t="s">
        <v>426</v>
      </c>
      <c r="B600" s="97"/>
      <c r="C600" s="97"/>
      <c r="D600" s="217"/>
      <c r="E600" s="217"/>
      <c r="F600" s="217"/>
      <c r="G600" s="217"/>
      <c r="H600" s="217"/>
      <c r="I600" s="217"/>
      <c r="J600" s="218">
        <f t="shared" si="45"/>
        <v>0</v>
      </c>
      <c r="K600" s="98"/>
      <c r="L600" s="98"/>
      <c r="M600" s="98"/>
      <c r="N600" s="217"/>
      <c r="O600" s="217"/>
      <c r="P600" s="218">
        <f t="shared" si="46"/>
        <v>0</v>
      </c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</row>
    <row r="601" spans="1:131" s="67" customFormat="1" ht="16.5" customHeight="1">
      <c r="A601" s="144" t="s">
        <v>437</v>
      </c>
      <c r="B601" s="97"/>
      <c r="C601" s="97"/>
      <c r="D601" s="217">
        <v>2</v>
      </c>
      <c r="E601" s="217"/>
      <c r="F601" s="217">
        <f>D601</f>
        <v>2</v>
      </c>
      <c r="G601" s="217">
        <v>2</v>
      </c>
      <c r="H601" s="217"/>
      <c r="I601" s="217"/>
      <c r="J601" s="218">
        <f t="shared" si="45"/>
        <v>2</v>
      </c>
      <c r="K601" s="98"/>
      <c r="L601" s="98"/>
      <c r="M601" s="98"/>
      <c r="N601" s="217">
        <v>2</v>
      </c>
      <c r="O601" s="217"/>
      <c r="P601" s="218">
        <f t="shared" si="46"/>
        <v>2</v>
      </c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</row>
    <row r="602" spans="1:131" s="67" customFormat="1" ht="12.75">
      <c r="A602" s="143" t="s">
        <v>388</v>
      </c>
      <c r="B602" s="97"/>
      <c r="C602" s="97"/>
      <c r="D602" s="217"/>
      <c r="E602" s="217"/>
      <c r="F602" s="217"/>
      <c r="G602" s="217"/>
      <c r="H602" s="217"/>
      <c r="I602" s="217"/>
      <c r="J602" s="218">
        <f t="shared" si="45"/>
        <v>0</v>
      </c>
      <c r="K602" s="98"/>
      <c r="L602" s="98"/>
      <c r="M602" s="98"/>
      <c r="N602" s="217"/>
      <c r="O602" s="217"/>
      <c r="P602" s="218">
        <f t="shared" si="46"/>
        <v>0</v>
      </c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</row>
    <row r="603" spans="1:131" s="67" customFormat="1" ht="19.5" customHeight="1">
      <c r="A603" s="144" t="s">
        <v>438</v>
      </c>
      <c r="B603" s="97"/>
      <c r="C603" s="97"/>
      <c r="D603" s="217">
        <f>D599/D601</f>
        <v>35050</v>
      </c>
      <c r="E603" s="217"/>
      <c r="F603" s="217">
        <f>D603</f>
        <v>35050</v>
      </c>
      <c r="G603" s="217">
        <f>G599/G601</f>
        <v>262500</v>
      </c>
      <c r="H603" s="217"/>
      <c r="I603" s="217"/>
      <c r="J603" s="218">
        <f t="shared" si="45"/>
        <v>262500</v>
      </c>
      <c r="K603" s="98"/>
      <c r="L603" s="98"/>
      <c r="M603" s="98"/>
      <c r="N603" s="217">
        <f>N599/N601</f>
        <v>182500</v>
      </c>
      <c r="O603" s="217"/>
      <c r="P603" s="218">
        <f t="shared" si="46"/>
        <v>182500</v>
      </c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</row>
    <row r="604" spans="1:137" s="43" customFormat="1" ht="13.5">
      <c r="A604" s="147" t="s">
        <v>137</v>
      </c>
      <c r="B604" s="172"/>
      <c r="C604" s="172"/>
      <c r="D604" s="178">
        <f>D606</f>
        <v>48000</v>
      </c>
      <c r="E604" s="178"/>
      <c r="F604" s="178">
        <f>D604</f>
        <v>48000</v>
      </c>
      <c r="G604" s="178">
        <f>G606</f>
        <v>60000</v>
      </c>
      <c r="H604" s="178"/>
      <c r="I604" s="178"/>
      <c r="J604" s="178">
        <f>G604</f>
        <v>60000</v>
      </c>
      <c r="K604" s="178"/>
      <c r="L604" s="178"/>
      <c r="M604" s="178"/>
      <c r="N604" s="178">
        <f>N606</f>
        <v>65000</v>
      </c>
      <c r="O604" s="178"/>
      <c r="P604" s="178">
        <f>N604</f>
        <v>65000</v>
      </c>
      <c r="EB604" s="44"/>
      <c r="EC604" s="44"/>
      <c r="ED604" s="44"/>
      <c r="EE604" s="44"/>
      <c r="EF604" s="44"/>
      <c r="EG604" s="44"/>
    </row>
    <row r="605" spans="1:137" s="68" customFormat="1" ht="12.75">
      <c r="A605" s="143" t="s">
        <v>261</v>
      </c>
      <c r="B605" s="104"/>
      <c r="C605" s="104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  <c r="P605" s="171"/>
      <c r="EB605" s="69"/>
      <c r="EC605" s="69"/>
      <c r="ED605" s="69"/>
      <c r="EE605" s="69"/>
      <c r="EF605" s="69"/>
      <c r="EG605" s="69"/>
    </row>
    <row r="606" spans="1:137" s="68" customFormat="1" ht="25.5">
      <c r="A606" s="148" t="s">
        <v>9</v>
      </c>
      <c r="B606" s="104"/>
      <c r="C606" s="104"/>
      <c r="D606" s="171">
        <f>55000-7000</f>
        <v>48000</v>
      </c>
      <c r="E606" s="171"/>
      <c r="F606" s="171">
        <f>D606</f>
        <v>48000</v>
      </c>
      <c r="G606" s="171">
        <v>60000</v>
      </c>
      <c r="H606" s="171"/>
      <c r="I606" s="171"/>
      <c r="J606" s="171">
        <f>G606</f>
        <v>60000</v>
      </c>
      <c r="K606" s="171"/>
      <c r="L606" s="171"/>
      <c r="M606" s="171"/>
      <c r="N606" s="171">
        <v>65000</v>
      </c>
      <c r="O606" s="171"/>
      <c r="P606" s="171">
        <f>N606</f>
        <v>65000</v>
      </c>
      <c r="EB606" s="69"/>
      <c r="EC606" s="69"/>
      <c r="ED606" s="69"/>
      <c r="EE606" s="69"/>
      <c r="EF606" s="69"/>
      <c r="EG606" s="69"/>
    </row>
    <row r="607" spans="1:137" s="68" customFormat="1" ht="12.75">
      <c r="A607" s="149" t="s">
        <v>426</v>
      </c>
      <c r="B607" s="104"/>
      <c r="C607" s="104"/>
      <c r="D607" s="171"/>
      <c r="E607" s="171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  <c r="P607" s="171"/>
      <c r="EB607" s="69"/>
      <c r="EC607" s="69"/>
      <c r="ED607" s="69"/>
      <c r="EE607" s="69"/>
      <c r="EF607" s="69"/>
      <c r="EG607" s="69"/>
    </row>
    <row r="608" spans="1:137" s="68" customFormat="1" ht="32.25" customHeight="1">
      <c r="A608" s="148" t="s">
        <v>156</v>
      </c>
      <c r="B608" s="104"/>
      <c r="C608" s="104"/>
      <c r="D608" s="171">
        <v>12</v>
      </c>
      <c r="E608" s="171"/>
      <c r="F608" s="171">
        <f>D608</f>
        <v>12</v>
      </c>
      <c r="G608" s="171">
        <v>12</v>
      </c>
      <c r="H608" s="171"/>
      <c r="I608" s="171"/>
      <c r="J608" s="171">
        <f>G608</f>
        <v>12</v>
      </c>
      <c r="K608" s="171"/>
      <c r="L608" s="171"/>
      <c r="M608" s="171"/>
      <c r="N608" s="171">
        <v>12</v>
      </c>
      <c r="O608" s="171"/>
      <c r="P608" s="171">
        <f>N608</f>
        <v>12</v>
      </c>
      <c r="EB608" s="69"/>
      <c r="EC608" s="69"/>
      <c r="ED608" s="69"/>
      <c r="EE608" s="69"/>
      <c r="EF608" s="69"/>
      <c r="EG608" s="69"/>
    </row>
    <row r="609" spans="1:137" s="68" customFormat="1" ht="12.75">
      <c r="A609" s="149" t="s">
        <v>388</v>
      </c>
      <c r="B609" s="104"/>
      <c r="C609" s="104"/>
      <c r="D609" s="171"/>
      <c r="E609" s="171"/>
      <c r="F609" s="171"/>
      <c r="G609" s="171"/>
      <c r="H609" s="171"/>
      <c r="I609" s="171"/>
      <c r="J609" s="171"/>
      <c r="K609" s="171"/>
      <c r="L609" s="171"/>
      <c r="M609" s="171"/>
      <c r="N609" s="171"/>
      <c r="O609" s="171"/>
      <c r="P609" s="171"/>
      <c r="EB609" s="69"/>
      <c r="EC609" s="69"/>
      <c r="ED609" s="69"/>
      <c r="EE609" s="69"/>
      <c r="EF609" s="69"/>
      <c r="EG609" s="69"/>
    </row>
    <row r="610" spans="1:137" s="68" customFormat="1" ht="32.25" customHeight="1">
      <c r="A610" s="148" t="s">
        <v>10</v>
      </c>
      <c r="B610" s="104"/>
      <c r="C610" s="104"/>
      <c r="D610" s="171">
        <f>D606/D608</f>
        <v>4000</v>
      </c>
      <c r="E610" s="171"/>
      <c r="F610" s="171">
        <f>D610</f>
        <v>4000</v>
      </c>
      <c r="G610" s="171">
        <f>G606/G608</f>
        <v>5000</v>
      </c>
      <c r="H610" s="171"/>
      <c r="I610" s="171"/>
      <c r="J610" s="171">
        <f>G610</f>
        <v>5000</v>
      </c>
      <c r="K610" s="171"/>
      <c r="L610" s="171"/>
      <c r="M610" s="171"/>
      <c r="N610" s="171">
        <f>N606/N608</f>
        <v>5416.666666666667</v>
      </c>
      <c r="O610" s="171"/>
      <c r="P610" s="171">
        <f>N610</f>
        <v>5416.666666666667</v>
      </c>
      <c r="EB610" s="69"/>
      <c r="EC610" s="69"/>
      <c r="ED610" s="69"/>
      <c r="EE610" s="69"/>
      <c r="EF610" s="69"/>
      <c r="EG610" s="69"/>
    </row>
    <row r="611" spans="1:137" s="68" customFormat="1" ht="12.75">
      <c r="A611" s="149" t="s">
        <v>515</v>
      </c>
      <c r="B611" s="104"/>
      <c r="C611" s="104"/>
      <c r="D611" s="171"/>
      <c r="E611" s="171"/>
      <c r="F611" s="171"/>
      <c r="G611" s="171"/>
      <c r="H611" s="171"/>
      <c r="I611" s="171"/>
      <c r="J611" s="171"/>
      <c r="K611" s="171"/>
      <c r="L611" s="171"/>
      <c r="M611" s="171"/>
      <c r="N611" s="171"/>
      <c r="O611" s="171"/>
      <c r="P611" s="171"/>
      <c r="EB611" s="69"/>
      <c r="EC611" s="69"/>
      <c r="ED611" s="69"/>
      <c r="EE611" s="69"/>
      <c r="EF611" s="69"/>
      <c r="EG611" s="69"/>
    </row>
    <row r="612" spans="1:137" s="68" customFormat="1" ht="32.25" customHeight="1">
      <c r="A612" s="148" t="s">
        <v>11</v>
      </c>
      <c r="B612" s="104"/>
      <c r="C612" s="104"/>
      <c r="D612" s="171"/>
      <c r="E612" s="171"/>
      <c r="F612" s="171"/>
      <c r="G612" s="171">
        <f>G610/D610*100</f>
        <v>125</v>
      </c>
      <c r="H612" s="171"/>
      <c r="I612" s="171"/>
      <c r="J612" s="171">
        <f>G612</f>
        <v>125</v>
      </c>
      <c r="K612" s="171"/>
      <c r="L612" s="171"/>
      <c r="M612" s="171"/>
      <c r="N612" s="171">
        <f>N610/G610*100</f>
        <v>108.33333333333334</v>
      </c>
      <c r="O612" s="171"/>
      <c r="P612" s="171">
        <f>N612</f>
        <v>108.33333333333334</v>
      </c>
      <c r="EB612" s="69"/>
      <c r="EC612" s="69"/>
      <c r="ED612" s="69"/>
      <c r="EE612" s="69"/>
      <c r="EF612" s="69"/>
      <c r="EG612" s="69"/>
    </row>
    <row r="613" spans="1:137" s="68" customFormat="1" ht="27">
      <c r="A613" s="150" t="s">
        <v>535</v>
      </c>
      <c r="B613" s="219"/>
      <c r="C613" s="219"/>
      <c r="D613" s="220">
        <f>D615</f>
        <v>50000</v>
      </c>
      <c r="E613" s="220"/>
      <c r="F613" s="220">
        <f>F615</f>
        <v>50000</v>
      </c>
      <c r="G613" s="221"/>
      <c r="H613" s="221"/>
      <c r="I613" s="221"/>
      <c r="J613" s="221"/>
      <c r="K613" s="221"/>
      <c r="L613" s="221"/>
      <c r="M613" s="221"/>
      <c r="N613" s="221"/>
      <c r="O613" s="221"/>
      <c r="P613" s="221"/>
      <c r="EB613" s="69"/>
      <c r="EC613" s="69"/>
      <c r="ED613" s="69"/>
      <c r="EE613" s="69"/>
      <c r="EF613" s="69"/>
      <c r="EG613" s="69"/>
    </row>
    <row r="614" spans="1:137" s="68" customFormat="1" ht="12.75">
      <c r="A614" s="143" t="s">
        <v>261</v>
      </c>
      <c r="B614" s="104"/>
      <c r="C614" s="104"/>
      <c r="D614" s="171"/>
      <c r="E614" s="171"/>
      <c r="F614" s="171"/>
      <c r="G614" s="221"/>
      <c r="H614" s="221"/>
      <c r="I614" s="221"/>
      <c r="J614" s="221"/>
      <c r="K614" s="221"/>
      <c r="L614" s="221"/>
      <c r="M614" s="221"/>
      <c r="N614" s="221"/>
      <c r="O614" s="221"/>
      <c r="P614" s="221"/>
      <c r="EB614" s="69"/>
      <c r="EC614" s="69"/>
      <c r="ED614" s="69"/>
      <c r="EE614" s="69"/>
      <c r="EF614" s="69"/>
      <c r="EG614" s="69"/>
    </row>
    <row r="615" spans="1:137" s="68" customFormat="1" ht="31.5" customHeight="1">
      <c r="A615" s="148" t="s">
        <v>536</v>
      </c>
      <c r="B615" s="104"/>
      <c r="C615" s="104"/>
      <c r="D615" s="171">
        <f>0+50000</f>
        <v>50000</v>
      </c>
      <c r="E615" s="171"/>
      <c r="F615" s="171">
        <f>D615</f>
        <v>50000</v>
      </c>
      <c r="G615" s="221"/>
      <c r="H615" s="221"/>
      <c r="I615" s="221"/>
      <c r="J615" s="221"/>
      <c r="K615" s="221"/>
      <c r="L615" s="221"/>
      <c r="M615" s="221"/>
      <c r="N615" s="221"/>
      <c r="O615" s="221"/>
      <c r="P615" s="221"/>
      <c r="EB615" s="69"/>
      <c r="EC615" s="69"/>
      <c r="ED615" s="69"/>
      <c r="EE615" s="69"/>
      <c r="EF615" s="69"/>
      <c r="EG615" s="69"/>
    </row>
    <row r="616" spans="1:137" s="68" customFormat="1" ht="12.75">
      <c r="A616" s="149" t="s">
        <v>426</v>
      </c>
      <c r="B616" s="104"/>
      <c r="C616" s="104"/>
      <c r="D616" s="171"/>
      <c r="E616" s="171"/>
      <c r="F616" s="171"/>
      <c r="G616" s="221"/>
      <c r="H616" s="221"/>
      <c r="I616" s="221"/>
      <c r="J616" s="221"/>
      <c r="K616" s="221"/>
      <c r="L616" s="221"/>
      <c r="M616" s="221"/>
      <c r="N616" s="221"/>
      <c r="O616" s="221"/>
      <c r="P616" s="221"/>
      <c r="EB616" s="69"/>
      <c r="EC616" s="69"/>
      <c r="ED616" s="69"/>
      <c r="EE616" s="69"/>
      <c r="EF616" s="69"/>
      <c r="EG616" s="69"/>
    </row>
    <row r="617" spans="1:137" s="68" customFormat="1" ht="42" customHeight="1">
      <c r="A617" s="144" t="s">
        <v>537</v>
      </c>
      <c r="B617" s="104"/>
      <c r="C617" s="104"/>
      <c r="D617" s="171">
        <v>100</v>
      </c>
      <c r="E617" s="171"/>
      <c r="F617" s="171">
        <f>D617</f>
        <v>100</v>
      </c>
      <c r="G617" s="221"/>
      <c r="H617" s="221"/>
      <c r="I617" s="221"/>
      <c r="J617" s="221"/>
      <c r="K617" s="221"/>
      <c r="L617" s="221"/>
      <c r="M617" s="221"/>
      <c r="N617" s="221"/>
      <c r="O617" s="221"/>
      <c r="P617" s="221"/>
      <c r="EB617" s="69"/>
      <c r="EC617" s="69"/>
      <c r="ED617" s="69"/>
      <c r="EE617" s="69"/>
      <c r="EF617" s="69"/>
      <c r="EG617" s="69"/>
    </row>
    <row r="618" spans="1:137" s="68" customFormat="1" ht="12.75">
      <c r="A618" s="149" t="s">
        <v>388</v>
      </c>
      <c r="B618" s="104"/>
      <c r="C618" s="104"/>
      <c r="D618" s="171"/>
      <c r="E618" s="171"/>
      <c r="F618" s="171"/>
      <c r="G618" s="221"/>
      <c r="H618" s="221"/>
      <c r="I618" s="221"/>
      <c r="J618" s="221"/>
      <c r="K618" s="221"/>
      <c r="L618" s="221"/>
      <c r="M618" s="221"/>
      <c r="N618" s="221"/>
      <c r="O618" s="221"/>
      <c r="P618" s="221"/>
      <c r="EB618" s="69"/>
      <c r="EC618" s="69"/>
      <c r="ED618" s="69"/>
      <c r="EE618" s="69"/>
      <c r="EF618" s="69"/>
      <c r="EG618" s="69"/>
    </row>
    <row r="619" spans="1:137" s="68" customFormat="1" ht="30.75" customHeight="1">
      <c r="A619" s="148" t="s">
        <v>538</v>
      </c>
      <c r="B619" s="104"/>
      <c r="C619" s="104"/>
      <c r="D619" s="171">
        <f>D615/D617</f>
        <v>500</v>
      </c>
      <c r="E619" s="171"/>
      <c r="F619" s="171">
        <f>D619</f>
        <v>500</v>
      </c>
      <c r="G619" s="221"/>
      <c r="H619" s="221"/>
      <c r="I619" s="221"/>
      <c r="J619" s="221"/>
      <c r="K619" s="221"/>
      <c r="L619" s="221"/>
      <c r="M619" s="221"/>
      <c r="N619" s="221"/>
      <c r="O619" s="221"/>
      <c r="P619" s="221"/>
      <c r="EB619" s="69"/>
      <c r="EC619" s="69"/>
      <c r="ED619" s="69"/>
      <c r="EE619" s="69"/>
      <c r="EF619" s="69"/>
      <c r="EG619" s="69"/>
    </row>
    <row r="620" spans="1:137" s="68" customFormat="1" ht="27">
      <c r="A620" s="147" t="s">
        <v>534</v>
      </c>
      <c r="B620" s="104"/>
      <c r="C620" s="104"/>
      <c r="D620" s="178">
        <f>D622</f>
        <v>29900</v>
      </c>
      <c r="E620" s="178"/>
      <c r="F620" s="178">
        <f>F622</f>
        <v>29900</v>
      </c>
      <c r="G620" s="221"/>
      <c r="H620" s="221"/>
      <c r="I620" s="221"/>
      <c r="J620" s="221"/>
      <c r="K620" s="221"/>
      <c r="L620" s="221"/>
      <c r="M620" s="221"/>
      <c r="N620" s="221"/>
      <c r="O620" s="221"/>
      <c r="P620" s="221"/>
      <c r="EB620" s="69"/>
      <c r="EC620" s="69"/>
      <c r="ED620" s="69"/>
      <c r="EE620" s="69"/>
      <c r="EF620" s="69"/>
      <c r="EG620" s="69"/>
    </row>
    <row r="621" spans="1:137" s="68" customFormat="1" ht="12.75">
      <c r="A621" s="143" t="s">
        <v>261</v>
      </c>
      <c r="B621" s="104"/>
      <c r="C621" s="104"/>
      <c r="D621" s="171"/>
      <c r="E621" s="171"/>
      <c r="F621" s="171"/>
      <c r="G621" s="221"/>
      <c r="H621" s="221"/>
      <c r="I621" s="221"/>
      <c r="J621" s="221"/>
      <c r="K621" s="221"/>
      <c r="L621" s="221"/>
      <c r="M621" s="221"/>
      <c r="N621" s="221"/>
      <c r="O621" s="221"/>
      <c r="P621" s="221"/>
      <c r="EB621" s="69"/>
      <c r="EC621" s="69"/>
      <c r="ED621" s="69"/>
      <c r="EE621" s="69"/>
      <c r="EF621" s="69"/>
      <c r="EG621" s="69"/>
    </row>
    <row r="622" spans="1:137" s="68" customFormat="1" ht="25.5">
      <c r="A622" s="148" t="s">
        <v>531</v>
      </c>
      <c r="B622" s="104"/>
      <c r="C622" s="104"/>
      <c r="D622" s="171">
        <v>29900</v>
      </c>
      <c r="E622" s="171"/>
      <c r="F622" s="171">
        <f>D622</f>
        <v>29900</v>
      </c>
      <c r="G622" s="221"/>
      <c r="H622" s="221"/>
      <c r="I622" s="221"/>
      <c r="J622" s="221"/>
      <c r="K622" s="221"/>
      <c r="L622" s="221"/>
      <c r="M622" s="221"/>
      <c r="N622" s="221"/>
      <c r="O622" s="221"/>
      <c r="P622" s="221"/>
      <c r="EB622" s="69"/>
      <c r="EC622" s="69"/>
      <c r="ED622" s="69"/>
      <c r="EE622" s="69"/>
      <c r="EF622" s="69"/>
      <c r="EG622" s="69"/>
    </row>
    <row r="623" spans="1:137" s="68" customFormat="1" ht="12.75">
      <c r="A623" s="149" t="s">
        <v>426</v>
      </c>
      <c r="B623" s="104"/>
      <c r="C623" s="104"/>
      <c r="D623" s="171"/>
      <c r="E623" s="171"/>
      <c r="F623" s="171"/>
      <c r="G623" s="221"/>
      <c r="H623" s="221"/>
      <c r="I623" s="221"/>
      <c r="J623" s="221"/>
      <c r="K623" s="221"/>
      <c r="L623" s="221"/>
      <c r="M623" s="221"/>
      <c r="N623" s="221"/>
      <c r="O623" s="221"/>
      <c r="P623" s="221"/>
      <c r="EB623" s="69"/>
      <c r="EC623" s="69"/>
      <c r="ED623" s="69"/>
      <c r="EE623" s="69"/>
      <c r="EF623" s="69"/>
      <c r="EG623" s="69"/>
    </row>
    <row r="624" spans="1:137" s="68" customFormat="1" ht="25.5">
      <c r="A624" s="144" t="s">
        <v>532</v>
      </c>
      <c r="B624" s="104"/>
      <c r="C624" s="104"/>
      <c r="D624" s="171">
        <v>4</v>
      </c>
      <c r="E624" s="171"/>
      <c r="F624" s="171">
        <f>D624</f>
        <v>4</v>
      </c>
      <c r="G624" s="221"/>
      <c r="H624" s="221"/>
      <c r="I624" s="221"/>
      <c r="J624" s="221"/>
      <c r="K624" s="221"/>
      <c r="L624" s="221"/>
      <c r="M624" s="221"/>
      <c r="N624" s="221"/>
      <c r="O624" s="221"/>
      <c r="P624" s="221"/>
      <c r="EB624" s="69"/>
      <c r="EC624" s="69"/>
      <c r="ED624" s="69"/>
      <c r="EE624" s="69"/>
      <c r="EF624" s="69"/>
      <c r="EG624" s="69"/>
    </row>
    <row r="625" spans="1:137" s="68" customFormat="1" ht="12.75">
      <c r="A625" s="149" t="s">
        <v>388</v>
      </c>
      <c r="B625" s="104"/>
      <c r="C625" s="104"/>
      <c r="D625" s="171"/>
      <c r="E625" s="171"/>
      <c r="F625" s="171"/>
      <c r="G625" s="221"/>
      <c r="H625" s="221"/>
      <c r="I625" s="221"/>
      <c r="J625" s="221"/>
      <c r="K625" s="221"/>
      <c r="L625" s="221"/>
      <c r="M625" s="221"/>
      <c r="N625" s="221"/>
      <c r="O625" s="221"/>
      <c r="P625" s="221"/>
      <c r="EB625" s="69"/>
      <c r="EC625" s="69"/>
      <c r="ED625" s="69"/>
      <c r="EE625" s="69"/>
      <c r="EF625" s="69"/>
      <c r="EG625" s="69"/>
    </row>
    <row r="626" spans="1:137" s="68" customFormat="1" ht="25.5">
      <c r="A626" s="148" t="s">
        <v>533</v>
      </c>
      <c r="B626" s="104"/>
      <c r="C626" s="104"/>
      <c r="D626" s="171">
        <f>D622/D624</f>
        <v>7475</v>
      </c>
      <c r="E626" s="171"/>
      <c r="F626" s="171">
        <f>D626</f>
        <v>7475</v>
      </c>
      <c r="G626" s="221"/>
      <c r="H626" s="221"/>
      <c r="I626" s="221"/>
      <c r="J626" s="221"/>
      <c r="K626" s="221"/>
      <c r="L626" s="221"/>
      <c r="M626" s="221"/>
      <c r="N626" s="221"/>
      <c r="O626" s="221"/>
      <c r="P626" s="221"/>
      <c r="EB626" s="69"/>
      <c r="EC626" s="69"/>
      <c r="ED626" s="69"/>
      <c r="EE626" s="69"/>
      <c r="EF626" s="69"/>
      <c r="EG626" s="69"/>
    </row>
    <row r="627" spans="1:137" s="68" customFormat="1" ht="27">
      <c r="A627" s="147" t="s">
        <v>549</v>
      </c>
      <c r="B627" s="287"/>
      <c r="C627" s="287"/>
      <c r="D627" s="221"/>
      <c r="E627" s="221"/>
      <c r="F627" s="221"/>
      <c r="G627" s="289">
        <f>G629</f>
        <v>1500000</v>
      </c>
      <c r="H627" s="289"/>
      <c r="I627" s="289"/>
      <c r="J627" s="289">
        <f>G627+H627</f>
        <v>1500000</v>
      </c>
      <c r="K627" s="289"/>
      <c r="L627" s="289"/>
      <c r="M627" s="289"/>
      <c r="N627" s="289"/>
      <c r="O627" s="289"/>
      <c r="P627" s="289"/>
      <c r="EB627" s="69"/>
      <c r="EC627" s="69"/>
      <c r="ED627" s="69"/>
      <c r="EE627" s="69"/>
      <c r="EF627" s="69"/>
      <c r="EG627" s="69"/>
    </row>
    <row r="628" spans="1:137" s="68" customFormat="1" ht="12.75">
      <c r="A628" s="143" t="s">
        <v>261</v>
      </c>
      <c r="B628" s="287"/>
      <c r="C628" s="287"/>
      <c r="D628" s="221"/>
      <c r="E628" s="221"/>
      <c r="F628" s="221"/>
      <c r="G628" s="221"/>
      <c r="H628" s="221"/>
      <c r="I628" s="221"/>
      <c r="J628" s="221"/>
      <c r="K628" s="221"/>
      <c r="L628" s="221"/>
      <c r="M628" s="221"/>
      <c r="N628" s="221"/>
      <c r="O628" s="221"/>
      <c r="P628" s="221"/>
      <c r="EB628" s="69"/>
      <c r="EC628" s="69"/>
      <c r="ED628" s="69"/>
      <c r="EE628" s="69"/>
      <c r="EF628" s="69"/>
      <c r="EG628" s="69"/>
    </row>
    <row r="629" spans="1:137" s="68" customFormat="1" ht="25.5">
      <c r="A629" s="148" t="s">
        <v>550</v>
      </c>
      <c r="B629" s="287"/>
      <c r="C629" s="287"/>
      <c r="D629" s="221"/>
      <c r="E629" s="221"/>
      <c r="F629" s="221"/>
      <c r="G629" s="221">
        <f>0+1500000</f>
        <v>1500000</v>
      </c>
      <c r="H629" s="221"/>
      <c r="I629" s="221"/>
      <c r="J629" s="221">
        <f>G629+H629</f>
        <v>1500000</v>
      </c>
      <c r="K629" s="221"/>
      <c r="L629" s="221"/>
      <c r="M629" s="221"/>
      <c r="N629" s="221"/>
      <c r="O629" s="221"/>
      <c r="P629" s="221"/>
      <c r="EB629" s="69"/>
      <c r="EC629" s="69"/>
      <c r="ED629" s="69"/>
      <c r="EE629" s="69"/>
      <c r="EF629" s="69"/>
      <c r="EG629" s="69"/>
    </row>
    <row r="630" spans="1:137" s="68" customFormat="1" ht="12.75">
      <c r="A630" s="149" t="s">
        <v>426</v>
      </c>
      <c r="B630" s="287"/>
      <c r="C630" s="287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221"/>
      <c r="EB630" s="69"/>
      <c r="EC630" s="69"/>
      <c r="ED630" s="69"/>
      <c r="EE630" s="69"/>
      <c r="EF630" s="69"/>
      <c r="EG630" s="69"/>
    </row>
    <row r="631" spans="1:137" s="68" customFormat="1" ht="25.5">
      <c r="A631" s="144" t="s">
        <v>551</v>
      </c>
      <c r="B631" s="287"/>
      <c r="C631" s="287"/>
      <c r="D631" s="221"/>
      <c r="E631" s="221"/>
      <c r="F631" s="221"/>
      <c r="G631" s="288">
        <v>25</v>
      </c>
      <c r="H631" s="288"/>
      <c r="I631" s="288"/>
      <c r="J631" s="288">
        <f>G631+H631</f>
        <v>25</v>
      </c>
      <c r="K631" s="221"/>
      <c r="L631" s="221"/>
      <c r="M631" s="221"/>
      <c r="N631" s="221"/>
      <c r="O631" s="221"/>
      <c r="P631" s="221"/>
      <c r="EB631" s="69"/>
      <c r="EC631" s="69"/>
      <c r="ED631" s="69"/>
      <c r="EE631" s="69"/>
      <c r="EF631" s="69"/>
      <c r="EG631" s="69"/>
    </row>
    <row r="632" spans="1:137" s="68" customFormat="1" ht="12.75">
      <c r="A632" s="149" t="s">
        <v>388</v>
      </c>
      <c r="B632" s="287"/>
      <c r="C632" s="287"/>
      <c r="D632" s="221"/>
      <c r="E632" s="221"/>
      <c r="F632" s="22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EB632" s="69"/>
      <c r="EC632" s="69"/>
      <c r="ED632" s="69"/>
      <c r="EE632" s="69"/>
      <c r="EF632" s="69"/>
      <c r="EG632" s="69"/>
    </row>
    <row r="633" spans="1:137" s="68" customFormat="1" ht="25.5">
      <c r="A633" s="148" t="s">
        <v>552</v>
      </c>
      <c r="B633" s="287"/>
      <c r="C633" s="287"/>
      <c r="D633" s="221"/>
      <c r="E633" s="221"/>
      <c r="F633" s="221"/>
      <c r="G633" s="221">
        <f>G629/G631</f>
        <v>60000</v>
      </c>
      <c r="H633" s="221"/>
      <c r="I633" s="221"/>
      <c r="J633" s="221">
        <f>G633+H633</f>
        <v>60000</v>
      </c>
      <c r="K633" s="221"/>
      <c r="L633" s="221"/>
      <c r="M633" s="221"/>
      <c r="N633" s="221"/>
      <c r="O633" s="221"/>
      <c r="P633" s="221"/>
      <c r="EB633" s="69"/>
      <c r="EC633" s="69"/>
      <c r="ED633" s="69"/>
      <c r="EE633" s="69"/>
      <c r="EF633" s="69"/>
      <c r="EG633" s="69"/>
    </row>
    <row r="634" spans="1:137" s="68" customFormat="1" ht="13.5">
      <c r="A634" s="147" t="s">
        <v>563</v>
      </c>
      <c r="B634" s="287"/>
      <c r="C634" s="287"/>
      <c r="D634" s="289">
        <f>0+72000</f>
        <v>72000</v>
      </c>
      <c r="E634" s="289"/>
      <c r="F634" s="289">
        <f>D634+E634</f>
        <v>72000</v>
      </c>
      <c r="G634" s="289">
        <v>400000</v>
      </c>
      <c r="H634" s="221"/>
      <c r="I634" s="221"/>
      <c r="J634" s="289">
        <f>G634+H634</f>
        <v>400000</v>
      </c>
      <c r="K634" s="221"/>
      <c r="L634" s="221"/>
      <c r="M634" s="221"/>
      <c r="N634" s="221"/>
      <c r="O634" s="221"/>
      <c r="P634" s="221"/>
      <c r="EB634" s="69"/>
      <c r="EC634" s="69"/>
      <c r="ED634" s="69"/>
      <c r="EE634" s="69"/>
      <c r="EF634" s="69"/>
      <c r="EG634" s="69"/>
    </row>
    <row r="635" spans="1:137" s="68" customFormat="1" ht="12.75">
      <c r="A635" s="143" t="s">
        <v>261</v>
      </c>
      <c r="B635" s="287"/>
      <c r="C635" s="287"/>
      <c r="D635" s="221"/>
      <c r="E635" s="221"/>
      <c r="F635" s="221"/>
      <c r="G635" s="221"/>
      <c r="H635" s="221"/>
      <c r="I635" s="221"/>
      <c r="J635" s="221"/>
      <c r="K635" s="221"/>
      <c r="L635" s="221"/>
      <c r="M635" s="221"/>
      <c r="N635" s="221"/>
      <c r="O635" s="221"/>
      <c r="P635" s="221"/>
      <c r="EB635" s="69"/>
      <c r="EC635" s="69"/>
      <c r="ED635" s="69"/>
      <c r="EE635" s="69"/>
      <c r="EF635" s="69"/>
      <c r="EG635" s="69"/>
    </row>
    <row r="636" spans="1:137" s="68" customFormat="1" ht="12.75">
      <c r="A636" s="148" t="s">
        <v>560</v>
      </c>
      <c r="B636" s="287"/>
      <c r="C636" s="287"/>
      <c r="D636" s="221">
        <f>D634</f>
        <v>72000</v>
      </c>
      <c r="E636" s="221"/>
      <c r="F636" s="221">
        <f>D636+E636</f>
        <v>72000</v>
      </c>
      <c r="G636" s="221">
        <f>G634</f>
        <v>400000</v>
      </c>
      <c r="H636" s="221"/>
      <c r="I636" s="221"/>
      <c r="J636" s="221">
        <f>G636+H636</f>
        <v>400000</v>
      </c>
      <c r="K636" s="221"/>
      <c r="L636" s="221"/>
      <c r="M636" s="221"/>
      <c r="N636" s="221"/>
      <c r="O636" s="221"/>
      <c r="P636" s="221"/>
      <c r="EB636" s="69"/>
      <c r="EC636" s="69"/>
      <c r="ED636" s="69"/>
      <c r="EE636" s="69"/>
      <c r="EF636" s="69"/>
      <c r="EG636" s="69"/>
    </row>
    <row r="637" spans="1:137" s="68" customFormat="1" ht="12.75">
      <c r="A637" s="149" t="s">
        <v>426</v>
      </c>
      <c r="B637" s="287"/>
      <c r="C637" s="287"/>
      <c r="D637" s="221"/>
      <c r="E637" s="221"/>
      <c r="F637" s="221"/>
      <c r="G637" s="221"/>
      <c r="H637" s="221"/>
      <c r="I637" s="221"/>
      <c r="J637" s="221"/>
      <c r="K637" s="221"/>
      <c r="L637" s="221"/>
      <c r="M637" s="221"/>
      <c r="N637" s="221"/>
      <c r="O637" s="221"/>
      <c r="P637" s="221"/>
      <c r="EB637" s="69"/>
      <c r="EC637" s="69"/>
      <c r="ED637" s="69"/>
      <c r="EE637" s="69"/>
      <c r="EF637" s="69"/>
      <c r="EG637" s="69"/>
    </row>
    <row r="638" spans="1:137" s="68" customFormat="1" ht="25.5">
      <c r="A638" s="144" t="s">
        <v>561</v>
      </c>
      <c r="B638" s="287"/>
      <c r="C638" s="287"/>
      <c r="D638" s="288">
        <v>2</v>
      </c>
      <c r="E638" s="288"/>
      <c r="F638" s="288">
        <f>D638+E638</f>
        <v>2</v>
      </c>
      <c r="G638" s="288">
        <v>10</v>
      </c>
      <c r="H638" s="221"/>
      <c r="I638" s="221"/>
      <c r="J638" s="288">
        <f>G638+H638</f>
        <v>10</v>
      </c>
      <c r="K638" s="221"/>
      <c r="L638" s="221"/>
      <c r="M638" s="221"/>
      <c r="N638" s="221"/>
      <c r="O638" s="221"/>
      <c r="P638" s="221"/>
      <c r="EB638" s="69"/>
      <c r="EC638" s="69"/>
      <c r="ED638" s="69"/>
      <c r="EE638" s="69"/>
      <c r="EF638" s="69"/>
      <c r="EG638" s="69"/>
    </row>
    <row r="639" spans="1:137" s="68" customFormat="1" ht="12.75">
      <c r="A639" s="149" t="s">
        <v>388</v>
      </c>
      <c r="B639" s="287"/>
      <c r="C639" s="287"/>
      <c r="D639" s="221"/>
      <c r="E639" s="221"/>
      <c r="F639" s="221"/>
      <c r="G639" s="221"/>
      <c r="H639" s="221"/>
      <c r="I639" s="221"/>
      <c r="J639" s="221"/>
      <c r="K639" s="221"/>
      <c r="L639" s="221"/>
      <c r="M639" s="221"/>
      <c r="N639" s="221"/>
      <c r="O639" s="221"/>
      <c r="P639" s="221"/>
      <c r="EB639" s="69"/>
      <c r="EC639" s="69"/>
      <c r="ED639" s="69"/>
      <c r="EE639" s="69"/>
      <c r="EF639" s="69"/>
      <c r="EG639" s="69"/>
    </row>
    <row r="640" spans="1:137" s="68" customFormat="1" ht="25.5">
      <c r="A640" s="148" t="s">
        <v>562</v>
      </c>
      <c r="B640" s="287"/>
      <c r="C640" s="287"/>
      <c r="D640" s="221">
        <f>D634/D638</f>
        <v>36000</v>
      </c>
      <c r="E640" s="221"/>
      <c r="F640" s="221">
        <f>D640+E640</f>
        <v>36000</v>
      </c>
      <c r="G640" s="221">
        <f>G634/G638</f>
        <v>40000</v>
      </c>
      <c r="H640" s="221"/>
      <c r="I640" s="221"/>
      <c r="J640" s="221">
        <f>G640+H640</f>
        <v>40000</v>
      </c>
      <c r="K640" s="221"/>
      <c r="L640" s="221"/>
      <c r="M640" s="221"/>
      <c r="N640" s="221"/>
      <c r="O640" s="221"/>
      <c r="P640" s="221"/>
      <c r="EB640" s="69"/>
      <c r="EC640" s="69"/>
      <c r="ED640" s="69"/>
      <c r="EE640" s="69"/>
      <c r="EF640" s="69"/>
      <c r="EG640" s="69"/>
    </row>
    <row r="641" spans="1:137" s="68" customFormat="1" ht="13.5">
      <c r="A641" s="147" t="s">
        <v>564</v>
      </c>
      <c r="B641" s="287"/>
      <c r="C641" s="287"/>
      <c r="D641" s="289"/>
      <c r="E641" s="289"/>
      <c r="F641" s="289"/>
      <c r="G641" s="289"/>
      <c r="H641" s="289">
        <f>H643</f>
        <v>6200000</v>
      </c>
      <c r="I641" s="289"/>
      <c r="J641" s="289">
        <f>G641+H641</f>
        <v>6200000</v>
      </c>
      <c r="K641" s="221"/>
      <c r="L641" s="221"/>
      <c r="M641" s="221"/>
      <c r="N641" s="221"/>
      <c r="O641" s="221"/>
      <c r="P641" s="221"/>
      <c r="EB641" s="69"/>
      <c r="EC641" s="69"/>
      <c r="ED641" s="69"/>
      <c r="EE641" s="69"/>
      <c r="EF641" s="69"/>
      <c r="EG641" s="69"/>
    </row>
    <row r="642" spans="1:137" s="68" customFormat="1" ht="12.75">
      <c r="A642" s="143" t="s">
        <v>261</v>
      </c>
      <c r="B642" s="287"/>
      <c r="C642" s="287"/>
      <c r="D642" s="221"/>
      <c r="E642" s="221"/>
      <c r="F642" s="221"/>
      <c r="G642" s="221"/>
      <c r="H642" s="221"/>
      <c r="I642" s="221"/>
      <c r="J642" s="221"/>
      <c r="K642" s="221"/>
      <c r="L642" s="221"/>
      <c r="M642" s="221"/>
      <c r="N642" s="221"/>
      <c r="O642" s="221"/>
      <c r="P642" s="221"/>
      <c r="EB642" s="69"/>
      <c r="EC642" s="69"/>
      <c r="ED642" s="69"/>
      <c r="EE642" s="69"/>
      <c r="EF642" s="69"/>
      <c r="EG642" s="69"/>
    </row>
    <row r="643" spans="1:137" s="68" customFormat="1" ht="12.75">
      <c r="A643" s="148" t="s">
        <v>565</v>
      </c>
      <c r="B643" s="287"/>
      <c r="C643" s="287"/>
      <c r="D643" s="221"/>
      <c r="E643" s="221"/>
      <c r="F643" s="221"/>
      <c r="G643" s="221"/>
      <c r="H643" s="221">
        <f>6200000</f>
        <v>6200000</v>
      </c>
      <c r="I643" s="221"/>
      <c r="J643" s="221">
        <f>G643+H643</f>
        <v>6200000</v>
      </c>
      <c r="K643" s="221"/>
      <c r="L643" s="221"/>
      <c r="M643" s="221"/>
      <c r="N643" s="221"/>
      <c r="O643" s="221"/>
      <c r="P643" s="221"/>
      <c r="EB643" s="69"/>
      <c r="EC643" s="69"/>
      <c r="ED643" s="69"/>
      <c r="EE643" s="69"/>
      <c r="EF643" s="69"/>
      <c r="EG643" s="69"/>
    </row>
    <row r="644" spans="1:137" s="68" customFormat="1" ht="12.75">
      <c r="A644" s="149" t="s">
        <v>426</v>
      </c>
      <c r="B644" s="287"/>
      <c r="C644" s="287"/>
      <c r="D644" s="221"/>
      <c r="E644" s="221"/>
      <c r="F644" s="221"/>
      <c r="G644" s="221"/>
      <c r="H644" s="221"/>
      <c r="I644" s="221"/>
      <c r="J644" s="221"/>
      <c r="K644" s="221"/>
      <c r="L644" s="221"/>
      <c r="M644" s="221"/>
      <c r="N644" s="221"/>
      <c r="O644" s="221"/>
      <c r="P644" s="221"/>
      <c r="EB644" s="69"/>
      <c r="EC644" s="69"/>
      <c r="ED644" s="69"/>
      <c r="EE644" s="69"/>
      <c r="EF644" s="69"/>
      <c r="EG644" s="69"/>
    </row>
    <row r="645" spans="1:137" s="68" customFormat="1" ht="12.75">
      <c r="A645" s="144" t="s">
        <v>566</v>
      </c>
      <c r="B645" s="287"/>
      <c r="C645" s="287"/>
      <c r="D645" s="221"/>
      <c r="E645" s="221"/>
      <c r="F645" s="221"/>
      <c r="G645" s="221"/>
      <c r="H645" s="221">
        <v>1</v>
      </c>
      <c r="I645" s="221"/>
      <c r="J645" s="221">
        <f>G645+H645</f>
        <v>1</v>
      </c>
      <c r="K645" s="221"/>
      <c r="L645" s="221"/>
      <c r="M645" s="221"/>
      <c r="N645" s="221"/>
      <c r="O645" s="221"/>
      <c r="P645" s="221"/>
      <c r="EB645" s="69"/>
      <c r="EC645" s="69"/>
      <c r="ED645" s="69"/>
      <c r="EE645" s="69"/>
      <c r="EF645" s="69"/>
      <c r="EG645" s="69"/>
    </row>
    <row r="646" spans="1:137" s="68" customFormat="1" ht="12.75">
      <c r="A646" s="149" t="s">
        <v>388</v>
      </c>
      <c r="B646" s="287"/>
      <c r="C646" s="287"/>
      <c r="D646" s="221"/>
      <c r="E646" s="221"/>
      <c r="F646" s="221"/>
      <c r="G646" s="221"/>
      <c r="H646" s="221"/>
      <c r="I646" s="221"/>
      <c r="J646" s="221"/>
      <c r="K646" s="221"/>
      <c r="L646" s="221"/>
      <c r="M646" s="221"/>
      <c r="N646" s="221"/>
      <c r="O646" s="221"/>
      <c r="P646" s="221"/>
      <c r="EB646" s="69"/>
      <c r="EC646" s="69"/>
      <c r="ED646" s="69"/>
      <c r="EE646" s="69"/>
      <c r="EF646" s="69"/>
      <c r="EG646" s="69"/>
    </row>
    <row r="647" spans="1:137" s="68" customFormat="1" ht="12.75">
      <c r="A647" s="148" t="s">
        <v>567</v>
      </c>
      <c r="B647" s="287"/>
      <c r="C647" s="287"/>
      <c r="D647" s="221"/>
      <c r="E647" s="221"/>
      <c r="F647" s="221"/>
      <c r="G647" s="221"/>
      <c r="H647" s="221">
        <f>H643/H645</f>
        <v>6200000</v>
      </c>
      <c r="I647" s="221"/>
      <c r="J647" s="221">
        <f>G647+H647</f>
        <v>6200000</v>
      </c>
      <c r="K647" s="221"/>
      <c r="L647" s="221"/>
      <c r="M647" s="221"/>
      <c r="N647" s="221"/>
      <c r="O647" s="221"/>
      <c r="P647" s="221"/>
      <c r="EB647" s="69"/>
      <c r="EC647" s="69"/>
      <c r="ED647" s="69"/>
      <c r="EE647" s="69"/>
      <c r="EF647" s="69"/>
      <c r="EG647" s="69"/>
    </row>
    <row r="648" spans="1:217" s="63" customFormat="1" ht="27.75" customHeight="1">
      <c r="A648" s="120" t="s">
        <v>46</v>
      </c>
      <c r="B648" s="222"/>
      <c r="C648" s="222"/>
      <c r="D648" s="282">
        <f>D650+D663</f>
        <v>318730</v>
      </c>
      <c r="E648" s="282">
        <f>E686+E702</f>
        <v>636370</v>
      </c>
      <c r="F648" s="282">
        <f>D648+E648</f>
        <v>955100</v>
      </c>
      <c r="G648" s="282">
        <f>G650+G663</f>
        <v>328452</v>
      </c>
      <c r="H648" s="282">
        <f>H686+H702</f>
        <v>676380</v>
      </c>
      <c r="I648" s="282"/>
      <c r="J648" s="282">
        <f>G648+H648</f>
        <v>1004832</v>
      </c>
      <c r="K648" s="282" t="e">
        <f>#REF!+#REF!</f>
        <v>#REF!</v>
      </c>
      <c r="L648" s="282" t="e">
        <f>#REF!+#REF!</f>
        <v>#REF!</v>
      </c>
      <c r="M648" s="282" t="e">
        <f>#REF!+#REF!</f>
        <v>#REF!</v>
      </c>
      <c r="N648" s="282">
        <f>N650+N663</f>
        <v>344360</v>
      </c>
      <c r="O648" s="282">
        <f>O686+O702</f>
        <v>733240</v>
      </c>
      <c r="P648" s="282">
        <f>N648+O648</f>
        <v>1077600</v>
      </c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</row>
    <row r="649" spans="1:217" s="62" customFormat="1" ht="25.5">
      <c r="A649" s="148" t="s">
        <v>365</v>
      </c>
      <c r="B649" s="172"/>
      <c r="C649" s="172"/>
      <c r="D649" s="170"/>
      <c r="E649" s="170"/>
      <c r="F649" s="170"/>
      <c r="G649" s="170"/>
      <c r="H649" s="170"/>
      <c r="I649" s="170"/>
      <c r="J649" s="170"/>
      <c r="K649" s="223"/>
      <c r="L649" s="169"/>
      <c r="M649" s="170"/>
      <c r="N649" s="170"/>
      <c r="O649" s="170"/>
      <c r="P649" s="170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  <c r="CM649" s="43"/>
      <c r="CN649" s="43"/>
      <c r="CO649" s="43"/>
      <c r="CP649" s="43"/>
      <c r="CQ649" s="43"/>
      <c r="CR649" s="43"/>
      <c r="CS649" s="43"/>
      <c r="CT649" s="43"/>
      <c r="CU649" s="43"/>
      <c r="CV649" s="43"/>
      <c r="CW649" s="43"/>
      <c r="CX649" s="43"/>
      <c r="CY649" s="43"/>
      <c r="CZ649" s="43"/>
      <c r="DA649" s="43"/>
      <c r="DB649" s="43"/>
      <c r="DC649" s="43"/>
      <c r="DD649" s="43"/>
      <c r="DE649" s="43"/>
      <c r="DF649" s="43"/>
      <c r="DG649" s="43"/>
      <c r="DH649" s="43"/>
      <c r="DI649" s="43"/>
      <c r="DJ649" s="43"/>
      <c r="DK649" s="43"/>
      <c r="DL649" s="43"/>
      <c r="DM649" s="43"/>
      <c r="DN649" s="43"/>
      <c r="DO649" s="43"/>
      <c r="DP649" s="43"/>
      <c r="DQ649" s="43"/>
      <c r="DR649" s="43"/>
      <c r="DS649" s="43"/>
      <c r="DT649" s="43"/>
      <c r="DU649" s="43"/>
      <c r="DV649" s="43"/>
      <c r="DW649" s="43"/>
      <c r="DX649" s="43"/>
      <c r="DY649" s="43"/>
      <c r="DZ649" s="43"/>
      <c r="EA649" s="43"/>
      <c r="EB649" s="43"/>
      <c r="EC649" s="43"/>
      <c r="ED649" s="43"/>
      <c r="EE649" s="43"/>
      <c r="EF649" s="43"/>
      <c r="EG649" s="43"/>
      <c r="EH649" s="43"/>
      <c r="EI649" s="43"/>
      <c r="EJ649" s="43"/>
      <c r="EK649" s="43"/>
      <c r="EL649" s="43"/>
      <c r="EM649" s="43"/>
      <c r="EN649" s="43"/>
      <c r="EO649" s="43"/>
      <c r="EP649" s="43"/>
      <c r="EQ649" s="43"/>
      <c r="ER649" s="43"/>
      <c r="ES649" s="43"/>
      <c r="ET649" s="43"/>
      <c r="EU649" s="43"/>
      <c r="EV649" s="43"/>
      <c r="EW649" s="43"/>
      <c r="EX649" s="43"/>
      <c r="EY649" s="43"/>
      <c r="EZ649" s="43"/>
      <c r="FA649" s="43"/>
      <c r="FB649" s="43"/>
      <c r="FC649" s="43"/>
      <c r="FD649" s="43"/>
      <c r="FE649" s="43"/>
      <c r="FF649" s="43"/>
      <c r="FG649" s="43"/>
      <c r="FH649" s="43"/>
      <c r="FI649" s="43"/>
      <c r="FJ649" s="43"/>
      <c r="FK649" s="43"/>
      <c r="FL649" s="43"/>
      <c r="FM649" s="43"/>
      <c r="FN649" s="43"/>
      <c r="FO649" s="43"/>
      <c r="FP649" s="43"/>
      <c r="FQ649" s="43"/>
      <c r="FR649" s="43"/>
      <c r="FS649" s="43"/>
      <c r="FT649" s="43"/>
      <c r="FU649" s="43"/>
      <c r="FV649" s="43"/>
      <c r="FW649" s="43"/>
      <c r="FX649" s="43"/>
      <c r="FY649" s="43"/>
      <c r="FZ649" s="43"/>
      <c r="GA649" s="43"/>
      <c r="GB649" s="43"/>
      <c r="GC649" s="43"/>
      <c r="GD649" s="43"/>
      <c r="GE649" s="43"/>
      <c r="GF649" s="43"/>
      <c r="GG649" s="43"/>
      <c r="GH649" s="43"/>
      <c r="GI649" s="43"/>
      <c r="GJ649" s="43"/>
      <c r="GK649" s="43"/>
      <c r="GL649" s="43"/>
      <c r="GM649" s="43"/>
      <c r="GN649" s="43"/>
      <c r="GO649" s="43"/>
      <c r="GP649" s="43"/>
      <c r="GQ649" s="43"/>
      <c r="GR649" s="43"/>
      <c r="GS649" s="43"/>
      <c r="GT649" s="43"/>
      <c r="GU649" s="43"/>
      <c r="GV649" s="43"/>
      <c r="GW649" s="43"/>
      <c r="GX649" s="43"/>
      <c r="GY649" s="43"/>
      <c r="GZ649" s="43"/>
      <c r="HA649" s="43"/>
      <c r="HB649" s="43"/>
      <c r="HC649" s="43"/>
      <c r="HD649" s="43"/>
      <c r="HE649" s="43"/>
      <c r="HF649" s="43"/>
      <c r="HG649" s="43"/>
      <c r="HH649" s="43"/>
      <c r="HI649" s="43"/>
    </row>
    <row r="650" spans="1:217" s="50" customFormat="1" ht="27">
      <c r="A650" s="151" t="s">
        <v>47</v>
      </c>
      <c r="B650" s="151"/>
      <c r="C650" s="151"/>
      <c r="D650" s="224">
        <f>D652+D653+D654</f>
        <v>182500</v>
      </c>
      <c r="E650" s="224"/>
      <c r="F650" s="224">
        <f>F652+F653+F654</f>
        <v>182500</v>
      </c>
      <c r="G650" s="224">
        <f>G652+G653+G654</f>
        <v>183750</v>
      </c>
      <c r="H650" s="224"/>
      <c r="I650" s="224"/>
      <c r="J650" s="224">
        <f>J652+J653+J654</f>
        <v>183750</v>
      </c>
      <c r="K650" s="224"/>
      <c r="L650" s="225"/>
      <c r="M650" s="225"/>
      <c r="N650" s="224">
        <f>N652+N653+N654</f>
        <v>185000</v>
      </c>
      <c r="O650" s="224"/>
      <c r="P650" s="224">
        <f>P652+P653+P654</f>
        <v>185000</v>
      </c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59"/>
      <c r="CA650" s="59"/>
      <c r="CB650" s="59"/>
      <c r="CC650" s="59"/>
      <c r="CD650" s="59"/>
      <c r="CE650" s="59"/>
      <c r="CF650" s="59"/>
      <c r="CG650" s="59"/>
      <c r="CH650" s="59"/>
      <c r="CI650" s="59"/>
      <c r="CJ650" s="59"/>
      <c r="CK650" s="59"/>
      <c r="CL650" s="59"/>
      <c r="CM650" s="59"/>
      <c r="CN650" s="59"/>
      <c r="CO650" s="59"/>
      <c r="CP650" s="59"/>
      <c r="CQ650" s="59"/>
      <c r="CR650" s="59"/>
      <c r="CS650" s="59"/>
      <c r="CT650" s="59"/>
      <c r="CU650" s="59"/>
      <c r="CV650" s="59"/>
      <c r="CW650" s="59"/>
      <c r="CX650" s="59"/>
      <c r="CY650" s="59"/>
      <c r="CZ650" s="59"/>
      <c r="DA650" s="59"/>
      <c r="DB650" s="59"/>
      <c r="DC650" s="59"/>
      <c r="DD650" s="59"/>
      <c r="DE650" s="59"/>
      <c r="DF650" s="59"/>
      <c r="DG650" s="59"/>
      <c r="DH650" s="59"/>
      <c r="DI650" s="59"/>
      <c r="DJ650" s="59"/>
      <c r="DK650" s="59"/>
      <c r="DL650" s="59"/>
      <c r="DM650" s="59"/>
      <c r="DN650" s="59"/>
      <c r="DO650" s="59"/>
      <c r="DP650" s="59"/>
      <c r="DQ650" s="59"/>
      <c r="DR650" s="59"/>
      <c r="DS650" s="59"/>
      <c r="DT650" s="59"/>
      <c r="DU650" s="59"/>
      <c r="DV650" s="59"/>
      <c r="DW650" s="59"/>
      <c r="DX650" s="59"/>
      <c r="DY650" s="59"/>
      <c r="DZ650" s="59"/>
      <c r="EA650" s="59"/>
      <c r="EB650" s="59"/>
      <c r="EC650" s="59"/>
      <c r="ED650" s="59"/>
      <c r="EE650" s="59"/>
      <c r="EF650" s="59"/>
      <c r="EG650" s="59"/>
      <c r="EH650" s="59"/>
      <c r="EI650" s="59"/>
      <c r="EJ650" s="59"/>
      <c r="EK650" s="59"/>
      <c r="EL650" s="59"/>
      <c r="EM650" s="59"/>
      <c r="EN650" s="59"/>
      <c r="EO650" s="59"/>
      <c r="EP650" s="59"/>
      <c r="EQ650" s="59"/>
      <c r="ER650" s="59"/>
      <c r="ES650" s="59"/>
      <c r="ET650" s="59"/>
      <c r="EU650" s="59"/>
      <c r="EV650" s="59"/>
      <c r="EW650" s="59"/>
      <c r="EX650" s="59"/>
      <c r="EY650" s="59"/>
      <c r="EZ650" s="59"/>
      <c r="FA650" s="59"/>
      <c r="FB650" s="59"/>
      <c r="FC650" s="59"/>
      <c r="FD650" s="59"/>
      <c r="FE650" s="59"/>
      <c r="FF650" s="59"/>
      <c r="FG650" s="59"/>
      <c r="FH650" s="59"/>
      <c r="FI650" s="59"/>
      <c r="FJ650" s="59"/>
      <c r="FK650" s="59"/>
      <c r="FL650" s="59"/>
      <c r="FM650" s="59"/>
      <c r="FN650" s="59"/>
      <c r="FO650" s="59"/>
      <c r="FP650" s="59"/>
      <c r="FQ650" s="59"/>
      <c r="FR650" s="59"/>
      <c r="FS650" s="59"/>
      <c r="FT650" s="59"/>
      <c r="FU650" s="59"/>
      <c r="FV650" s="59"/>
      <c r="FW650" s="59"/>
      <c r="FX650" s="59"/>
      <c r="FY650" s="59"/>
      <c r="FZ650" s="59"/>
      <c r="GA650" s="59"/>
      <c r="GB650" s="59"/>
      <c r="GC650" s="59"/>
      <c r="GD650" s="59"/>
      <c r="GE650" s="59"/>
      <c r="GF650" s="59"/>
      <c r="GG650" s="59"/>
      <c r="GH650" s="59"/>
      <c r="GI650" s="59"/>
      <c r="GJ650" s="59"/>
      <c r="GK650" s="59"/>
      <c r="GL650" s="59"/>
      <c r="GM650" s="59"/>
      <c r="GN650" s="59"/>
      <c r="GO650" s="59"/>
      <c r="GP650" s="59"/>
      <c r="GQ650" s="59"/>
      <c r="GR650" s="59"/>
      <c r="GS650" s="59"/>
      <c r="GT650" s="59"/>
      <c r="GU650" s="59"/>
      <c r="GV650" s="59"/>
      <c r="GW650" s="59"/>
      <c r="GX650" s="59"/>
      <c r="GY650" s="59"/>
      <c r="GZ650" s="59"/>
      <c r="HA650" s="59"/>
      <c r="HB650" s="59"/>
      <c r="HC650" s="59"/>
      <c r="HD650" s="59"/>
      <c r="HE650" s="59"/>
      <c r="HF650" s="59"/>
      <c r="HG650" s="59"/>
      <c r="HH650" s="59"/>
      <c r="HI650" s="59"/>
    </row>
    <row r="651" spans="1:217" s="62" customFormat="1" ht="12.75">
      <c r="A651" s="152" t="s">
        <v>188</v>
      </c>
      <c r="B651" s="152"/>
      <c r="C651" s="152"/>
      <c r="D651" s="226"/>
      <c r="E651" s="226"/>
      <c r="F651" s="226"/>
      <c r="G651" s="226"/>
      <c r="H651" s="226"/>
      <c r="I651" s="226"/>
      <c r="J651" s="226"/>
      <c r="K651" s="227"/>
      <c r="L651" s="226"/>
      <c r="M651" s="226"/>
      <c r="N651" s="226"/>
      <c r="O651" s="226"/>
      <c r="P651" s="226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  <c r="CH651" s="43"/>
      <c r="CI651" s="43"/>
      <c r="CJ651" s="43"/>
      <c r="CK651" s="43"/>
      <c r="CL651" s="43"/>
      <c r="CM651" s="43"/>
      <c r="CN651" s="43"/>
      <c r="CO651" s="43"/>
      <c r="CP651" s="43"/>
      <c r="CQ651" s="43"/>
      <c r="CR651" s="43"/>
      <c r="CS651" s="43"/>
      <c r="CT651" s="43"/>
      <c r="CU651" s="43"/>
      <c r="CV651" s="43"/>
      <c r="CW651" s="43"/>
      <c r="CX651" s="43"/>
      <c r="CY651" s="43"/>
      <c r="CZ651" s="43"/>
      <c r="DA651" s="43"/>
      <c r="DB651" s="43"/>
      <c r="DC651" s="43"/>
      <c r="DD651" s="43"/>
      <c r="DE651" s="43"/>
      <c r="DF651" s="43"/>
      <c r="DG651" s="43"/>
      <c r="DH651" s="43"/>
      <c r="DI651" s="43"/>
      <c r="DJ651" s="43"/>
      <c r="DK651" s="43"/>
      <c r="DL651" s="43"/>
      <c r="DM651" s="43"/>
      <c r="DN651" s="43"/>
      <c r="DO651" s="43"/>
      <c r="DP651" s="43"/>
      <c r="DQ651" s="43"/>
      <c r="DR651" s="43"/>
      <c r="DS651" s="43"/>
      <c r="DT651" s="43"/>
      <c r="DU651" s="43"/>
      <c r="DV651" s="43"/>
      <c r="DW651" s="43"/>
      <c r="DX651" s="43"/>
      <c r="DY651" s="43"/>
      <c r="DZ651" s="43"/>
      <c r="EA651" s="43"/>
      <c r="EB651" s="43"/>
      <c r="EC651" s="43"/>
      <c r="ED651" s="43"/>
      <c r="EE651" s="43"/>
      <c r="EF651" s="43"/>
      <c r="EG651" s="43"/>
      <c r="EH651" s="43"/>
      <c r="EI651" s="43"/>
      <c r="EJ651" s="43"/>
      <c r="EK651" s="43"/>
      <c r="EL651" s="43"/>
      <c r="EM651" s="43"/>
      <c r="EN651" s="43"/>
      <c r="EO651" s="43"/>
      <c r="EP651" s="43"/>
      <c r="EQ651" s="43"/>
      <c r="ER651" s="43"/>
      <c r="ES651" s="43"/>
      <c r="ET651" s="43"/>
      <c r="EU651" s="43"/>
      <c r="EV651" s="43"/>
      <c r="EW651" s="43"/>
      <c r="EX651" s="43"/>
      <c r="EY651" s="43"/>
      <c r="EZ651" s="43"/>
      <c r="FA651" s="43"/>
      <c r="FB651" s="43"/>
      <c r="FC651" s="43"/>
      <c r="FD651" s="43"/>
      <c r="FE651" s="43"/>
      <c r="FF651" s="43"/>
      <c r="FG651" s="43"/>
      <c r="FH651" s="43"/>
      <c r="FI651" s="43"/>
      <c r="FJ651" s="43"/>
      <c r="FK651" s="43"/>
      <c r="FL651" s="43"/>
      <c r="FM651" s="43"/>
      <c r="FN651" s="43"/>
      <c r="FO651" s="43"/>
      <c r="FP651" s="43"/>
      <c r="FQ651" s="43"/>
      <c r="FR651" s="43"/>
      <c r="FS651" s="43"/>
      <c r="FT651" s="43"/>
      <c r="FU651" s="43"/>
      <c r="FV651" s="43"/>
      <c r="FW651" s="43"/>
      <c r="FX651" s="43"/>
      <c r="FY651" s="43"/>
      <c r="FZ651" s="43"/>
      <c r="GA651" s="43"/>
      <c r="GB651" s="43"/>
      <c r="GC651" s="43"/>
      <c r="GD651" s="43"/>
      <c r="GE651" s="43"/>
      <c r="GF651" s="43"/>
      <c r="GG651" s="43"/>
      <c r="GH651" s="43"/>
      <c r="GI651" s="43"/>
      <c r="GJ651" s="43"/>
      <c r="GK651" s="43"/>
      <c r="GL651" s="43"/>
      <c r="GM651" s="43"/>
      <c r="GN651" s="43"/>
      <c r="GO651" s="43"/>
      <c r="GP651" s="43"/>
      <c r="GQ651" s="43"/>
      <c r="GR651" s="43"/>
      <c r="GS651" s="43"/>
      <c r="GT651" s="43"/>
      <c r="GU651" s="43"/>
      <c r="GV651" s="43"/>
      <c r="GW651" s="43"/>
      <c r="GX651" s="43"/>
      <c r="GY651" s="43"/>
      <c r="GZ651" s="43"/>
      <c r="HA651" s="43"/>
      <c r="HB651" s="43"/>
      <c r="HC651" s="43"/>
      <c r="HD651" s="43"/>
      <c r="HE651" s="43"/>
      <c r="HF651" s="43"/>
      <c r="HG651" s="43"/>
      <c r="HH651" s="43"/>
      <c r="HI651" s="43"/>
    </row>
    <row r="652" spans="1:217" s="62" customFormat="1" ht="36.75" customHeight="1">
      <c r="A652" s="148" t="s">
        <v>366</v>
      </c>
      <c r="B652" s="152"/>
      <c r="C652" s="152"/>
      <c r="D652" s="227">
        <f>D656*D660</f>
        <v>150000</v>
      </c>
      <c r="E652" s="227"/>
      <c r="F652" s="227">
        <f>D652</f>
        <v>150000</v>
      </c>
      <c r="G652" s="227">
        <f>G656*G660</f>
        <v>150000</v>
      </c>
      <c r="H652" s="227"/>
      <c r="I652" s="227"/>
      <c r="J652" s="227">
        <f>G652</f>
        <v>150000</v>
      </c>
      <c r="K652" s="227"/>
      <c r="L652" s="227"/>
      <c r="M652" s="227"/>
      <c r="N652" s="227">
        <f>N656*N660</f>
        <v>150000</v>
      </c>
      <c r="O652" s="227"/>
      <c r="P652" s="98">
        <f>N652</f>
        <v>150000</v>
      </c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  <c r="CH652" s="43"/>
      <c r="CI652" s="43"/>
      <c r="CJ652" s="43"/>
      <c r="CK652" s="43"/>
      <c r="CL652" s="43"/>
      <c r="CM652" s="43"/>
      <c r="CN652" s="43"/>
      <c r="CO652" s="43"/>
      <c r="CP652" s="43"/>
      <c r="CQ652" s="43"/>
      <c r="CR652" s="43"/>
      <c r="CS652" s="43"/>
      <c r="CT652" s="43"/>
      <c r="CU652" s="43"/>
      <c r="CV652" s="43"/>
      <c r="CW652" s="43"/>
      <c r="CX652" s="43"/>
      <c r="CY652" s="43"/>
      <c r="CZ652" s="43"/>
      <c r="DA652" s="43"/>
      <c r="DB652" s="43"/>
      <c r="DC652" s="43"/>
      <c r="DD652" s="43"/>
      <c r="DE652" s="43"/>
      <c r="DF652" s="43"/>
      <c r="DG652" s="43"/>
      <c r="DH652" s="43"/>
      <c r="DI652" s="43"/>
      <c r="DJ652" s="43"/>
      <c r="DK652" s="43"/>
      <c r="DL652" s="43"/>
      <c r="DM652" s="43"/>
      <c r="DN652" s="43"/>
      <c r="DO652" s="43"/>
      <c r="DP652" s="43"/>
      <c r="DQ652" s="43"/>
      <c r="DR652" s="43"/>
      <c r="DS652" s="43"/>
      <c r="DT652" s="43"/>
      <c r="DU652" s="43"/>
      <c r="DV652" s="43"/>
      <c r="DW652" s="43"/>
      <c r="DX652" s="43"/>
      <c r="DY652" s="43"/>
      <c r="DZ652" s="43"/>
      <c r="EA652" s="43"/>
      <c r="EB652" s="43"/>
      <c r="EC652" s="43"/>
      <c r="ED652" s="43"/>
      <c r="EE652" s="43"/>
      <c r="EF652" s="43"/>
      <c r="EG652" s="43"/>
      <c r="EH652" s="43"/>
      <c r="EI652" s="43"/>
      <c r="EJ652" s="43"/>
      <c r="EK652" s="43"/>
      <c r="EL652" s="43"/>
      <c r="EM652" s="43"/>
      <c r="EN652" s="43"/>
      <c r="EO652" s="43"/>
      <c r="EP652" s="43"/>
      <c r="EQ652" s="43"/>
      <c r="ER652" s="43"/>
      <c r="ES652" s="43"/>
      <c r="ET652" s="43"/>
      <c r="EU652" s="43"/>
      <c r="EV652" s="43"/>
      <c r="EW652" s="43"/>
      <c r="EX652" s="43"/>
      <c r="EY652" s="43"/>
      <c r="EZ652" s="43"/>
      <c r="FA652" s="43"/>
      <c r="FB652" s="43"/>
      <c r="FC652" s="43"/>
      <c r="FD652" s="43"/>
      <c r="FE652" s="43"/>
      <c r="FF652" s="43"/>
      <c r="FG652" s="43"/>
      <c r="FH652" s="43"/>
      <c r="FI652" s="43"/>
      <c r="FJ652" s="43"/>
      <c r="FK652" s="43"/>
      <c r="FL652" s="43"/>
      <c r="FM652" s="43"/>
      <c r="FN652" s="43"/>
      <c r="FO652" s="43"/>
      <c r="FP652" s="43"/>
      <c r="FQ652" s="43"/>
      <c r="FR652" s="43"/>
      <c r="FS652" s="43"/>
      <c r="FT652" s="43"/>
      <c r="FU652" s="43"/>
      <c r="FV652" s="43"/>
      <c r="FW652" s="43"/>
      <c r="FX652" s="43"/>
      <c r="FY652" s="43"/>
      <c r="FZ652" s="43"/>
      <c r="GA652" s="43"/>
      <c r="GB652" s="43"/>
      <c r="GC652" s="43"/>
      <c r="GD652" s="43"/>
      <c r="GE652" s="43"/>
      <c r="GF652" s="43"/>
      <c r="GG652" s="43"/>
      <c r="GH652" s="43"/>
      <c r="GI652" s="43"/>
      <c r="GJ652" s="43"/>
      <c r="GK652" s="43"/>
      <c r="GL652" s="43"/>
      <c r="GM652" s="43"/>
      <c r="GN652" s="43"/>
      <c r="GO652" s="43"/>
      <c r="GP652" s="43"/>
      <c r="GQ652" s="43"/>
      <c r="GR652" s="43"/>
      <c r="GS652" s="43"/>
      <c r="GT652" s="43"/>
      <c r="GU652" s="43"/>
      <c r="GV652" s="43"/>
      <c r="GW652" s="43"/>
      <c r="GX652" s="43"/>
      <c r="GY652" s="43"/>
      <c r="GZ652" s="43"/>
      <c r="HA652" s="43"/>
      <c r="HB652" s="43"/>
      <c r="HC652" s="43"/>
      <c r="HD652" s="43"/>
      <c r="HE652" s="43"/>
      <c r="HF652" s="43"/>
      <c r="HG652" s="43"/>
      <c r="HH652" s="43"/>
      <c r="HI652" s="43"/>
    </row>
    <row r="653" spans="1:217" s="62" customFormat="1" ht="25.5" customHeight="1">
      <c r="A653" s="148" t="s">
        <v>367</v>
      </c>
      <c r="B653" s="97"/>
      <c r="C653" s="97"/>
      <c r="D653" s="227">
        <f>D657*D661</f>
        <v>20000</v>
      </c>
      <c r="E653" s="227"/>
      <c r="F653" s="227">
        <f>D653</f>
        <v>20000</v>
      </c>
      <c r="G653" s="227">
        <f>G657*G661</f>
        <v>20000</v>
      </c>
      <c r="H653" s="227"/>
      <c r="I653" s="227"/>
      <c r="J653" s="227">
        <f>G653</f>
        <v>20000</v>
      </c>
      <c r="K653" s="227">
        <f>G653/D653*100</f>
        <v>100</v>
      </c>
      <c r="L653" s="227"/>
      <c r="M653" s="227"/>
      <c r="N653" s="227">
        <f>N657*N661</f>
        <v>20000</v>
      </c>
      <c r="O653" s="227"/>
      <c r="P653" s="98">
        <f>N653</f>
        <v>20000</v>
      </c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J653" s="43"/>
      <c r="CK653" s="43"/>
      <c r="CL653" s="43"/>
      <c r="CM653" s="43"/>
      <c r="CN653" s="43"/>
      <c r="CO653" s="43"/>
      <c r="CP653" s="43"/>
      <c r="CQ653" s="43"/>
      <c r="CR653" s="43"/>
      <c r="CS653" s="43"/>
      <c r="CT653" s="43"/>
      <c r="CU653" s="43"/>
      <c r="CV653" s="43"/>
      <c r="CW653" s="43"/>
      <c r="CX653" s="43"/>
      <c r="CY653" s="43"/>
      <c r="CZ653" s="43"/>
      <c r="DA653" s="43"/>
      <c r="DB653" s="43"/>
      <c r="DC653" s="43"/>
      <c r="DD653" s="43"/>
      <c r="DE653" s="43"/>
      <c r="DF653" s="43"/>
      <c r="DG653" s="43"/>
      <c r="DH653" s="43"/>
      <c r="DI653" s="43"/>
      <c r="DJ653" s="43"/>
      <c r="DK653" s="43"/>
      <c r="DL653" s="43"/>
      <c r="DM653" s="43"/>
      <c r="DN653" s="43"/>
      <c r="DO653" s="43"/>
      <c r="DP653" s="43"/>
      <c r="DQ653" s="43"/>
      <c r="DR653" s="43"/>
      <c r="DS653" s="43"/>
      <c r="DT653" s="43"/>
      <c r="DU653" s="43"/>
      <c r="DV653" s="43"/>
      <c r="DW653" s="43"/>
      <c r="DX653" s="43"/>
      <c r="DY653" s="43"/>
      <c r="DZ653" s="43"/>
      <c r="EA653" s="43"/>
      <c r="EB653" s="43"/>
      <c r="EC653" s="43"/>
      <c r="ED653" s="43"/>
      <c r="EE653" s="43"/>
      <c r="EF653" s="43"/>
      <c r="EG653" s="43"/>
      <c r="EH653" s="43"/>
      <c r="EI653" s="43"/>
      <c r="EJ653" s="43"/>
      <c r="EK653" s="43"/>
      <c r="EL653" s="43"/>
      <c r="EM653" s="43"/>
      <c r="EN653" s="43"/>
      <c r="EO653" s="43"/>
      <c r="EP653" s="43"/>
      <c r="EQ653" s="43"/>
      <c r="ER653" s="43"/>
      <c r="ES653" s="43"/>
      <c r="ET653" s="43"/>
      <c r="EU653" s="43"/>
      <c r="EV653" s="43"/>
      <c r="EW653" s="43"/>
      <c r="EX653" s="43"/>
      <c r="EY653" s="43"/>
      <c r="EZ653" s="43"/>
      <c r="FA653" s="43"/>
      <c r="FB653" s="43"/>
      <c r="FC653" s="43"/>
      <c r="FD653" s="43"/>
      <c r="FE653" s="43"/>
      <c r="FF653" s="43"/>
      <c r="FG653" s="43"/>
      <c r="FH653" s="43"/>
      <c r="FI653" s="43"/>
      <c r="FJ653" s="43"/>
      <c r="FK653" s="43"/>
      <c r="FL653" s="43"/>
      <c r="FM653" s="43"/>
      <c r="FN653" s="43"/>
      <c r="FO653" s="43"/>
      <c r="FP653" s="43"/>
      <c r="FQ653" s="43"/>
      <c r="FR653" s="43"/>
      <c r="FS653" s="43"/>
      <c r="FT653" s="43"/>
      <c r="FU653" s="43"/>
      <c r="FV653" s="43"/>
      <c r="FW653" s="43"/>
      <c r="FX653" s="43"/>
      <c r="FY653" s="43"/>
      <c r="FZ653" s="43"/>
      <c r="GA653" s="43"/>
      <c r="GB653" s="43"/>
      <c r="GC653" s="43"/>
      <c r="GD653" s="43"/>
      <c r="GE653" s="43"/>
      <c r="GF653" s="43"/>
      <c r="GG653" s="43"/>
      <c r="GH653" s="43"/>
      <c r="GI653" s="43"/>
      <c r="GJ653" s="43"/>
      <c r="GK653" s="43"/>
      <c r="GL653" s="43"/>
      <c r="GM653" s="43"/>
      <c r="GN653" s="43"/>
      <c r="GO653" s="43"/>
      <c r="GP653" s="43"/>
      <c r="GQ653" s="43"/>
      <c r="GR653" s="43"/>
      <c r="GS653" s="43"/>
      <c r="GT653" s="43"/>
      <c r="GU653" s="43"/>
      <c r="GV653" s="43"/>
      <c r="GW653" s="43"/>
      <c r="GX653" s="43"/>
      <c r="GY653" s="43"/>
      <c r="GZ653" s="43"/>
      <c r="HA653" s="43"/>
      <c r="HB653" s="43"/>
      <c r="HC653" s="43"/>
      <c r="HD653" s="43"/>
      <c r="HE653" s="43"/>
      <c r="HF653" s="43"/>
      <c r="HG653" s="43"/>
      <c r="HH653" s="43"/>
      <c r="HI653" s="43"/>
    </row>
    <row r="654" spans="1:217" s="62" customFormat="1" ht="12.75">
      <c r="A654" s="148" t="s">
        <v>368</v>
      </c>
      <c r="B654" s="97"/>
      <c r="C654" s="97"/>
      <c r="D654" s="227">
        <f>D658*D662</f>
        <v>12500</v>
      </c>
      <c r="E654" s="227"/>
      <c r="F654" s="227">
        <f>F658*F662</f>
        <v>12500</v>
      </c>
      <c r="G654" s="227">
        <f>G658*G662</f>
        <v>13750</v>
      </c>
      <c r="H654" s="227"/>
      <c r="I654" s="227"/>
      <c r="J654" s="227">
        <f>J658*J662</f>
        <v>13750</v>
      </c>
      <c r="K654" s="227"/>
      <c r="L654" s="227"/>
      <c r="M654" s="227"/>
      <c r="N654" s="227">
        <f>N658*N662</f>
        <v>15000</v>
      </c>
      <c r="O654" s="227"/>
      <c r="P654" s="227">
        <f>P658*P662</f>
        <v>15000</v>
      </c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  <c r="CM654" s="43"/>
      <c r="CN654" s="43"/>
      <c r="CO654" s="43"/>
      <c r="CP654" s="43"/>
      <c r="CQ654" s="43"/>
      <c r="CR654" s="43"/>
      <c r="CS654" s="43"/>
      <c r="CT654" s="43"/>
      <c r="CU654" s="43"/>
      <c r="CV654" s="43"/>
      <c r="CW654" s="43"/>
      <c r="CX654" s="43"/>
      <c r="CY654" s="43"/>
      <c r="CZ654" s="43"/>
      <c r="DA654" s="43"/>
      <c r="DB654" s="43"/>
      <c r="DC654" s="43"/>
      <c r="DD654" s="43"/>
      <c r="DE654" s="43"/>
      <c r="DF654" s="43"/>
      <c r="DG654" s="43"/>
      <c r="DH654" s="43"/>
      <c r="DI654" s="43"/>
      <c r="DJ654" s="43"/>
      <c r="DK654" s="43"/>
      <c r="DL654" s="43"/>
      <c r="DM654" s="43"/>
      <c r="DN654" s="43"/>
      <c r="DO654" s="43"/>
      <c r="DP654" s="43"/>
      <c r="DQ654" s="43"/>
      <c r="DR654" s="43"/>
      <c r="DS654" s="43"/>
      <c r="DT654" s="43"/>
      <c r="DU654" s="43"/>
      <c r="DV654" s="43"/>
      <c r="DW654" s="43"/>
      <c r="DX654" s="43"/>
      <c r="DY654" s="43"/>
      <c r="DZ654" s="43"/>
      <c r="EA654" s="43"/>
      <c r="EB654" s="43"/>
      <c r="EC654" s="43"/>
      <c r="ED654" s="43"/>
      <c r="EE654" s="43"/>
      <c r="EF654" s="43"/>
      <c r="EG654" s="43"/>
      <c r="EH654" s="43"/>
      <c r="EI654" s="43"/>
      <c r="EJ654" s="43"/>
      <c r="EK654" s="43"/>
      <c r="EL654" s="43"/>
      <c r="EM654" s="43"/>
      <c r="EN654" s="43"/>
      <c r="EO654" s="43"/>
      <c r="EP654" s="43"/>
      <c r="EQ654" s="43"/>
      <c r="ER654" s="43"/>
      <c r="ES654" s="43"/>
      <c r="ET654" s="43"/>
      <c r="EU654" s="43"/>
      <c r="EV654" s="43"/>
      <c r="EW654" s="43"/>
      <c r="EX654" s="43"/>
      <c r="EY654" s="43"/>
      <c r="EZ654" s="43"/>
      <c r="FA654" s="43"/>
      <c r="FB654" s="43"/>
      <c r="FC654" s="43"/>
      <c r="FD654" s="43"/>
      <c r="FE654" s="43"/>
      <c r="FF654" s="43"/>
      <c r="FG654" s="43"/>
      <c r="FH654" s="43"/>
      <c r="FI654" s="43"/>
      <c r="FJ654" s="43"/>
      <c r="FK654" s="43"/>
      <c r="FL654" s="43"/>
      <c r="FM654" s="43"/>
      <c r="FN654" s="43"/>
      <c r="FO654" s="43"/>
      <c r="FP654" s="43"/>
      <c r="FQ654" s="43"/>
      <c r="FR654" s="43"/>
      <c r="FS654" s="43"/>
      <c r="FT654" s="43"/>
      <c r="FU654" s="43"/>
      <c r="FV654" s="43"/>
      <c r="FW654" s="43"/>
      <c r="FX654" s="43"/>
      <c r="FY654" s="43"/>
      <c r="FZ654" s="43"/>
      <c r="GA654" s="43"/>
      <c r="GB654" s="43"/>
      <c r="GC654" s="43"/>
      <c r="GD654" s="43"/>
      <c r="GE654" s="43"/>
      <c r="GF654" s="43"/>
      <c r="GG654" s="43"/>
      <c r="GH654" s="43"/>
      <c r="GI654" s="43"/>
      <c r="GJ654" s="43"/>
      <c r="GK654" s="43"/>
      <c r="GL654" s="43"/>
      <c r="GM654" s="43"/>
      <c r="GN654" s="43"/>
      <c r="GO654" s="43"/>
      <c r="GP654" s="43"/>
      <c r="GQ654" s="43"/>
      <c r="GR654" s="43"/>
      <c r="GS654" s="43"/>
      <c r="GT654" s="43"/>
      <c r="GU654" s="43"/>
      <c r="GV654" s="43"/>
      <c r="GW654" s="43"/>
      <c r="GX654" s="43"/>
      <c r="GY654" s="43"/>
      <c r="GZ654" s="43"/>
      <c r="HA654" s="43"/>
      <c r="HB654" s="43"/>
      <c r="HC654" s="43"/>
      <c r="HD654" s="43"/>
      <c r="HE654" s="43"/>
      <c r="HF654" s="43"/>
      <c r="HG654" s="43"/>
      <c r="HH654" s="43"/>
      <c r="HI654" s="43"/>
    </row>
    <row r="655" spans="1:217" s="62" customFormat="1" ht="13.5">
      <c r="A655" s="152" t="s">
        <v>189</v>
      </c>
      <c r="B655" s="152"/>
      <c r="C655" s="152"/>
      <c r="D655" s="228"/>
      <c r="E655" s="228"/>
      <c r="F655" s="229"/>
      <c r="G655" s="228"/>
      <c r="H655" s="228"/>
      <c r="I655" s="228"/>
      <c r="J655" s="229"/>
      <c r="K655" s="229"/>
      <c r="L655" s="228"/>
      <c r="M655" s="228"/>
      <c r="N655" s="228"/>
      <c r="O655" s="228"/>
      <c r="P655" s="229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  <c r="CM655" s="43"/>
      <c r="CN655" s="43"/>
      <c r="CO655" s="43"/>
      <c r="CP655" s="43"/>
      <c r="CQ655" s="43"/>
      <c r="CR655" s="43"/>
      <c r="CS655" s="43"/>
      <c r="CT655" s="43"/>
      <c r="CU655" s="43"/>
      <c r="CV655" s="43"/>
      <c r="CW655" s="43"/>
      <c r="CX655" s="43"/>
      <c r="CY655" s="43"/>
      <c r="CZ655" s="43"/>
      <c r="DA655" s="43"/>
      <c r="DB655" s="43"/>
      <c r="DC655" s="43"/>
      <c r="DD655" s="43"/>
      <c r="DE655" s="43"/>
      <c r="DF655" s="43"/>
      <c r="DG655" s="43"/>
      <c r="DH655" s="43"/>
      <c r="DI655" s="43"/>
      <c r="DJ655" s="43"/>
      <c r="DK655" s="43"/>
      <c r="DL655" s="43"/>
      <c r="DM655" s="43"/>
      <c r="DN655" s="43"/>
      <c r="DO655" s="43"/>
      <c r="DP655" s="43"/>
      <c r="DQ655" s="43"/>
      <c r="DR655" s="43"/>
      <c r="DS655" s="43"/>
      <c r="DT655" s="43"/>
      <c r="DU655" s="43"/>
      <c r="DV655" s="43"/>
      <c r="DW655" s="43"/>
      <c r="DX655" s="43"/>
      <c r="DY655" s="43"/>
      <c r="DZ655" s="43"/>
      <c r="EA655" s="43"/>
      <c r="EB655" s="43"/>
      <c r="EC655" s="43"/>
      <c r="ED655" s="43"/>
      <c r="EE655" s="43"/>
      <c r="EF655" s="43"/>
      <c r="EG655" s="43"/>
      <c r="EH655" s="43"/>
      <c r="EI655" s="43"/>
      <c r="EJ655" s="43"/>
      <c r="EK655" s="43"/>
      <c r="EL655" s="43"/>
      <c r="EM655" s="43"/>
      <c r="EN655" s="43"/>
      <c r="EO655" s="43"/>
      <c r="EP655" s="43"/>
      <c r="EQ655" s="43"/>
      <c r="ER655" s="43"/>
      <c r="ES655" s="43"/>
      <c r="ET655" s="43"/>
      <c r="EU655" s="43"/>
      <c r="EV655" s="43"/>
      <c r="EW655" s="43"/>
      <c r="EX655" s="43"/>
      <c r="EY655" s="43"/>
      <c r="EZ655" s="43"/>
      <c r="FA655" s="43"/>
      <c r="FB655" s="43"/>
      <c r="FC655" s="43"/>
      <c r="FD655" s="43"/>
      <c r="FE655" s="43"/>
      <c r="FF655" s="43"/>
      <c r="FG655" s="43"/>
      <c r="FH655" s="43"/>
      <c r="FI655" s="43"/>
      <c r="FJ655" s="43"/>
      <c r="FK655" s="43"/>
      <c r="FL655" s="43"/>
      <c r="FM655" s="43"/>
      <c r="FN655" s="43"/>
      <c r="FO655" s="43"/>
      <c r="FP655" s="43"/>
      <c r="FQ655" s="43"/>
      <c r="FR655" s="43"/>
      <c r="FS655" s="43"/>
      <c r="FT655" s="43"/>
      <c r="FU655" s="43"/>
      <c r="FV655" s="43"/>
      <c r="FW655" s="43"/>
      <c r="FX655" s="43"/>
      <c r="FY655" s="43"/>
      <c r="FZ655" s="43"/>
      <c r="GA655" s="43"/>
      <c r="GB655" s="43"/>
      <c r="GC655" s="43"/>
      <c r="GD655" s="43"/>
      <c r="GE655" s="43"/>
      <c r="GF655" s="43"/>
      <c r="GG655" s="43"/>
      <c r="GH655" s="43"/>
      <c r="GI655" s="43"/>
      <c r="GJ655" s="43"/>
      <c r="GK655" s="43"/>
      <c r="GL655" s="43"/>
      <c r="GM655" s="43"/>
      <c r="GN655" s="43"/>
      <c r="GO655" s="43"/>
      <c r="GP655" s="43"/>
      <c r="GQ655" s="43"/>
      <c r="GR655" s="43"/>
      <c r="GS655" s="43"/>
      <c r="GT655" s="43"/>
      <c r="GU655" s="43"/>
      <c r="GV655" s="43"/>
      <c r="GW655" s="43"/>
      <c r="GX655" s="43"/>
      <c r="GY655" s="43"/>
      <c r="GZ655" s="43"/>
      <c r="HA655" s="43"/>
      <c r="HB655" s="43"/>
      <c r="HC655" s="43"/>
      <c r="HD655" s="43"/>
      <c r="HE655" s="43"/>
      <c r="HF655" s="43"/>
      <c r="HG655" s="43"/>
      <c r="HH655" s="43"/>
      <c r="HI655" s="43"/>
    </row>
    <row r="656" spans="1:217" s="62" customFormat="1" ht="30" customHeight="1">
      <c r="A656" s="148" t="s">
        <v>369</v>
      </c>
      <c r="B656" s="152"/>
      <c r="C656" s="152"/>
      <c r="D656" s="230">
        <v>15</v>
      </c>
      <c r="E656" s="228"/>
      <c r="F656" s="230">
        <f>D656</f>
        <v>15</v>
      </c>
      <c r="G656" s="230">
        <v>15</v>
      </c>
      <c r="H656" s="228"/>
      <c r="I656" s="228"/>
      <c r="J656" s="230">
        <f>G656</f>
        <v>15</v>
      </c>
      <c r="K656" s="229"/>
      <c r="L656" s="228"/>
      <c r="M656" s="228"/>
      <c r="N656" s="230">
        <v>15</v>
      </c>
      <c r="O656" s="228"/>
      <c r="P656" s="230">
        <f>N656</f>
        <v>15</v>
      </c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  <c r="CM656" s="43"/>
      <c r="CN656" s="43"/>
      <c r="CO656" s="43"/>
      <c r="CP656" s="43"/>
      <c r="CQ656" s="43"/>
      <c r="CR656" s="43"/>
      <c r="CS656" s="43"/>
      <c r="CT656" s="43"/>
      <c r="CU656" s="43"/>
      <c r="CV656" s="43"/>
      <c r="CW656" s="43"/>
      <c r="CX656" s="43"/>
      <c r="CY656" s="43"/>
      <c r="CZ656" s="43"/>
      <c r="DA656" s="43"/>
      <c r="DB656" s="43"/>
      <c r="DC656" s="43"/>
      <c r="DD656" s="43"/>
      <c r="DE656" s="43"/>
      <c r="DF656" s="43"/>
      <c r="DG656" s="43"/>
      <c r="DH656" s="43"/>
      <c r="DI656" s="43"/>
      <c r="DJ656" s="43"/>
      <c r="DK656" s="43"/>
      <c r="DL656" s="43"/>
      <c r="DM656" s="43"/>
      <c r="DN656" s="43"/>
      <c r="DO656" s="43"/>
      <c r="DP656" s="43"/>
      <c r="DQ656" s="43"/>
      <c r="DR656" s="43"/>
      <c r="DS656" s="43"/>
      <c r="DT656" s="43"/>
      <c r="DU656" s="43"/>
      <c r="DV656" s="43"/>
      <c r="DW656" s="43"/>
      <c r="DX656" s="43"/>
      <c r="DY656" s="43"/>
      <c r="DZ656" s="43"/>
      <c r="EA656" s="43"/>
      <c r="EB656" s="43"/>
      <c r="EC656" s="43"/>
      <c r="ED656" s="43"/>
      <c r="EE656" s="43"/>
      <c r="EF656" s="43"/>
      <c r="EG656" s="43"/>
      <c r="EH656" s="43"/>
      <c r="EI656" s="43"/>
      <c r="EJ656" s="43"/>
      <c r="EK656" s="43"/>
      <c r="EL656" s="43"/>
      <c r="EM656" s="43"/>
      <c r="EN656" s="43"/>
      <c r="EO656" s="43"/>
      <c r="EP656" s="43"/>
      <c r="EQ656" s="43"/>
      <c r="ER656" s="43"/>
      <c r="ES656" s="43"/>
      <c r="ET656" s="43"/>
      <c r="EU656" s="43"/>
      <c r="EV656" s="43"/>
      <c r="EW656" s="43"/>
      <c r="EX656" s="43"/>
      <c r="EY656" s="43"/>
      <c r="EZ656" s="43"/>
      <c r="FA656" s="43"/>
      <c r="FB656" s="43"/>
      <c r="FC656" s="43"/>
      <c r="FD656" s="43"/>
      <c r="FE656" s="43"/>
      <c r="FF656" s="43"/>
      <c r="FG656" s="43"/>
      <c r="FH656" s="43"/>
      <c r="FI656" s="43"/>
      <c r="FJ656" s="43"/>
      <c r="FK656" s="43"/>
      <c r="FL656" s="43"/>
      <c r="FM656" s="43"/>
      <c r="FN656" s="43"/>
      <c r="FO656" s="43"/>
      <c r="FP656" s="43"/>
      <c r="FQ656" s="43"/>
      <c r="FR656" s="43"/>
      <c r="FS656" s="43"/>
      <c r="FT656" s="43"/>
      <c r="FU656" s="43"/>
      <c r="FV656" s="43"/>
      <c r="FW656" s="43"/>
      <c r="FX656" s="43"/>
      <c r="FY656" s="43"/>
      <c r="FZ656" s="43"/>
      <c r="GA656" s="43"/>
      <c r="GB656" s="43"/>
      <c r="GC656" s="43"/>
      <c r="GD656" s="43"/>
      <c r="GE656" s="43"/>
      <c r="GF656" s="43"/>
      <c r="GG656" s="43"/>
      <c r="GH656" s="43"/>
      <c r="GI656" s="43"/>
      <c r="GJ656" s="43"/>
      <c r="GK656" s="43"/>
      <c r="GL656" s="43"/>
      <c r="GM656" s="43"/>
      <c r="GN656" s="43"/>
      <c r="GO656" s="43"/>
      <c r="GP656" s="43"/>
      <c r="GQ656" s="43"/>
      <c r="GR656" s="43"/>
      <c r="GS656" s="43"/>
      <c r="GT656" s="43"/>
      <c r="GU656" s="43"/>
      <c r="GV656" s="43"/>
      <c r="GW656" s="43"/>
      <c r="GX656" s="43"/>
      <c r="GY656" s="43"/>
      <c r="GZ656" s="43"/>
      <c r="HA656" s="43"/>
      <c r="HB656" s="43"/>
      <c r="HC656" s="43"/>
      <c r="HD656" s="43"/>
      <c r="HE656" s="43"/>
      <c r="HF656" s="43"/>
      <c r="HG656" s="43"/>
      <c r="HH656" s="43"/>
      <c r="HI656" s="43"/>
    </row>
    <row r="657" spans="1:217" s="62" customFormat="1" ht="12.75">
      <c r="A657" s="148" t="s">
        <v>370</v>
      </c>
      <c r="B657" s="97"/>
      <c r="C657" s="97"/>
      <c r="D657" s="230">
        <v>20</v>
      </c>
      <c r="E657" s="229"/>
      <c r="F657" s="230">
        <f>D657</f>
        <v>20</v>
      </c>
      <c r="G657" s="230">
        <v>20</v>
      </c>
      <c r="H657" s="229"/>
      <c r="I657" s="229"/>
      <c r="J657" s="230">
        <f>G657</f>
        <v>20</v>
      </c>
      <c r="K657" s="229">
        <f>G657/D657*100</f>
        <v>100</v>
      </c>
      <c r="L657" s="229"/>
      <c r="M657" s="229"/>
      <c r="N657" s="230">
        <v>20</v>
      </c>
      <c r="O657" s="229"/>
      <c r="P657" s="230">
        <f>N657</f>
        <v>20</v>
      </c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  <c r="CH657" s="43"/>
      <c r="CI657" s="43"/>
      <c r="CJ657" s="43"/>
      <c r="CK657" s="43"/>
      <c r="CL657" s="43"/>
      <c r="CM657" s="43"/>
      <c r="CN657" s="43"/>
      <c r="CO657" s="43"/>
      <c r="CP657" s="43"/>
      <c r="CQ657" s="43"/>
      <c r="CR657" s="43"/>
      <c r="CS657" s="43"/>
      <c r="CT657" s="43"/>
      <c r="CU657" s="43"/>
      <c r="CV657" s="43"/>
      <c r="CW657" s="43"/>
      <c r="CX657" s="43"/>
      <c r="CY657" s="43"/>
      <c r="CZ657" s="43"/>
      <c r="DA657" s="43"/>
      <c r="DB657" s="43"/>
      <c r="DC657" s="43"/>
      <c r="DD657" s="43"/>
      <c r="DE657" s="43"/>
      <c r="DF657" s="43"/>
      <c r="DG657" s="43"/>
      <c r="DH657" s="43"/>
      <c r="DI657" s="43"/>
      <c r="DJ657" s="43"/>
      <c r="DK657" s="43"/>
      <c r="DL657" s="43"/>
      <c r="DM657" s="43"/>
      <c r="DN657" s="43"/>
      <c r="DO657" s="43"/>
      <c r="DP657" s="43"/>
      <c r="DQ657" s="43"/>
      <c r="DR657" s="43"/>
      <c r="DS657" s="43"/>
      <c r="DT657" s="43"/>
      <c r="DU657" s="43"/>
      <c r="DV657" s="43"/>
      <c r="DW657" s="43"/>
      <c r="DX657" s="43"/>
      <c r="DY657" s="43"/>
      <c r="DZ657" s="43"/>
      <c r="EA657" s="43"/>
      <c r="EB657" s="43"/>
      <c r="EC657" s="43"/>
      <c r="ED657" s="43"/>
      <c r="EE657" s="43"/>
      <c r="EF657" s="43"/>
      <c r="EG657" s="43"/>
      <c r="EH657" s="43"/>
      <c r="EI657" s="43"/>
      <c r="EJ657" s="43"/>
      <c r="EK657" s="43"/>
      <c r="EL657" s="43"/>
      <c r="EM657" s="43"/>
      <c r="EN657" s="43"/>
      <c r="EO657" s="43"/>
      <c r="EP657" s="43"/>
      <c r="EQ657" s="43"/>
      <c r="ER657" s="43"/>
      <c r="ES657" s="43"/>
      <c r="ET657" s="43"/>
      <c r="EU657" s="43"/>
      <c r="EV657" s="43"/>
      <c r="EW657" s="43"/>
      <c r="EX657" s="43"/>
      <c r="EY657" s="43"/>
      <c r="EZ657" s="43"/>
      <c r="FA657" s="43"/>
      <c r="FB657" s="43"/>
      <c r="FC657" s="43"/>
      <c r="FD657" s="43"/>
      <c r="FE657" s="43"/>
      <c r="FF657" s="43"/>
      <c r="FG657" s="43"/>
      <c r="FH657" s="43"/>
      <c r="FI657" s="43"/>
      <c r="FJ657" s="43"/>
      <c r="FK657" s="43"/>
      <c r="FL657" s="43"/>
      <c r="FM657" s="43"/>
      <c r="FN657" s="43"/>
      <c r="FO657" s="43"/>
      <c r="FP657" s="43"/>
      <c r="FQ657" s="43"/>
      <c r="FR657" s="43"/>
      <c r="FS657" s="43"/>
      <c r="FT657" s="43"/>
      <c r="FU657" s="43"/>
      <c r="FV657" s="43"/>
      <c r="FW657" s="43"/>
      <c r="FX657" s="43"/>
      <c r="FY657" s="43"/>
      <c r="FZ657" s="43"/>
      <c r="GA657" s="43"/>
      <c r="GB657" s="43"/>
      <c r="GC657" s="43"/>
      <c r="GD657" s="43"/>
      <c r="GE657" s="43"/>
      <c r="GF657" s="43"/>
      <c r="GG657" s="43"/>
      <c r="GH657" s="43"/>
      <c r="GI657" s="43"/>
      <c r="GJ657" s="43"/>
      <c r="GK657" s="43"/>
      <c r="GL657" s="43"/>
      <c r="GM657" s="43"/>
      <c r="GN657" s="43"/>
      <c r="GO657" s="43"/>
      <c r="GP657" s="43"/>
      <c r="GQ657" s="43"/>
      <c r="GR657" s="43"/>
      <c r="GS657" s="43"/>
      <c r="GT657" s="43"/>
      <c r="GU657" s="43"/>
      <c r="GV657" s="43"/>
      <c r="GW657" s="43"/>
      <c r="GX657" s="43"/>
      <c r="GY657" s="43"/>
      <c r="GZ657" s="43"/>
      <c r="HA657" s="43"/>
      <c r="HB657" s="43"/>
      <c r="HC657" s="43"/>
      <c r="HD657" s="43"/>
      <c r="HE657" s="43"/>
      <c r="HF657" s="43"/>
      <c r="HG657" s="43"/>
      <c r="HH657" s="43"/>
      <c r="HI657" s="43"/>
    </row>
    <row r="658" spans="1:217" s="62" customFormat="1" ht="24" customHeight="1">
      <c r="A658" s="148" t="s">
        <v>371</v>
      </c>
      <c r="B658" s="97"/>
      <c r="C658" s="97"/>
      <c r="D658" s="230">
        <v>25</v>
      </c>
      <c r="E658" s="229"/>
      <c r="F658" s="230">
        <v>25</v>
      </c>
      <c r="G658" s="230">
        <v>25</v>
      </c>
      <c r="H658" s="229"/>
      <c r="I658" s="229"/>
      <c r="J658" s="230">
        <v>25</v>
      </c>
      <c r="K658" s="229"/>
      <c r="L658" s="229"/>
      <c r="M658" s="229"/>
      <c r="N658" s="230">
        <v>25</v>
      </c>
      <c r="O658" s="229"/>
      <c r="P658" s="230">
        <v>25</v>
      </c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  <c r="CH658" s="43"/>
      <c r="CI658" s="43"/>
      <c r="CJ658" s="43"/>
      <c r="CK658" s="43"/>
      <c r="CL658" s="43"/>
      <c r="CM658" s="43"/>
      <c r="CN658" s="43"/>
      <c r="CO658" s="43"/>
      <c r="CP658" s="43"/>
      <c r="CQ658" s="43"/>
      <c r="CR658" s="43"/>
      <c r="CS658" s="43"/>
      <c r="CT658" s="43"/>
      <c r="CU658" s="43"/>
      <c r="CV658" s="43"/>
      <c r="CW658" s="43"/>
      <c r="CX658" s="43"/>
      <c r="CY658" s="43"/>
      <c r="CZ658" s="43"/>
      <c r="DA658" s="43"/>
      <c r="DB658" s="43"/>
      <c r="DC658" s="43"/>
      <c r="DD658" s="43"/>
      <c r="DE658" s="43"/>
      <c r="DF658" s="43"/>
      <c r="DG658" s="43"/>
      <c r="DH658" s="43"/>
      <c r="DI658" s="43"/>
      <c r="DJ658" s="43"/>
      <c r="DK658" s="43"/>
      <c r="DL658" s="43"/>
      <c r="DM658" s="43"/>
      <c r="DN658" s="43"/>
      <c r="DO658" s="43"/>
      <c r="DP658" s="43"/>
      <c r="DQ658" s="43"/>
      <c r="DR658" s="43"/>
      <c r="DS658" s="43"/>
      <c r="DT658" s="43"/>
      <c r="DU658" s="43"/>
      <c r="DV658" s="43"/>
      <c r="DW658" s="43"/>
      <c r="DX658" s="43"/>
      <c r="DY658" s="43"/>
      <c r="DZ658" s="43"/>
      <c r="EA658" s="43"/>
      <c r="EB658" s="43"/>
      <c r="EC658" s="43"/>
      <c r="ED658" s="43"/>
      <c r="EE658" s="43"/>
      <c r="EF658" s="43"/>
      <c r="EG658" s="43"/>
      <c r="EH658" s="43"/>
      <c r="EI658" s="43"/>
      <c r="EJ658" s="43"/>
      <c r="EK658" s="43"/>
      <c r="EL658" s="43"/>
      <c r="EM658" s="43"/>
      <c r="EN658" s="43"/>
      <c r="EO658" s="43"/>
      <c r="EP658" s="43"/>
      <c r="EQ658" s="43"/>
      <c r="ER658" s="43"/>
      <c r="ES658" s="43"/>
      <c r="ET658" s="43"/>
      <c r="EU658" s="43"/>
      <c r="EV658" s="43"/>
      <c r="EW658" s="43"/>
      <c r="EX658" s="43"/>
      <c r="EY658" s="43"/>
      <c r="EZ658" s="43"/>
      <c r="FA658" s="43"/>
      <c r="FB658" s="43"/>
      <c r="FC658" s="43"/>
      <c r="FD658" s="43"/>
      <c r="FE658" s="43"/>
      <c r="FF658" s="43"/>
      <c r="FG658" s="43"/>
      <c r="FH658" s="43"/>
      <c r="FI658" s="43"/>
      <c r="FJ658" s="43"/>
      <c r="FK658" s="43"/>
      <c r="FL658" s="43"/>
      <c r="FM658" s="43"/>
      <c r="FN658" s="43"/>
      <c r="FO658" s="43"/>
      <c r="FP658" s="43"/>
      <c r="FQ658" s="43"/>
      <c r="FR658" s="43"/>
      <c r="FS658" s="43"/>
      <c r="FT658" s="43"/>
      <c r="FU658" s="43"/>
      <c r="FV658" s="43"/>
      <c r="FW658" s="43"/>
      <c r="FX658" s="43"/>
      <c r="FY658" s="43"/>
      <c r="FZ658" s="43"/>
      <c r="GA658" s="43"/>
      <c r="GB658" s="43"/>
      <c r="GC658" s="43"/>
      <c r="GD658" s="43"/>
      <c r="GE658" s="43"/>
      <c r="GF658" s="43"/>
      <c r="GG658" s="43"/>
      <c r="GH658" s="43"/>
      <c r="GI658" s="43"/>
      <c r="GJ658" s="43"/>
      <c r="GK658" s="43"/>
      <c r="GL658" s="43"/>
      <c r="GM658" s="43"/>
      <c r="GN658" s="43"/>
      <c r="GO658" s="43"/>
      <c r="GP658" s="43"/>
      <c r="GQ658" s="43"/>
      <c r="GR658" s="43"/>
      <c r="GS658" s="43"/>
      <c r="GT658" s="43"/>
      <c r="GU658" s="43"/>
      <c r="GV658" s="43"/>
      <c r="GW658" s="43"/>
      <c r="GX658" s="43"/>
      <c r="GY658" s="43"/>
      <c r="GZ658" s="43"/>
      <c r="HA658" s="43"/>
      <c r="HB658" s="43"/>
      <c r="HC658" s="43"/>
      <c r="HD658" s="43"/>
      <c r="HE658" s="43"/>
      <c r="HF658" s="43"/>
      <c r="HG658" s="43"/>
      <c r="HH658" s="43"/>
      <c r="HI658" s="43"/>
    </row>
    <row r="659" spans="1:217" s="62" customFormat="1" ht="12.75">
      <c r="A659" s="152" t="s">
        <v>191</v>
      </c>
      <c r="B659" s="152"/>
      <c r="C659" s="152"/>
      <c r="D659" s="226"/>
      <c r="E659" s="226"/>
      <c r="F659" s="227"/>
      <c r="G659" s="226"/>
      <c r="H659" s="226"/>
      <c r="I659" s="226"/>
      <c r="J659" s="227"/>
      <c r="K659" s="227"/>
      <c r="L659" s="226"/>
      <c r="M659" s="226"/>
      <c r="N659" s="226"/>
      <c r="O659" s="226"/>
      <c r="P659" s="227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  <c r="CH659" s="43"/>
      <c r="CI659" s="43"/>
      <c r="CJ659" s="43"/>
      <c r="CK659" s="43"/>
      <c r="CL659" s="43"/>
      <c r="CM659" s="43"/>
      <c r="CN659" s="43"/>
      <c r="CO659" s="43"/>
      <c r="CP659" s="43"/>
      <c r="CQ659" s="43"/>
      <c r="CR659" s="43"/>
      <c r="CS659" s="43"/>
      <c r="CT659" s="43"/>
      <c r="CU659" s="43"/>
      <c r="CV659" s="43"/>
      <c r="CW659" s="43"/>
      <c r="CX659" s="43"/>
      <c r="CY659" s="43"/>
      <c r="CZ659" s="43"/>
      <c r="DA659" s="43"/>
      <c r="DB659" s="43"/>
      <c r="DC659" s="43"/>
      <c r="DD659" s="43"/>
      <c r="DE659" s="43"/>
      <c r="DF659" s="43"/>
      <c r="DG659" s="43"/>
      <c r="DH659" s="43"/>
      <c r="DI659" s="43"/>
      <c r="DJ659" s="43"/>
      <c r="DK659" s="43"/>
      <c r="DL659" s="43"/>
      <c r="DM659" s="43"/>
      <c r="DN659" s="43"/>
      <c r="DO659" s="43"/>
      <c r="DP659" s="43"/>
      <c r="DQ659" s="43"/>
      <c r="DR659" s="43"/>
      <c r="DS659" s="43"/>
      <c r="DT659" s="43"/>
      <c r="DU659" s="43"/>
      <c r="DV659" s="43"/>
      <c r="DW659" s="43"/>
      <c r="DX659" s="43"/>
      <c r="DY659" s="43"/>
      <c r="DZ659" s="43"/>
      <c r="EA659" s="43"/>
      <c r="EB659" s="43"/>
      <c r="EC659" s="43"/>
      <c r="ED659" s="43"/>
      <c r="EE659" s="43"/>
      <c r="EF659" s="43"/>
      <c r="EG659" s="43"/>
      <c r="EH659" s="43"/>
      <c r="EI659" s="43"/>
      <c r="EJ659" s="43"/>
      <c r="EK659" s="43"/>
      <c r="EL659" s="43"/>
      <c r="EM659" s="43"/>
      <c r="EN659" s="43"/>
      <c r="EO659" s="43"/>
      <c r="EP659" s="43"/>
      <c r="EQ659" s="43"/>
      <c r="ER659" s="43"/>
      <c r="ES659" s="43"/>
      <c r="ET659" s="43"/>
      <c r="EU659" s="43"/>
      <c r="EV659" s="43"/>
      <c r="EW659" s="43"/>
      <c r="EX659" s="43"/>
      <c r="EY659" s="43"/>
      <c r="EZ659" s="43"/>
      <c r="FA659" s="43"/>
      <c r="FB659" s="43"/>
      <c r="FC659" s="43"/>
      <c r="FD659" s="43"/>
      <c r="FE659" s="43"/>
      <c r="FF659" s="43"/>
      <c r="FG659" s="43"/>
      <c r="FH659" s="43"/>
      <c r="FI659" s="43"/>
      <c r="FJ659" s="43"/>
      <c r="FK659" s="43"/>
      <c r="FL659" s="43"/>
      <c r="FM659" s="43"/>
      <c r="FN659" s="43"/>
      <c r="FO659" s="43"/>
      <c r="FP659" s="43"/>
      <c r="FQ659" s="43"/>
      <c r="FR659" s="43"/>
      <c r="FS659" s="43"/>
      <c r="FT659" s="43"/>
      <c r="FU659" s="43"/>
      <c r="FV659" s="43"/>
      <c r="FW659" s="43"/>
      <c r="FX659" s="43"/>
      <c r="FY659" s="43"/>
      <c r="FZ659" s="43"/>
      <c r="GA659" s="43"/>
      <c r="GB659" s="43"/>
      <c r="GC659" s="43"/>
      <c r="GD659" s="43"/>
      <c r="GE659" s="43"/>
      <c r="GF659" s="43"/>
      <c r="GG659" s="43"/>
      <c r="GH659" s="43"/>
      <c r="GI659" s="43"/>
      <c r="GJ659" s="43"/>
      <c r="GK659" s="43"/>
      <c r="GL659" s="43"/>
      <c r="GM659" s="43"/>
      <c r="GN659" s="43"/>
      <c r="GO659" s="43"/>
      <c r="GP659" s="43"/>
      <c r="GQ659" s="43"/>
      <c r="GR659" s="43"/>
      <c r="GS659" s="43"/>
      <c r="GT659" s="43"/>
      <c r="GU659" s="43"/>
      <c r="GV659" s="43"/>
      <c r="GW659" s="43"/>
      <c r="GX659" s="43"/>
      <c r="GY659" s="43"/>
      <c r="GZ659" s="43"/>
      <c r="HA659" s="43"/>
      <c r="HB659" s="43"/>
      <c r="HC659" s="43"/>
      <c r="HD659" s="43"/>
      <c r="HE659" s="43"/>
      <c r="HF659" s="43"/>
      <c r="HG659" s="43"/>
      <c r="HH659" s="43"/>
      <c r="HI659" s="43"/>
    </row>
    <row r="660" spans="1:217" s="62" customFormat="1" ht="25.5" customHeight="1">
      <c r="A660" s="97" t="s">
        <v>322</v>
      </c>
      <c r="B660" s="97"/>
      <c r="C660" s="97"/>
      <c r="D660" s="98">
        <v>10000</v>
      </c>
      <c r="E660" s="231"/>
      <c r="F660" s="98">
        <f>D660</f>
        <v>10000</v>
      </c>
      <c r="G660" s="98">
        <v>10000</v>
      </c>
      <c r="H660" s="231"/>
      <c r="I660" s="231"/>
      <c r="J660" s="98">
        <f>G660</f>
        <v>10000</v>
      </c>
      <c r="K660" s="227">
        <f>G660/D660*100</f>
        <v>100</v>
      </c>
      <c r="L660" s="231"/>
      <c r="M660" s="98"/>
      <c r="N660" s="98">
        <v>10000</v>
      </c>
      <c r="O660" s="231"/>
      <c r="P660" s="98">
        <f>N660</f>
        <v>10000</v>
      </c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  <c r="CM660" s="43"/>
      <c r="CN660" s="43"/>
      <c r="CO660" s="43"/>
      <c r="CP660" s="43"/>
      <c r="CQ660" s="43"/>
      <c r="CR660" s="43"/>
      <c r="CS660" s="43"/>
      <c r="CT660" s="43"/>
      <c r="CU660" s="43"/>
      <c r="CV660" s="43"/>
      <c r="CW660" s="43"/>
      <c r="CX660" s="43"/>
      <c r="CY660" s="43"/>
      <c r="CZ660" s="43"/>
      <c r="DA660" s="43"/>
      <c r="DB660" s="43"/>
      <c r="DC660" s="43"/>
      <c r="DD660" s="43"/>
      <c r="DE660" s="43"/>
      <c r="DF660" s="43"/>
      <c r="DG660" s="43"/>
      <c r="DH660" s="43"/>
      <c r="DI660" s="43"/>
      <c r="DJ660" s="43"/>
      <c r="DK660" s="43"/>
      <c r="DL660" s="43"/>
      <c r="DM660" s="43"/>
      <c r="DN660" s="43"/>
      <c r="DO660" s="43"/>
      <c r="DP660" s="43"/>
      <c r="DQ660" s="43"/>
      <c r="DR660" s="43"/>
      <c r="DS660" s="43"/>
      <c r="DT660" s="43"/>
      <c r="DU660" s="43"/>
      <c r="DV660" s="43"/>
      <c r="DW660" s="43"/>
      <c r="DX660" s="43"/>
      <c r="DY660" s="43"/>
      <c r="DZ660" s="43"/>
      <c r="EA660" s="43"/>
      <c r="EB660" s="43"/>
      <c r="EC660" s="43"/>
      <c r="ED660" s="43"/>
      <c r="EE660" s="43"/>
      <c r="EF660" s="43"/>
      <c r="EG660" s="43"/>
      <c r="EH660" s="43"/>
      <c r="EI660" s="43"/>
      <c r="EJ660" s="43"/>
      <c r="EK660" s="43"/>
      <c r="EL660" s="43"/>
      <c r="EM660" s="43"/>
      <c r="EN660" s="43"/>
      <c r="EO660" s="43"/>
      <c r="EP660" s="43"/>
      <c r="EQ660" s="43"/>
      <c r="ER660" s="43"/>
      <c r="ES660" s="43"/>
      <c r="ET660" s="43"/>
      <c r="EU660" s="43"/>
      <c r="EV660" s="43"/>
      <c r="EW660" s="43"/>
      <c r="EX660" s="43"/>
      <c r="EY660" s="43"/>
      <c r="EZ660" s="43"/>
      <c r="FA660" s="43"/>
      <c r="FB660" s="43"/>
      <c r="FC660" s="43"/>
      <c r="FD660" s="43"/>
      <c r="FE660" s="43"/>
      <c r="FF660" s="43"/>
      <c r="FG660" s="43"/>
      <c r="FH660" s="43"/>
      <c r="FI660" s="43"/>
      <c r="FJ660" s="43"/>
      <c r="FK660" s="43"/>
      <c r="FL660" s="43"/>
      <c r="FM660" s="43"/>
      <c r="FN660" s="43"/>
      <c r="FO660" s="43"/>
      <c r="FP660" s="43"/>
      <c r="FQ660" s="43"/>
      <c r="FR660" s="43"/>
      <c r="FS660" s="43"/>
      <c r="FT660" s="43"/>
      <c r="FU660" s="43"/>
      <c r="FV660" s="43"/>
      <c r="FW660" s="43"/>
      <c r="FX660" s="43"/>
      <c r="FY660" s="43"/>
      <c r="FZ660" s="43"/>
      <c r="GA660" s="43"/>
      <c r="GB660" s="43"/>
      <c r="GC660" s="43"/>
      <c r="GD660" s="43"/>
      <c r="GE660" s="43"/>
      <c r="GF660" s="43"/>
      <c r="GG660" s="43"/>
      <c r="GH660" s="43"/>
      <c r="GI660" s="43"/>
      <c r="GJ660" s="43"/>
      <c r="GK660" s="43"/>
      <c r="GL660" s="43"/>
      <c r="GM660" s="43"/>
      <c r="GN660" s="43"/>
      <c r="GO660" s="43"/>
      <c r="GP660" s="43"/>
      <c r="GQ660" s="43"/>
      <c r="GR660" s="43"/>
      <c r="GS660" s="43"/>
      <c r="GT660" s="43"/>
      <c r="GU660" s="43"/>
      <c r="GV660" s="43"/>
      <c r="GW660" s="43"/>
      <c r="GX660" s="43"/>
      <c r="GY660" s="43"/>
      <c r="GZ660" s="43"/>
      <c r="HA660" s="43"/>
      <c r="HB660" s="43"/>
      <c r="HC660" s="43"/>
      <c r="HD660" s="43"/>
      <c r="HE660" s="43"/>
      <c r="HF660" s="43"/>
      <c r="HG660" s="43"/>
      <c r="HH660" s="43"/>
      <c r="HI660" s="43"/>
    </row>
    <row r="661" spans="1:217" s="62" customFormat="1" ht="25.5">
      <c r="A661" s="97" t="s">
        <v>323</v>
      </c>
      <c r="B661" s="97"/>
      <c r="C661" s="97"/>
      <c r="D661" s="98">
        <v>1000</v>
      </c>
      <c r="E661" s="231"/>
      <c r="F661" s="98">
        <f>D661</f>
        <v>1000</v>
      </c>
      <c r="G661" s="98">
        <v>1000</v>
      </c>
      <c r="H661" s="231"/>
      <c r="I661" s="231"/>
      <c r="J661" s="98">
        <f>G661</f>
        <v>1000</v>
      </c>
      <c r="K661" s="227">
        <f>G661/D661*100</f>
        <v>100</v>
      </c>
      <c r="L661" s="231"/>
      <c r="M661" s="98"/>
      <c r="N661" s="98">
        <v>1000</v>
      </c>
      <c r="O661" s="231"/>
      <c r="P661" s="98">
        <f>N661</f>
        <v>1000</v>
      </c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  <c r="CH661" s="43"/>
      <c r="CI661" s="43"/>
      <c r="CJ661" s="43"/>
      <c r="CK661" s="43"/>
      <c r="CL661" s="43"/>
      <c r="CM661" s="43"/>
      <c r="CN661" s="43"/>
      <c r="CO661" s="43"/>
      <c r="CP661" s="43"/>
      <c r="CQ661" s="43"/>
      <c r="CR661" s="43"/>
      <c r="CS661" s="43"/>
      <c r="CT661" s="43"/>
      <c r="CU661" s="43"/>
      <c r="CV661" s="43"/>
      <c r="CW661" s="43"/>
      <c r="CX661" s="43"/>
      <c r="CY661" s="43"/>
      <c r="CZ661" s="43"/>
      <c r="DA661" s="43"/>
      <c r="DB661" s="43"/>
      <c r="DC661" s="43"/>
      <c r="DD661" s="43"/>
      <c r="DE661" s="43"/>
      <c r="DF661" s="43"/>
      <c r="DG661" s="43"/>
      <c r="DH661" s="43"/>
      <c r="DI661" s="43"/>
      <c r="DJ661" s="43"/>
      <c r="DK661" s="43"/>
      <c r="DL661" s="43"/>
      <c r="DM661" s="43"/>
      <c r="DN661" s="43"/>
      <c r="DO661" s="43"/>
      <c r="DP661" s="43"/>
      <c r="DQ661" s="43"/>
      <c r="DR661" s="43"/>
      <c r="DS661" s="43"/>
      <c r="DT661" s="43"/>
      <c r="DU661" s="43"/>
      <c r="DV661" s="43"/>
      <c r="DW661" s="43"/>
      <c r="DX661" s="43"/>
      <c r="DY661" s="43"/>
      <c r="DZ661" s="43"/>
      <c r="EA661" s="43"/>
      <c r="EB661" s="43"/>
      <c r="EC661" s="43"/>
      <c r="ED661" s="43"/>
      <c r="EE661" s="43"/>
      <c r="EF661" s="43"/>
      <c r="EG661" s="43"/>
      <c r="EH661" s="43"/>
      <c r="EI661" s="43"/>
      <c r="EJ661" s="43"/>
      <c r="EK661" s="43"/>
      <c r="EL661" s="43"/>
      <c r="EM661" s="43"/>
      <c r="EN661" s="43"/>
      <c r="EO661" s="43"/>
      <c r="EP661" s="43"/>
      <c r="EQ661" s="43"/>
      <c r="ER661" s="43"/>
      <c r="ES661" s="43"/>
      <c r="ET661" s="43"/>
      <c r="EU661" s="43"/>
      <c r="EV661" s="43"/>
      <c r="EW661" s="43"/>
      <c r="EX661" s="43"/>
      <c r="EY661" s="43"/>
      <c r="EZ661" s="43"/>
      <c r="FA661" s="43"/>
      <c r="FB661" s="43"/>
      <c r="FC661" s="43"/>
      <c r="FD661" s="43"/>
      <c r="FE661" s="43"/>
      <c r="FF661" s="43"/>
      <c r="FG661" s="43"/>
      <c r="FH661" s="43"/>
      <c r="FI661" s="43"/>
      <c r="FJ661" s="43"/>
      <c r="FK661" s="43"/>
      <c r="FL661" s="43"/>
      <c r="FM661" s="43"/>
      <c r="FN661" s="43"/>
      <c r="FO661" s="43"/>
      <c r="FP661" s="43"/>
      <c r="FQ661" s="43"/>
      <c r="FR661" s="43"/>
      <c r="FS661" s="43"/>
      <c r="FT661" s="43"/>
      <c r="FU661" s="43"/>
      <c r="FV661" s="43"/>
      <c r="FW661" s="43"/>
      <c r="FX661" s="43"/>
      <c r="FY661" s="43"/>
      <c r="FZ661" s="43"/>
      <c r="GA661" s="43"/>
      <c r="GB661" s="43"/>
      <c r="GC661" s="43"/>
      <c r="GD661" s="43"/>
      <c r="GE661" s="43"/>
      <c r="GF661" s="43"/>
      <c r="GG661" s="43"/>
      <c r="GH661" s="43"/>
      <c r="GI661" s="43"/>
      <c r="GJ661" s="43"/>
      <c r="GK661" s="43"/>
      <c r="GL661" s="43"/>
      <c r="GM661" s="43"/>
      <c r="GN661" s="43"/>
      <c r="GO661" s="43"/>
      <c r="GP661" s="43"/>
      <c r="GQ661" s="43"/>
      <c r="GR661" s="43"/>
      <c r="GS661" s="43"/>
      <c r="GT661" s="43"/>
      <c r="GU661" s="43"/>
      <c r="GV661" s="43"/>
      <c r="GW661" s="43"/>
      <c r="GX661" s="43"/>
      <c r="GY661" s="43"/>
      <c r="GZ661" s="43"/>
      <c r="HA661" s="43"/>
      <c r="HB661" s="43"/>
      <c r="HC661" s="43"/>
      <c r="HD661" s="43"/>
      <c r="HE661" s="43"/>
      <c r="HF661" s="43"/>
      <c r="HG661" s="43"/>
      <c r="HH661" s="43"/>
      <c r="HI661" s="43"/>
    </row>
    <row r="662" spans="1:217" s="62" customFormat="1" ht="24" customHeight="1">
      <c r="A662" s="97" t="s">
        <v>372</v>
      </c>
      <c r="B662" s="97"/>
      <c r="C662" s="97"/>
      <c r="D662" s="98">
        <v>500</v>
      </c>
      <c r="E662" s="231"/>
      <c r="F662" s="98">
        <f>D662</f>
        <v>500</v>
      </c>
      <c r="G662" s="98">
        <v>550</v>
      </c>
      <c r="H662" s="231"/>
      <c r="I662" s="231"/>
      <c r="J662" s="98">
        <v>550</v>
      </c>
      <c r="K662" s="227"/>
      <c r="L662" s="231"/>
      <c r="M662" s="98"/>
      <c r="N662" s="98">
        <v>600</v>
      </c>
      <c r="O662" s="231"/>
      <c r="P662" s="98">
        <v>600</v>
      </c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  <c r="CM662" s="43"/>
      <c r="CN662" s="43"/>
      <c r="CO662" s="43"/>
      <c r="CP662" s="43"/>
      <c r="CQ662" s="43"/>
      <c r="CR662" s="43"/>
      <c r="CS662" s="43"/>
      <c r="CT662" s="43"/>
      <c r="CU662" s="43"/>
      <c r="CV662" s="43"/>
      <c r="CW662" s="43"/>
      <c r="CX662" s="43"/>
      <c r="CY662" s="43"/>
      <c r="CZ662" s="43"/>
      <c r="DA662" s="43"/>
      <c r="DB662" s="43"/>
      <c r="DC662" s="43"/>
      <c r="DD662" s="43"/>
      <c r="DE662" s="43"/>
      <c r="DF662" s="43"/>
      <c r="DG662" s="43"/>
      <c r="DH662" s="43"/>
      <c r="DI662" s="43"/>
      <c r="DJ662" s="43"/>
      <c r="DK662" s="43"/>
      <c r="DL662" s="43"/>
      <c r="DM662" s="43"/>
      <c r="DN662" s="43"/>
      <c r="DO662" s="43"/>
      <c r="DP662" s="43"/>
      <c r="DQ662" s="43"/>
      <c r="DR662" s="43"/>
      <c r="DS662" s="43"/>
      <c r="DT662" s="43"/>
      <c r="DU662" s="43"/>
      <c r="DV662" s="43"/>
      <c r="DW662" s="43"/>
      <c r="DX662" s="43"/>
      <c r="DY662" s="43"/>
      <c r="DZ662" s="43"/>
      <c r="EA662" s="43"/>
      <c r="EB662" s="43"/>
      <c r="EC662" s="43"/>
      <c r="ED662" s="43"/>
      <c r="EE662" s="43"/>
      <c r="EF662" s="43"/>
      <c r="EG662" s="43"/>
      <c r="EH662" s="43"/>
      <c r="EI662" s="43"/>
      <c r="EJ662" s="43"/>
      <c r="EK662" s="43"/>
      <c r="EL662" s="43"/>
      <c r="EM662" s="43"/>
      <c r="EN662" s="43"/>
      <c r="EO662" s="43"/>
      <c r="EP662" s="43"/>
      <c r="EQ662" s="43"/>
      <c r="ER662" s="43"/>
      <c r="ES662" s="43"/>
      <c r="ET662" s="43"/>
      <c r="EU662" s="43"/>
      <c r="EV662" s="43"/>
      <c r="EW662" s="43"/>
      <c r="EX662" s="43"/>
      <c r="EY662" s="43"/>
      <c r="EZ662" s="43"/>
      <c r="FA662" s="43"/>
      <c r="FB662" s="43"/>
      <c r="FC662" s="43"/>
      <c r="FD662" s="43"/>
      <c r="FE662" s="43"/>
      <c r="FF662" s="43"/>
      <c r="FG662" s="43"/>
      <c r="FH662" s="43"/>
      <c r="FI662" s="43"/>
      <c r="FJ662" s="43"/>
      <c r="FK662" s="43"/>
      <c r="FL662" s="43"/>
      <c r="FM662" s="43"/>
      <c r="FN662" s="43"/>
      <c r="FO662" s="43"/>
      <c r="FP662" s="43"/>
      <c r="FQ662" s="43"/>
      <c r="FR662" s="43"/>
      <c r="FS662" s="43"/>
      <c r="FT662" s="43"/>
      <c r="FU662" s="43"/>
      <c r="FV662" s="43"/>
      <c r="FW662" s="43"/>
      <c r="FX662" s="43"/>
      <c r="FY662" s="43"/>
      <c r="FZ662" s="43"/>
      <c r="GA662" s="43"/>
      <c r="GB662" s="43"/>
      <c r="GC662" s="43"/>
      <c r="GD662" s="43"/>
      <c r="GE662" s="43"/>
      <c r="GF662" s="43"/>
      <c r="GG662" s="43"/>
      <c r="GH662" s="43"/>
      <c r="GI662" s="43"/>
      <c r="GJ662" s="43"/>
      <c r="GK662" s="43"/>
      <c r="GL662" s="43"/>
      <c r="GM662" s="43"/>
      <c r="GN662" s="43"/>
      <c r="GO662" s="43"/>
      <c r="GP662" s="43"/>
      <c r="GQ662" s="43"/>
      <c r="GR662" s="43"/>
      <c r="GS662" s="43"/>
      <c r="GT662" s="43"/>
      <c r="GU662" s="43"/>
      <c r="GV662" s="43"/>
      <c r="GW662" s="43"/>
      <c r="GX662" s="43"/>
      <c r="GY662" s="43"/>
      <c r="GZ662" s="43"/>
      <c r="HA662" s="43"/>
      <c r="HB662" s="43"/>
      <c r="HC662" s="43"/>
      <c r="HD662" s="43"/>
      <c r="HE662" s="43"/>
      <c r="HF662" s="43"/>
      <c r="HG662" s="43"/>
      <c r="HH662" s="43"/>
      <c r="HI662" s="43"/>
    </row>
    <row r="663" spans="1:217" s="50" customFormat="1" ht="42.75" customHeight="1">
      <c r="A663" s="151" t="s">
        <v>48</v>
      </c>
      <c r="B663" s="151"/>
      <c r="C663" s="151"/>
      <c r="D663" s="224">
        <f>SUM(D665:D670)</f>
        <v>136230</v>
      </c>
      <c r="E663" s="224"/>
      <c r="F663" s="224">
        <f>SUM(F665:F670)</f>
        <v>136230</v>
      </c>
      <c r="G663" s="224">
        <f>SUM(G665:G670)</f>
        <v>144702</v>
      </c>
      <c r="H663" s="224"/>
      <c r="I663" s="224"/>
      <c r="J663" s="224">
        <f>SUM(J665:J670)</f>
        <v>144702</v>
      </c>
      <c r="K663" s="224"/>
      <c r="L663" s="225"/>
      <c r="M663" s="225"/>
      <c r="N663" s="224">
        <f>SUM(N665:N670)</f>
        <v>159360</v>
      </c>
      <c r="O663" s="224"/>
      <c r="P663" s="224">
        <f>SUM(P665:P670)</f>
        <v>159360</v>
      </c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9"/>
      <c r="BS663" s="59"/>
      <c r="BT663" s="59"/>
      <c r="BU663" s="59"/>
      <c r="BV663" s="59"/>
      <c r="BW663" s="59"/>
      <c r="BX663" s="59"/>
      <c r="BY663" s="59"/>
      <c r="BZ663" s="59"/>
      <c r="CA663" s="59"/>
      <c r="CB663" s="59"/>
      <c r="CC663" s="59"/>
      <c r="CD663" s="59"/>
      <c r="CE663" s="59"/>
      <c r="CF663" s="59"/>
      <c r="CG663" s="59"/>
      <c r="CH663" s="59"/>
      <c r="CI663" s="59"/>
      <c r="CJ663" s="59"/>
      <c r="CK663" s="59"/>
      <c r="CL663" s="59"/>
      <c r="CM663" s="59"/>
      <c r="CN663" s="59"/>
      <c r="CO663" s="59"/>
      <c r="CP663" s="59"/>
      <c r="CQ663" s="59"/>
      <c r="CR663" s="59"/>
      <c r="CS663" s="59"/>
      <c r="CT663" s="59"/>
      <c r="CU663" s="59"/>
      <c r="CV663" s="59"/>
      <c r="CW663" s="59"/>
      <c r="CX663" s="59"/>
      <c r="CY663" s="59"/>
      <c r="CZ663" s="59"/>
      <c r="DA663" s="59"/>
      <c r="DB663" s="59"/>
      <c r="DC663" s="59"/>
      <c r="DD663" s="59"/>
      <c r="DE663" s="59"/>
      <c r="DF663" s="59"/>
      <c r="DG663" s="59"/>
      <c r="DH663" s="59"/>
      <c r="DI663" s="59"/>
      <c r="DJ663" s="59"/>
      <c r="DK663" s="59"/>
      <c r="DL663" s="59"/>
      <c r="DM663" s="59"/>
      <c r="DN663" s="59"/>
      <c r="DO663" s="59"/>
      <c r="DP663" s="59"/>
      <c r="DQ663" s="59"/>
      <c r="DR663" s="59"/>
      <c r="DS663" s="59"/>
      <c r="DT663" s="59"/>
      <c r="DU663" s="59"/>
      <c r="DV663" s="59"/>
      <c r="DW663" s="59"/>
      <c r="DX663" s="59"/>
      <c r="DY663" s="59"/>
      <c r="DZ663" s="59"/>
      <c r="EA663" s="59"/>
      <c r="EB663" s="59"/>
      <c r="EC663" s="59"/>
      <c r="ED663" s="59"/>
      <c r="EE663" s="59"/>
      <c r="EF663" s="59"/>
      <c r="EG663" s="59"/>
      <c r="EH663" s="59"/>
      <c r="EI663" s="59"/>
      <c r="EJ663" s="59"/>
      <c r="EK663" s="59"/>
      <c r="EL663" s="59"/>
      <c r="EM663" s="59"/>
      <c r="EN663" s="59"/>
      <c r="EO663" s="59"/>
      <c r="EP663" s="59"/>
      <c r="EQ663" s="59"/>
      <c r="ER663" s="59"/>
      <c r="ES663" s="59"/>
      <c r="ET663" s="59"/>
      <c r="EU663" s="59"/>
      <c r="EV663" s="59"/>
      <c r="EW663" s="59"/>
      <c r="EX663" s="59"/>
      <c r="EY663" s="59"/>
      <c r="EZ663" s="59"/>
      <c r="FA663" s="59"/>
      <c r="FB663" s="59"/>
      <c r="FC663" s="59"/>
      <c r="FD663" s="59"/>
      <c r="FE663" s="59"/>
      <c r="FF663" s="59"/>
      <c r="FG663" s="59"/>
      <c r="FH663" s="59"/>
      <c r="FI663" s="59"/>
      <c r="FJ663" s="59"/>
      <c r="FK663" s="59"/>
      <c r="FL663" s="59"/>
      <c r="FM663" s="59"/>
      <c r="FN663" s="59"/>
      <c r="FO663" s="59"/>
      <c r="FP663" s="59"/>
      <c r="FQ663" s="59"/>
      <c r="FR663" s="59"/>
      <c r="FS663" s="59"/>
      <c r="FT663" s="59"/>
      <c r="FU663" s="59"/>
      <c r="FV663" s="59"/>
      <c r="FW663" s="59"/>
      <c r="FX663" s="59"/>
      <c r="FY663" s="59"/>
      <c r="FZ663" s="59"/>
      <c r="GA663" s="59"/>
      <c r="GB663" s="59"/>
      <c r="GC663" s="59"/>
      <c r="GD663" s="59"/>
      <c r="GE663" s="59"/>
      <c r="GF663" s="59"/>
      <c r="GG663" s="59"/>
      <c r="GH663" s="59"/>
      <c r="GI663" s="59"/>
      <c r="GJ663" s="59"/>
      <c r="GK663" s="59"/>
      <c r="GL663" s="59"/>
      <c r="GM663" s="59"/>
      <c r="GN663" s="59"/>
      <c r="GO663" s="59"/>
      <c r="GP663" s="59"/>
      <c r="GQ663" s="59"/>
      <c r="GR663" s="59"/>
      <c r="GS663" s="59"/>
      <c r="GT663" s="59"/>
      <c r="GU663" s="59"/>
      <c r="GV663" s="59"/>
      <c r="GW663" s="59"/>
      <c r="GX663" s="59"/>
      <c r="GY663" s="59"/>
      <c r="GZ663" s="59"/>
      <c r="HA663" s="59"/>
      <c r="HB663" s="59"/>
      <c r="HC663" s="59"/>
      <c r="HD663" s="59"/>
      <c r="HE663" s="59"/>
      <c r="HF663" s="59"/>
      <c r="HG663" s="59"/>
      <c r="HH663" s="59"/>
      <c r="HI663" s="59"/>
    </row>
    <row r="664" spans="1:217" s="50" customFormat="1" ht="13.5">
      <c r="A664" s="152" t="s">
        <v>188</v>
      </c>
      <c r="B664" s="151"/>
      <c r="C664" s="151"/>
      <c r="D664" s="224"/>
      <c r="E664" s="224"/>
      <c r="F664" s="224"/>
      <c r="G664" s="224"/>
      <c r="H664" s="224"/>
      <c r="I664" s="224"/>
      <c r="J664" s="224"/>
      <c r="K664" s="224"/>
      <c r="L664" s="225"/>
      <c r="M664" s="225"/>
      <c r="N664" s="224"/>
      <c r="O664" s="224"/>
      <c r="P664" s="224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9"/>
      <c r="BS664" s="59"/>
      <c r="BT664" s="59"/>
      <c r="BU664" s="59"/>
      <c r="BV664" s="59"/>
      <c r="BW664" s="59"/>
      <c r="BX664" s="59"/>
      <c r="BY664" s="59"/>
      <c r="BZ664" s="59"/>
      <c r="CA664" s="59"/>
      <c r="CB664" s="59"/>
      <c r="CC664" s="59"/>
      <c r="CD664" s="59"/>
      <c r="CE664" s="59"/>
      <c r="CF664" s="59"/>
      <c r="CG664" s="59"/>
      <c r="CH664" s="59"/>
      <c r="CI664" s="59"/>
      <c r="CJ664" s="59"/>
      <c r="CK664" s="59"/>
      <c r="CL664" s="59"/>
      <c r="CM664" s="59"/>
      <c r="CN664" s="59"/>
      <c r="CO664" s="59"/>
      <c r="CP664" s="59"/>
      <c r="CQ664" s="59"/>
      <c r="CR664" s="59"/>
      <c r="CS664" s="59"/>
      <c r="CT664" s="59"/>
      <c r="CU664" s="59"/>
      <c r="CV664" s="59"/>
      <c r="CW664" s="59"/>
      <c r="CX664" s="59"/>
      <c r="CY664" s="59"/>
      <c r="CZ664" s="59"/>
      <c r="DA664" s="59"/>
      <c r="DB664" s="59"/>
      <c r="DC664" s="59"/>
      <c r="DD664" s="59"/>
      <c r="DE664" s="59"/>
      <c r="DF664" s="59"/>
      <c r="DG664" s="59"/>
      <c r="DH664" s="59"/>
      <c r="DI664" s="59"/>
      <c r="DJ664" s="59"/>
      <c r="DK664" s="59"/>
      <c r="DL664" s="59"/>
      <c r="DM664" s="59"/>
      <c r="DN664" s="59"/>
      <c r="DO664" s="59"/>
      <c r="DP664" s="59"/>
      <c r="DQ664" s="59"/>
      <c r="DR664" s="59"/>
      <c r="DS664" s="59"/>
      <c r="DT664" s="59"/>
      <c r="DU664" s="59"/>
      <c r="DV664" s="59"/>
      <c r="DW664" s="59"/>
      <c r="DX664" s="59"/>
      <c r="DY664" s="59"/>
      <c r="DZ664" s="59"/>
      <c r="EA664" s="59"/>
      <c r="EB664" s="59"/>
      <c r="EC664" s="59"/>
      <c r="ED664" s="59"/>
      <c r="EE664" s="59"/>
      <c r="EF664" s="59"/>
      <c r="EG664" s="59"/>
      <c r="EH664" s="59"/>
      <c r="EI664" s="59"/>
      <c r="EJ664" s="59"/>
      <c r="EK664" s="59"/>
      <c r="EL664" s="59"/>
      <c r="EM664" s="59"/>
      <c r="EN664" s="59"/>
      <c r="EO664" s="59"/>
      <c r="EP664" s="59"/>
      <c r="EQ664" s="59"/>
      <c r="ER664" s="59"/>
      <c r="ES664" s="59"/>
      <c r="ET664" s="59"/>
      <c r="EU664" s="59"/>
      <c r="EV664" s="59"/>
      <c r="EW664" s="59"/>
      <c r="EX664" s="59"/>
      <c r="EY664" s="59"/>
      <c r="EZ664" s="59"/>
      <c r="FA664" s="59"/>
      <c r="FB664" s="59"/>
      <c r="FC664" s="59"/>
      <c r="FD664" s="59"/>
      <c r="FE664" s="59"/>
      <c r="FF664" s="59"/>
      <c r="FG664" s="59"/>
      <c r="FH664" s="59"/>
      <c r="FI664" s="59"/>
      <c r="FJ664" s="59"/>
      <c r="FK664" s="59"/>
      <c r="FL664" s="59"/>
      <c r="FM664" s="59"/>
      <c r="FN664" s="59"/>
      <c r="FO664" s="59"/>
      <c r="FP664" s="59"/>
      <c r="FQ664" s="59"/>
      <c r="FR664" s="59"/>
      <c r="FS664" s="59"/>
      <c r="FT664" s="59"/>
      <c r="FU664" s="59"/>
      <c r="FV664" s="59"/>
      <c r="FW664" s="59"/>
      <c r="FX664" s="59"/>
      <c r="FY664" s="59"/>
      <c r="FZ664" s="59"/>
      <c r="GA664" s="59"/>
      <c r="GB664" s="59"/>
      <c r="GC664" s="59"/>
      <c r="GD664" s="59"/>
      <c r="GE664" s="59"/>
      <c r="GF664" s="59"/>
      <c r="GG664" s="59"/>
      <c r="GH664" s="59"/>
      <c r="GI664" s="59"/>
      <c r="GJ664" s="59"/>
      <c r="GK664" s="59"/>
      <c r="GL664" s="59"/>
      <c r="GM664" s="59"/>
      <c r="GN664" s="59"/>
      <c r="GO664" s="59"/>
      <c r="GP664" s="59"/>
      <c r="GQ664" s="59"/>
      <c r="GR664" s="59"/>
      <c r="GS664" s="59"/>
      <c r="GT664" s="59"/>
      <c r="GU664" s="59"/>
      <c r="GV664" s="59"/>
      <c r="GW664" s="59"/>
      <c r="GX664" s="59"/>
      <c r="GY664" s="59"/>
      <c r="GZ664" s="59"/>
      <c r="HA664" s="59"/>
      <c r="HB664" s="59"/>
      <c r="HC664" s="59"/>
      <c r="HD664" s="59"/>
      <c r="HE664" s="59"/>
      <c r="HF664" s="59"/>
      <c r="HG664" s="59"/>
      <c r="HH664" s="59"/>
      <c r="HI664" s="59"/>
    </row>
    <row r="665" spans="1:217" s="50" customFormat="1" ht="28.5" customHeight="1">
      <c r="A665" s="148" t="s">
        <v>373</v>
      </c>
      <c r="B665" s="151"/>
      <c r="C665" s="151"/>
      <c r="D665" s="227">
        <f aca="true" t="shared" si="47" ref="D665:D670">D672*D679</f>
        <v>9600</v>
      </c>
      <c r="E665" s="224"/>
      <c r="F665" s="227">
        <f aca="true" t="shared" si="48" ref="F665:G668">F672*F679</f>
        <v>9600</v>
      </c>
      <c r="G665" s="227">
        <f t="shared" si="48"/>
        <v>10200</v>
      </c>
      <c r="H665" s="224"/>
      <c r="I665" s="224"/>
      <c r="J665" s="227">
        <f aca="true" t="shared" si="49" ref="J665:J670">J672*J679</f>
        <v>10200</v>
      </c>
      <c r="K665" s="224"/>
      <c r="L665" s="225"/>
      <c r="M665" s="225"/>
      <c r="N665" s="227">
        <f aca="true" t="shared" si="50" ref="N665:N670">N672*N679</f>
        <v>11250</v>
      </c>
      <c r="O665" s="224"/>
      <c r="P665" s="227">
        <f aca="true" t="shared" si="51" ref="P665:P670">P672*P679</f>
        <v>11250</v>
      </c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9"/>
      <c r="BS665" s="59"/>
      <c r="BT665" s="59"/>
      <c r="BU665" s="59"/>
      <c r="BV665" s="59"/>
      <c r="BW665" s="59"/>
      <c r="BX665" s="59"/>
      <c r="BY665" s="59"/>
      <c r="BZ665" s="59"/>
      <c r="CA665" s="59"/>
      <c r="CB665" s="59"/>
      <c r="CC665" s="59"/>
      <c r="CD665" s="59"/>
      <c r="CE665" s="59"/>
      <c r="CF665" s="59"/>
      <c r="CG665" s="59"/>
      <c r="CH665" s="59"/>
      <c r="CI665" s="59"/>
      <c r="CJ665" s="59"/>
      <c r="CK665" s="59"/>
      <c r="CL665" s="59"/>
      <c r="CM665" s="59"/>
      <c r="CN665" s="59"/>
      <c r="CO665" s="59"/>
      <c r="CP665" s="59"/>
      <c r="CQ665" s="59"/>
      <c r="CR665" s="59"/>
      <c r="CS665" s="59"/>
      <c r="CT665" s="59"/>
      <c r="CU665" s="59"/>
      <c r="CV665" s="59"/>
      <c r="CW665" s="59"/>
      <c r="CX665" s="59"/>
      <c r="CY665" s="59"/>
      <c r="CZ665" s="59"/>
      <c r="DA665" s="59"/>
      <c r="DB665" s="59"/>
      <c r="DC665" s="59"/>
      <c r="DD665" s="59"/>
      <c r="DE665" s="59"/>
      <c r="DF665" s="59"/>
      <c r="DG665" s="59"/>
      <c r="DH665" s="59"/>
      <c r="DI665" s="59"/>
      <c r="DJ665" s="59"/>
      <c r="DK665" s="59"/>
      <c r="DL665" s="59"/>
      <c r="DM665" s="59"/>
      <c r="DN665" s="59"/>
      <c r="DO665" s="59"/>
      <c r="DP665" s="59"/>
      <c r="DQ665" s="59"/>
      <c r="DR665" s="59"/>
      <c r="DS665" s="59"/>
      <c r="DT665" s="59"/>
      <c r="DU665" s="59"/>
      <c r="DV665" s="59"/>
      <c r="DW665" s="59"/>
      <c r="DX665" s="59"/>
      <c r="DY665" s="59"/>
      <c r="DZ665" s="59"/>
      <c r="EA665" s="59"/>
      <c r="EB665" s="59"/>
      <c r="EC665" s="59"/>
      <c r="ED665" s="59"/>
      <c r="EE665" s="59"/>
      <c r="EF665" s="59"/>
      <c r="EG665" s="59"/>
      <c r="EH665" s="59"/>
      <c r="EI665" s="59"/>
      <c r="EJ665" s="59"/>
      <c r="EK665" s="59"/>
      <c r="EL665" s="59"/>
      <c r="EM665" s="59"/>
      <c r="EN665" s="59"/>
      <c r="EO665" s="59"/>
      <c r="EP665" s="59"/>
      <c r="EQ665" s="59"/>
      <c r="ER665" s="59"/>
      <c r="ES665" s="59"/>
      <c r="ET665" s="59"/>
      <c r="EU665" s="59"/>
      <c r="EV665" s="59"/>
      <c r="EW665" s="59"/>
      <c r="EX665" s="59"/>
      <c r="EY665" s="59"/>
      <c r="EZ665" s="59"/>
      <c r="FA665" s="59"/>
      <c r="FB665" s="59"/>
      <c r="FC665" s="59"/>
      <c r="FD665" s="59"/>
      <c r="FE665" s="59"/>
      <c r="FF665" s="59"/>
      <c r="FG665" s="59"/>
      <c r="FH665" s="59"/>
      <c r="FI665" s="59"/>
      <c r="FJ665" s="59"/>
      <c r="FK665" s="59"/>
      <c r="FL665" s="59"/>
      <c r="FM665" s="59"/>
      <c r="FN665" s="59"/>
      <c r="FO665" s="59"/>
      <c r="FP665" s="59"/>
      <c r="FQ665" s="59"/>
      <c r="FR665" s="59"/>
      <c r="FS665" s="59"/>
      <c r="FT665" s="59"/>
      <c r="FU665" s="59"/>
      <c r="FV665" s="59"/>
      <c r="FW665" s="59"/>
      <c r="FX665" s="59"/>
      <c r="FY665" s="59"/>
      <c r="FZ665" s="59"/>
      <c r="GA665" s="59"/>
      <c r="GB665" s="59"/>
      <c r="GC665" s="59"/>
      <c r="GD665" s="59"/>
      <c r="GE665" s="59"/>
      <c r="GF665" s="59"/>
      <c r="GG665" s="59"/>
      <c r="GH665" s="59"/>
      <c r="GI665" s="59"/>
      <c r="GJ665" s="59"/>
      <c r="GK665" s="59"/>
      <c r="GL665" s="59"/>
      <c r="GM665" s="59"/>
      <c r="GN665" s="59"/>
      <c r="GO665" s="59"/>
      <c r="GP665" s="59"/>
      <c r="GQ665" s="59"/>
      <c r="GR665" s="59"/>
      <c r="GS665" s="59"/>
      <c r="GT665" s="59"/>
      <c r="GU665" s="59"/>
      <c r="GV665" s="59"/>
      <c r="GW665" s="59"/>
      <c r="GX665" s="59"/>
      <c r="GY665" s="59"/>
      <c r="GZ665" s="59"/>
      <c r="HA665" s="59"/>
      <c r="HB665" s="59"/>
      <c r="HC665" s="59"/>
      <c r="HD665" s="59"/>
      <c r="HE665" s="59"/>
      <c r="HF665" s="59"/>
      <c r="HG665" s="59"/>
      <c r="HH665" s="59"/>
      <c r="HI665" s="59"/>
    </row>
    <row r="666" spans="1:217" s="50" customFormat="1" ht="25.5">
      <c r="A666" s="148" t="s">
        <v>374</v>
      </c>
      <c r="B666" s="151"/>
      <c r="C666" s="151"/>
      <c r="D666" s="227">
        <f t="shared" si="47"/>
        <v>30000</v>
      </c>
      <c r="E666" s="224"/>
      <c r="F666" s="227">
        <f t="shared" si="48"/>
        <v>30000</v>
      </c>
      <c r="G666" s="227">
        <f t="shared" si="48"/>
        <v>31800</v>
      </c>
      <c r="H666" s="224"/>
      <c r="I666" s="224"/>
      <c r="J666" s="227">
        <f t="shared" si="49"/>
        <v>31800</v>
      </c>
      <c r="K666" s="224"/>
      <c r="L666" s="225"/>
      <c r="M666" s="225"/>
      <c r="N666" s="227">
        <f t="shared" si="50"/>
        <v>35100</v>
      </c>
      <c r="O666" s="224"/>
      <c r="P666" s="227">
        <f t="shared" si="51"/>
        <v>35100</v>
      </c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9"/>
      <c r="BS666" s="59"/>
      <c r="BT666" s="59"/>
      <c r="BU666" s="59"/>
      <c r="BV666" s="59"/>
      <c r="BW666" s="59"/>
      <c r="BX666" s="59"/>
      <c r="BY666" s="59"/>
      <c r="BZ666" s="59"/>
      <c r="CA666" s="59"/>
      <c r="CB666" s="59"/>
      <c r="CC666" s="59"/>
      <c r="CD666" s="59"/>
      <c r="CE666" s="59"/>
      <c r="CF666" s="59"/>
      <c r="CG666" s="59"/>
      <c r="CH666" s="59"/>
      <c r="CI666" s="59"/>
      <c r="CJ666" s="59"/>
      <c r="CK666" s="59"/>
      <c r="CL666" s="59"/>
      <c r="CM666" s="59"/>
      <c r="CN666" s="59"/>
      <c r="CO666" s="59"/>
      <c r="CP666" s="59"/>
      <c r="CQ666" s="59"/>
      <c r="CR666" s="59"/>
      <c r="CS666" s="59"/>
      <c r="CT666" s="59"/>
      <c r="CU666" s="59"/>
      <c r="CV666" s="59"/>
      <c r="CW666" s="59"/>
      <c r="CX666" s="59"/>
      <c r="CY666" s="59"/>
      <c r="CZ666" s="59"/>
      <c r="DA666" s="59"/>
      <c r="DB666" s="59"/>
      <c r="DC666" s="59"/>
      <c r="DD666" s="59"/>
      <c r="DE666" s="59"/>
      <c r="DF666" s="59"/>
      <c r="DG666" s="59"/>
      <c r="DH666" s="59"/>
      <c r="DI666" s="59"/>
      <c r="DJ666" s="59"/>
      <c r="DK666" s="59"/>
      <c r="DL666" s="59"/>
      <c r="DM666" s="59"/>
      <c r="DN666" s="59"/>
      <c r="DO666" s="59"/>
      <c r="DP666" s="59"/>
      <c r="DQ666" s="59"/>
      <c r="DR666" s="59"/>
      <c r="DS666" s="59"/>
      <c r="DT666" s="59"/>
      <c r="DU666" s="59"/>
      <c r="DV666" s="59"/>
      <c r="DW666" s="59"/>
      <c r="DX666" s="59"/>
      <c r="DY666" s="59"/>
      <c r="DZ666" s="59"/>
      <c r="EA666" s="59"/>
      <c r="EB666" s="59"/>
      <c r="EC666" s="59"/>
      <c r="ED666" s="59"/>
      <c r="EE666" s="59"/>
      <c r="EF666" s="59"/>
      <c r="EG666" s="59"/>
      <c r="EH666" s="59"/>
      <c r="EI666" s="59"/>
      <c r="EJ666" s="59"/>
      <c r="EK666" s="59"/>
      <c r="EL666" s="59"/>
      <c r="EM666" s="59"/>
      <c r="EN666" s="59"/>
      <c r="EO666" s="59"/>
      <c r="EP666" s="59"/>
      <c r="EQ666" s="59"/>
      <c r="ER666" s="59"/>
      <c r="ES666" s="59"/>
      <c r="ET666" s="59"/>
      <c r="EU666" s="59"/>
      <c r="EV666" s="59"/>
      <c r="EW666" s="59"/>
      <c r="EX666" s="59"/>
      <c r="EY666" s="59"/>
      <c r="EZ666" s="59"/>
      <c r="FA666" s="59"/>
      <c r="FB666" s="59"/>
      <c r="FC666" s="59"/>
      <c r="FD666" s="59"/>
      <c r="FE666" s="59"/>
      <c r="FF666" s="59"/>
      <c r="FG666" s="59"/>
      <c r="FH666" s="59"/>
      <c r="FI666" s="59"/>
      <c r="FJ666" s="59"/>
      <c r="FK666" s="59"/>
      <c r="FL666" s="59"/>
      <c r="FM666" s="59"/>
      <c r="FN666" s="59"/>
      <c r="FO666" s="59"/>
      <c r="FP666" s="59"/>
      <c r="FQ666" s="59"/>
      <c r="FR666" s="59"/>
      <c r="FS666" s="59"/>
      <c r="FT666" s="59"/>
      <c r="FU666" s="59"/>
      <c r="FV666" s="59"/>
      <c r="FW666" s="59"/>
      <c r="FX666" s="59"/>
      <c r="FY666" s="59"/>
      <c r="FZ666" s="59"/>
      <c r="GA666" s="59"/>
      <c r="GB666" s="59"/>
      <c r="GC666" s="59"/>
      <c r="GD666" s="59"/>
      <c r="GE666" s="59"/>
      <c r="GF666" s="59"/>
      <c r="GG666" s="59"/>
      <c r="GH666" s="59"/>
      <c r="GI666" s="59"/>
      <c r="GJ666" s="59"/>
      <c r="GK666" s="59"/>
      <c r="GL666" s="59"/>
      <c r="GM666" s="59"/>
      <c r="GN666" s="59"/>
      <c r="GO666" s="59"/>
      <c r="GP666" s="59"/>
      <c r="GQ666" s="59"/>
      <c r="GR666" s="59"/>
      <c r="GS666" s="59"/>
      <c r="GT666" s="59"/>
      <c r="GU666" s="59"/>
      <c r="GV666" s="59"/>
      <c r="GW666" s="59"/>
      <c r="GX666" s="59"/>
      <c r="GY666" s="59"/>
      <c r="GZ666" s="59"/>
      <c r="HA666" s="59"/>
      <c r="HB666" s="59"/>
      <c r="HC666" s="59"/>
      <c r="HD666" s="59"/>
      <c r="HE666" s="59"/>
      <c r="HF666" s="59"/>
      <c r="HG666" s="59"/>
      <c r="HH666" s="59"/>
      <c r="HI666" s="59"/>
    </row>
    <row r="667" spans="1:217" s="50" customFormat="1" ht="33.75" customHeight="1">
      <c r="A667" s="148" t="s">
        <v>375</v>
      </c>
      <c r="B667" s="151"/>
      <c r="C667" s="151"/>
      <c r="D667" s="227">
        <f t="shared" si="47"/>
        <v>53250</v>
      </c>
      <c r="E667" s="224"/>
      <c r="F667" s="227">
        <f t="shared" si="48"/>
        <v>53250</v>
      </c>
      <c r="G667" s="227">
        <f t="shared" si="48"/>
        <v>56400</v>
      </c>
      <c r="H667" s="224"/>
      <c r="I667" s="224"/>
      <c r="J667" s="227">
        <f t="shared" si="49"/>
        <v>56400</v>
      </c>
      <c r="K667" s="224"/>
      <c r="L667" s="225"/>
      <c r="M667" s="225"/>
      <c r="N667" s="227">
        <f t="shared" si="50"/>
        <v>62100</v>
      </c>
      <c r="O667" s="224"/>
      <c r="P667" s="227">
        <f t="shared" si="51"/>
        <v>62100</v>
      </c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9"/>
      <c r="BS667" s="59"/>
      <c r="BT667" s="59"/>
      <c r="BU667" s="59"/>
      <c r="BV667" s="59"/>
      <c r="BW667" s="59"/>
      <c r="BX667" s="59"/>
      <c r="BY667" s="59"/>
      <c r="BZ667" s="59"/>
      <c r="CA667" s="59"/>
      <c r="CB667" s="59"/>
      <c r="CC667" s="59"/>
      <c r="CD667" s="59"/>
      <c r="CE667" s="59"/>
      <c r="CF667" s="59"/>
      <c r="CG667" s="59"/>
      <c r="CH667" s="59"/>
      <c r="CI667" s="59"/>
      <c r="CJ667" s="59"/>
      <c r="CK667" s="59"/>
      <c r="CL667" s="59"/>
      <c r="CM667" s="59"/>
      <c r="CN667" s="59"/>
      <c r="CO667" s="59"/>
      <c r="CP667" s="59"/>
      <c r="CQ667" s="59"/>
      <c r="CR667" s="59"/>
      <c r="CS667" s="59"/>
      <c r="CT667" s="59"/>
      <c r="CU667" s="59"/>
      <c r="CV667" s="59"/>
      <c r="CW667" s="59"/>
      <c r="CX667" s="59"/>
      <c r="CY667" s="59"/>
      <c r="CZ667" s="59"/>
      <c r="DA667" s="59"/>
      <c r="DB667" s="59"/>
      <c r="DC667" s="59"/>
      <c r="DD667" s="59"/>
      <c r="DE667" s="59"/>
      <c r="DF667" s="59"/>
      <c r="DG667" s="59"/>
      <c r="DH667" s="59"/>
      <c r="DI667" s="59"/>
      <c r="DJ667" s="59"/>
      <c r="DK667" s="59"/>
      <c r="DL667" s="59"/>
      <c r="DM667" s="59"/>
      <c r="DN667" s="59"/>
      <c r="DO667" s="59"/>
      <c r="DP667" s="59"/>
      <c r="DQ667" s="59"/>
      <c r="DR667" s="59"/>
      <c r="DS667" s="59"/>
      <c r="DT667" s="59"/>
      <c r="DU667" s="59"/>
      <c r="DV667" s="59"/>
      <c r="DW667" s="59"/>
      <c r="DX667" s="59"/>
      <c r="DY667" s="59"/>
      <c r="DZ667" s="59"/>
      <c r="EA667" s="59"/>
      <c r="EB667" s="59"/>
      <c r="EC667" s="59"/>
      <c r="ED667" s="59"/>
      <c r="EE667" s="59"/>
      <c r="EF667" s="59"/>
      <c r="EG667" s="59"/>
      <c r="EH667" s="59"/>
      <c r="EI667" s="59"/>
      <c r="EJ667" s="59"/>
      <c r="EK667" s="59"/>
      <c r="EL667" s="59"/>
      <c r="EM667" s="59"/>
      <c r="EN667" s="59"/>
      <c r="EO667" s="59"/>
      <c r="EP667" s="59"/>
      <c r="EQ667" s="59"/>
      <c r="ER667" s="59"/>
      <c r="ES667" s="59"/>
      <c r="ET667" s="59"/>
      <c r="EU667" s="59"/>
      <c r="EV667" s="59"/>
      <c r="EW667" s="59"/>
      <c r="EX667" s="59"/>
      <c r="EY667" s="59"/>
      <c r="EZ667" s="59"/>
      <c r="FA667" s="59"/>
      <c r="FB667" s="59"/>
      <c r="FC667" s="59"/>
      <c r="FD667" s="59"/>
      <c r="FE667" s="59"/>
      <c r="FF667" s="59"/>
      <c r="FG667" s="59"/>
      <c r="FH667" s="59"/>
      <c r="FI667" s="59"/>
      <c r="FJ667" s="59"/>
      <c r="FK667" s="59"/>
      <c r="FL667" s="59"/>
      <c r="FM667" s="59"/>
      <c r="FN667" s="59"/>
      <c r="FO667" s="59"/>
      <c r="FP667" s="59"/>
      <c r="FQ667" s="59"/>
      <c r="FR667" s="59"/>
      <c r="FS667" s="59"/>
      <c r="FT667" s="59"/>
      <c r="FU667" s="59"/>
      <c r="FV667" s="59"/>
      <c r="FW667" s="59"/>
      <c r="FX667" s="59"/>
      <c r="FY667" s="59"/>
      <c r="FZ667" s="59"/>
      <c r="GA667" s="59"/>
      <c r="GB667" s="59"/>
      <c r="GC667" s="59"/>
      <c r="GD667" s="59"/>
      <c r="GE667" s="59"/>
      <c r="GF667" s="59"/>
      <c r="GG667" s="59"/>
      <c r="GH667" s="59"/>
      <c r="GI667" s="59"/>
      <c r="GJ667" s="59"/>
      <c r="GK667" s="59"/>
      <c r="GL667" s="59"/>
      <c r="GM667" s="59"/>
      <c r="GN667" s="59"/>
      <c r="GO667" s="59"/>
      <c r="GP667" s="59"/>
      <c r="GQ667" s="59"/>
      <c r="GR667" s="59"/>
      <c r="GS667" s="59"/>
      <c r="GT667" s="59"/>
      <c r="GU667" s="59"/>
      <c r="GV667" s="59"/>
      <c r="GW667" s="59"/>
      <c r="GX667" s="59"/>
      <c r="GY667" s="59"/>
      <c r="GZ667" s="59"/>
      <c r="HA667" s="59"/>
      <c r="HB667" s="59"/>
      <c r="HC667" s="59"/>
      <c r="HD667" s="59"/>
      <c r="HE667" s="59"/>
      <c r="HF667" s="59"/>
      <c r="HG667" s="59"/>
      <c r="HH667" s="59"/>
      <c r="HI667" s="59"/>
    </row>
    <row r="668" spans="1:217" s="50" customFormat="1" ht="30.75" customHeight="1">
      <c r="A668" s="148" t="s">
        <v>376</v>
      </c>
      <c r="B668" s="151"/>
      <c r="C668" s="151"/>
      <c r="D668" s="227">
        <f t="shared" si="47"/>
        <v>33300</v>
      </c>
      <c r="E668" s="227"/>
      <c r="F668" s="227">
        <f t="shared" si="48"/>
        <v>33300</v>
      </c>
      <c r="G668" s="227">
        <f t="shared" si="48"/>
        <v>35550</v>
      </c>
      <c r="H668" s="227"/>
      <c r="I668" s="227"/>
      <c r="J668" s="227">
        <f t="shared" si="49"/>
        <v>35550</v>
      </c>
      <c r="K668" s="227"/>
      <c r="L668" s="231"/>
      <c r="M668" s="231"/>
      <c r="N668" s="227">
        <f t="shared" si="50"/>
        <v>39150</v>
      </c>
      <c r="O668" s="227"/>
      <c r="P668" s="227">
        <f t="shared" si="51"/>
        <v>39150</v>
      </c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9"/>
      <c r="BS668" s="59"/>
      <c r="BT668" s="59"/>
      <c r="BU668" s="59"/>
      <c r="BV668" s="59"/>
      <c r="BW668" s="59"/>
      <c r="BX668" s="59"/>
      <c r="BY668" s="59"/>
      <c r="BZ668" s="59"/>
      <c r="CA668" s="59"/>
      <c r="CB668" s="59"/>
      <c r="CC668" s="59"/>
      <c r="CD668" s="59"/>
      <c r="CE668" s="59"/>
      <c r="CF668" s="59"/>
      <c r="CG668" s="59"/>
      <c r="CH668" s="59"/>
      <c r="CI668" s="59"/>
      <c r="CJ668" s="59"/>
      <c r="CK668" s="59"/>
      <c r="CL668" s="59"/>
      <c r="CM668" s="59"/>
      <c r="CN668" s="59"/>
      <c r="CO668" s="59"/>
      <c r="CP668" s="59"/>
      <c r="CQ668" s="59"/>
      <c r="CR668" s="59"/>
      <c r="CS668" s="59"/>
      <c r="CT668" s="59"/>
      <c r="CU668" s="59"/>
      <c r="CV668" s="59"/>
      <c r="CW668" s="59"/>
      <c r="CX668" s="59"/>
      <c r="CY668" s="59"/>
      <c r="CZ668" s="59"/>
      <c r="DA668" s="59"/>
      <c r="DB668" s="59"/>
      <c r="DC668" s="59"/>
      <c r="DD668" s="59"/>
      <c r="DE668" s="59"/>
      <c r="DF668" s="59"/>
      <c r="DG668" s="59"/>
      <c r="DH668" s="59"/>
      <c r="DI668" s="59"/>
      <c r="DJ668" s="59"/>
      <c r="DK668" s="59"/>
      <c r="DL668" s="59"/>
      <c r="DM668" s="59"/>
      <c r="DN668" s="59"/>
      <c r="DO668" s="59"/>
      <c r="DP668" s="59"/>
      <c r="DQ668" s="59"/>
      <c r="DR668" s="59"/>
      <c r="DS668" s="59"/>
      <c r="DT668" s="59"/>
      <c r="DU668" s="59"/>
      <c r="DV668" s="59"/>
      <c r="DW668" s="59"/>
      <c r="DX668" s="59"/>
      <c r="DY668" s="59"/>
      <c r="DZ668" s="59"/>
      <c r="EA668" s="59"/>
      <c r="EB668" s="59"/>
      <c r="EC668" s="59"/>
      <c r="ED668" s="59"/>
      <c r="EE668" s="59"/>
      <c r="EF668" s="59"/>
      <c r="EG668" s="59"/>
      <c r="EH668" s="59"/>
      <c r="EI668" s="59"/>
      <c r="EJ668" s="59"/>
      <c r="EK668" s="59"/>
      <c r="EL668" s="59"/>
      <c r="EM668" s="59"/>
      <c r="EN668" s="59"/>
      <c r="EO668" s="59"/>
      <c r="EP668" s="59"/>
      <c r="EQ668" s="59"/>
      <c r="ER668" s="59"/>
      <c r="ES668" s="59"/>
      <c r="ET668" s="59"/>
      <c r="EU668" s="59"/>
      <c r="EV668" s="59"/>
      <c r="EW668" s="59"/>
      <c r="EX668" s="59"/>
      <c r="EY668" s="59"/>
      <c r="EZ668" s="59"/>
      <c r="FA668" s="59"/>
      <c r="FB668" s="59"/>
      <c r="FC668" s="59"/>
      <c r="FD668" s="59"/>
      <c r="FE668" s="59"/>
      <c r="FF668" s="59"/>
      <c r="FG668" s="59"/>
      <c r="FH668" s="59"/>
      <c r="FI668" s="59"/>
      <c r="FJ668" s="59"/>
      <c r="FK668" s="59"/>
      <c r="FL668" s="59"/>
      <c r="FM668" s="59"/>
      <c r="FN668" s="59"/>
      <c r="FO668" s="59"/>
      <c r="FP668" s="59"/>
      <c r="FQ668" s="59"/>
      <c r="FR668" s="59"/>
      <c r="FS668" s="59"/>
      <c r="FT668" s="59"/>
      <c r="FU668" s="59"/>
      <c r="FV668" s="59"/>
      <c r="FW668" s="59"/>
      <c r="FX668" s="59"/>
      <c r="FY668" s="59"/>
      <c r="FZ668" s="59"/>
      <c r="GA668" s="59"/>
      <c r="GB668" s="59"/>
      <c r="GC668" s="59"/>
      <c r="GD668" s="59"/>
      <c r="GE668" s="59"/>
      <c r="GF668" s="59"/>
      <c r="GG668" s="59"/>
      <c r="GH668" s="59"/>
      <c r="GI668" s="59"/>
      <c r="GJ668" s="59"/>
      <c r="GK668" s="59"/>
      <c r="GL668" s="59"/>
      <c r="GM668" s="59"/>
      <c r="GN668" s="59"/>
      <c r="GO668" s="59"/>
      <c r="GP668" s="59"/>
      <c r="GQ668" s="59"/>
      <c r="GR668" s="59"/>
      <c r="GS668" s="59"/>
      <c r="GT668" s="59"/>
      <c r="GU668" s="59"/>
      <c r="GV668" s="59"/>
      <c r="GW668" s="59"/>
      <c r="GX668" s="59"/>
      <c r="GY668" s="59"/>
      <c r="GZ668" s="59"/>
      <c r="HA668" s="59"/>
      <c r="HB668" s="59"/>
      <c r="HC668" s="59"/>
      <c r="HD668" s="59"/>
      <c r="HE668" s="59"/>
      <c r="HF668" s="59"/>
      <c r="HG668" s="59"/>
      <c r="HH668" s="59"/>
      <c r="HI668" s="59"/>
    </row>
    <row r="669" spans="1:217" s="50" customFormat="1" ht="13.5">
      <c r="A669" s="148" t="s">
        <v>377</v>
      </c>
      <c r="B669" s="151"/>
      <c r="C669" s="151"/>
      <c r="D669" s="227">
        <f t="shared" si="47"/>
        <v>8160</v>
      </c>
      <c r="E669" s="227"/>
      <c r="F669" s="227">
        <f>F676*F683</f>
        <v>8160</v>
      </c>
      <c r="G669" s="227">
        <f>G676*G683</f>
        <v>8640</v>
      </c>
      <c r="H669" s="227"/>
      <c r="I669" s="227"/>
      <c r="J669" s="227">
        <f t="shared" si="49"/>
        <v>8640</v>
      </c>
      <c r="K669" s="227"/>
      <c r="L669" s="231"/>
      <c r="M669" s="231"/>
      <c r="N669" s="227">
        <f t="shared" si="50"/>
        <v>9480</v>
      </c>
      <c r="O669" s="227"/>
      <c r="P669" s="227">
        <f t="shared" si="51"/>
        <v>9480</v>
      </c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59"/>
      <c r="CA669" s="59"/>
      <c r="CB669" s="59"/>
      <c r="CC669" s="59"/>
      <c r="CD669" s="59"/>
      <c r="CE669" s="59"/>
      <c r="CF669" s="59"/>
      <c r="CG669" s="59"/>
      <c r="CH669" s="59"/>
      <c r="CI669" s="59"/>
      <c r="CJ669" s="59"/>
      <c r="CK669" s="59"/>
      <c r="CL669" s="59"/>
      <c r="CM669" s="59"/>
      <c r="CN669" s="59"/>
      <c r="CO669" s="59"/>
      <c r="CP669" s="59"/>
      <c r="CQ669" s="59"/>
      <c r="CR669" s="59"/>
      <c r="CS669" s="59"/>
      <c r="CT669" s="59"/>
      <c r="CU669" s="59"/>
      <c r="CV669" s="59"/>
      <c r="CW669" s="59"/>
      <c r="CX669" s="59"/>
      <c r="CY669" s="59"/>
      <c r="CZ669" s="59"/>
      <c r="DA669" s="59"/>
      <c r="DB669" s="59"/>
      <c r="DC669" s="59"/>
      <c r="DD669" s="59"/>
      <c r="DE669" s="59"/>
      <c r="DF669" s="59"/>
      <c r="DG669" s="59"/>
      <c r="DH669" s="59"/>
      <c r="DI669" s="59"/>
      <c r="DJ669" s="59"/>
      <c r="DK669" s="59"/>
      <c r="DL669" s="59"/>
      <c r="DM669" s="59"/>
      <c r="DN669" s="59"/>
      <c r="DO669" s="59"/>
      <c r="DP669" s="59"/>
      <c r="DQ669" s="59"/>
      <c r="DR669" s="59"/>
      <c r="DS669" s="59"/>
      <c r="DT669" s="59"/>
      <c r="DU669" s="59"/>
      <c r="DV669" s="59"/>
      <c r="DW669" s="59"/>
      <c r="DX669" s="59"/>
      <c r="DY669" s="59"/>
      <c r="DZ669" s="59"/>
      <c r="EA669" s="59"/>
      <c r="EB669" s="59"/>
      <c r="EC669" s="59"/>
      <c r="ED669" s="59"/>
      <c r="EE669" s="59"/>
      <c r="EF669" s="59"/>
      <c r="EG669" s="59"/>
      <c r="EH669" s="59"/>
      <c r="EI669" s="59"/>
      <c r="EJ669" s="59"/>
      <c r="EK669" s="59"/>
      <c r="EL669" s="59"/>
      <c r="EM669" s="59"/>
      <c r="EN669" s="59"/>
      <c r="EO669" s="59"/>
      <c r="EP669" s="59"/>
      <c r="EQ669" s="59"/>
      <c r="ER669" s="59"/>
      <c r="ES669" s="59"/>
      <c r="ET669" s="59"/>
      <c r="EU669" s="59"/>
      <c r="EV669" s="59"/>
      <c r="EW669" s="59"/>
      <c r="EX669" s="59"/>
      <c r="EY669" s="59"/>
      <c r="EZ669" s="59"/>
      <c r="FA669" s="59"/>
      <c r="FB669" s="59"/>
      <c r="FC669" s="59"/>
      <c r="FD669" s="59"/>
      <c r="FE669" s="59"/>
      <c r="FF669" s="59"/>
      <c r="FG669" s="59"/>
      <c r="FH669" s="59"/>
      <c r="FI669" s="59"/>
      <c r="FJ669" s="59"/>
      <c r="FK669" s="59"/>
      <c r="FL669" s="59"/>
      <c r="FM669" s="59"/>
      <c r="FN669" s="59"/>
      <c r="FO669" s="59"/>
      <c r="FP669" s="59"/>
      <c r="FQ669" s="59"/>
      <c r="FR669" s="59"/>
      <c r="FS669" s="59"/>
      <c r="FT669" s="59"/>
      <c r="FU669" s="59"/>
      <c r="FV669" s="59"/>
      <c r="FW669" s="59"/>
      <c r="FX669" s="59"/>
      <c r="FY669" s="59"/>
      <c r="FZ669" s="59"/>
      <c r="GA669" s="59"/>
      <c r="GB669" s="59"/>
      <c r="GC669" s="59"/>
      <c r="GD669" s="59"/>
      <c r="GE669" s="59"/>
      <c r="GF669" s="59"/>
      <c r="GG669" s="59"/>
      <c r="GH669" s="59"/>
      <c r="GI669" s="59"/>
      <c r="GJ669" s="59"/>
      <c r="GK669" s="59"/>
      <c r="GL669" s="59"/>
      <c r="GM669" s="59"/>
      <c r="GN669" s="59"/>
      <c r="GO669" s="59"/>
      <c r="GP669" s="59"/>
      <c r="GQ669" s="59"/>
      <c r="GR669" s="59"/>
      <c r="GS669" s="59"/>
      <c r="GT669" s="59"/>
      <c r="GU669" s="59"/>
      <c r="GV669" s="59"/>
      <c r="GW669" s="59"/>
      <c r="GX669" s="59"/>
      <c r="GY669" s="59"/>
      <c r="GZ669" s="59"/>
      <c r="HA669" s="59"/>
      <c r="HB669" s="59"/>
      <c r="HC669" s="59"/>
      <c r="HD669" s="59"/>
      <c r="HE669" s="59"/>
      <c r="HF669" s="59"/>
      <c r="HG669" s="59"/>
      <c r="HH669" s="59"/>
      <c r="HI669" s="59"/>
    </row>
    <row r="670" spans="1:217" s="50" customFormat="1" ht="25.5">
      <c r="A670" s="148" t="s">
        <v>356</v>
      </c>
      <c r="B670" s="151"/>
      <c r="C670" s="151"/>
      <c r="D670" s="227">
        <f t="shared" si="47"/>
        <v>1920</v>
      </c>
      <c r="E670" s="227"/>
      <c r="F670" s="227">
        <f>F677*F684</f>
        <v>1920</v>
      </c>
      <c r="G670" s="227">
        <f>G677*G684</f>
        <v>2112</v>
      </c>
      <c r="H670" s="227"/>
      <c r="I670" s="227"/>
      <c r="J670" s="227">
        <f t="shared" si="49"/>
        <v>2112</v>
      </c>
      <c r="K670" s="227"/>
      <c r="L670" s="231"/>
      <c r="M670" s="231"/>
      <c r="N670" s="227">
        <f t="shared" si="50"/>
        <v>2280</v>
      </c>
      <c r="O670" s="227"/>
      <c r="P670" s="227">
        <f t="shared" si="51"/>
        <v>2280</v>
      </c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9"/>
      <c r="BS670" s="59"/>
      <c r="BT670" s="59"/>
      <c r="BU670" s="59"/>
      <c r="BV670" s="59"/>
      <c r="BW670" s="59"/>
      <c r="BX670" s="59"/>
      <c r="BY670" s="59"/>
      <c r="BZ670" s="59"/>
      <c r="CA670" s="59"/>
      <c r="CB670" s="59"/>
      <c r="CC670" s="59"/>
      <c r="CD670" s="59"/>
      <c r="CE670" s="59"/>
      <c r="CF670" s="59"/>
      <c r="CG670" s="59"/>
      <c r="CH670" s="59"/>
      <c r="CI670" s="59"/>
      <c r="CJ670" s="59"/>
      <c r="CK670" s="59"/>
      <c r="CL670" s="59"/>
      <c r="CM670" s="59"/>
      <c r="CN670" s="59"/>
      <c r="CO670" s="59"/>
      <c r="CP670" s="59"/>
      <c r="CQ670" s="59"/>
      <c r="CR670" s="59"/>
      <c r="CS670" s="59"/>
      <c r="CT670" s="59"/>
      <c r="CU670" s="59"/>
      <c r="CV670" s="59"/>
      <c r="CW670" s="59"/>
      <c r="CX670" s="59"/>
      <c r="CY670" s="59"/>
      <c r="CZ670" s="59"/>
      <c r="DA670" s="59"/>
      <c r="DB670" s="59"/>
      <c r="DC670" s="59"/>
      <c r="DD670" s="59"/>
      <c r="DE670" s="59"/>
      <c r="DF670" s="59"/>
      <c r="DG670" s="59"/>
      <c r="DH670" s="59"/>
      <c r="DI670" s="59"/>
      <c r="DJ670" s="59"/>
      <c r="DK670" s="59"/>
      <c r="DL670" s="59"/>
      <c r="DM670" s="59"/>
      <c r="DN670" s="59"/>
      <c r="DO670" s="59"/>
      <c r="DP670" s="59"/>
      <c r="DQ670" s="59"/>
      <c r="DR670" s="59"/>
      <c r="DS670" s="59"/>
      <c r="DT670" s="59"/>
      <c r="DU670" s="59"/>
      <c r="DV670" s="59"/>
      <c r="DW670" s="59"/>
      <c r="DX670" s="59"/>
      <c r="DY670" s="59"/>
      <c r="DZ670" s="59"/>
      <c r="EA670" s="59"/>
      <c r="EB670" s="59"/>
      <c r="EC670" s="59"/>
      <c r="ED670" s="59"/>
      <c r="EE670" s="59"/>
      <c r="EF670" s="59"/>
      <c r="EG670" s="59"/>
      <c r="EH670" s="59"/>
      <c r="EI670" s="59"/>
      <c r="EJ670" s="59"/>
      <c r="EK670" s="59"/>
      <c r="EL670" s="59"/>
      <c r="EM670" s="59"/>
      <c r="EN670" s="59"/>
      <c r="EO670" s="59"/>
      <c r="EP670" s="59"/>
      <c r="EQ670" s="59"/>
      <c r="ER670" s="59"/>
      <c r="ES670" s="59"/>
      <c r="ET670" s="59"/>
      <c r="EU670" s="59"/>
      <c r="EV670" s="59"/>
      <c r="EW670" s="59"/>
      <c r="EX670" s="59"/>
      <c r="EY670" s="59"/>
      <c r="EZ670" s="59"/>
      <c r="FA670" s="59"/>
      <c r="FB670" s="59"/>
      <c r="FC670" s="59"/>
      <c r="FD670" s="59"/>
      <c r="FE670" s="59"/>
      <c r="FF670" s="59"/>
      <c r="FG670" s="59"/>
      <c r="FH670" s="59"/>
      <c r="FI670" s="59"/>
      <c r="FJ670" s="59"/>
      <c r="FK670" s="59"/>
      <c r="FL670" s="59"/>
      <c r="FM670" s="59"/>
      <c r="FN670" s="59"/>
      <c r="FO670" s="59"/>
      <c r="FP670" s="59"/>
      <c r="FQ670" s="59"/>
      <c r="FR670" s="59"/>
      <c r="FS670" s="59"/>
      <c r="FT670" s="59"/>
      <c r="FU670" s="59"/>
      <c r="FV670" s="59"/>
      <c r="FW670" s="59"/>
      <c r="FX670" s="59"/>
      <c r="FY670" s="59"/>
      <c r="FZ670" s="59"/>
      <c r="GA670" s="59"/>
      <c r="GB670" s="59"/>
      <c r="GC670" s="59"/>
      <c r="GD670" s="59"/>
      <c r="GE670" s="59"/>
      <c r="GF670" s="59"/>
      <c r="GG670" s="59"/>
      <c r="GH670" s="59"/>
      <c r="GI670" s="59"/>
      <c r="GJ670" s="59"/>
      <c r="GK670" s="59"/>
      <c r="GL670" s="59"/>
      <c r="GM670" s="59"/>
      <c r="GN670" s="59"/>
      <c r="GO670" s="59"/>
      <c r="GP670" s="59"/>
      <c r="GQ670" s="59"/>
      <c r="GR670" s="59"/>
      <c r="GS670" s="59"/>
      <c r="GT670" s="59"/>
      <c r="GU670" s="59"/>
      <c r="GV670" s="59"/>
      <c r="GW670" s="59"/>
      <c r="GX670" s="59"/>
      <c r="GY670" s="59"/>
      <c r="GZ670" s="59"/>
      <c r="HA670" s="59"/>
      <c r="HB670" s="59"/>
      <c r="HC670" s="59"/>
      <c r="HD670" s="59"/>
      <c r="HE670" s="59"/>
      <c r="HF670" s="59"/>
      <c r="HG670" s="59"/>
      <c r="HH670" s="59"/>
      <c r="HI670" s="59"/>
    </row>
    <row r="671" spans="1:217" s="62" customFormat="1" ht="12.75">
      <c r="A671" s="152" t="s">
        <v>189</v>
      </c>
      <c r="B671" s="152"/>
      <c r="C671" s="152"/>
      <c r="D671" s="226"/>
      <c r="E671" s="226"/>
      <c r="F671" s="227"/>
      <c r="G671" s="226"/>
      <c r="H671" s="226"/>
      <c r="I671" s="226"/>
      <c r="J671" s="227"/>
      <c r="K671" s="227"/>
      <c r="L671" s="226"/>
      <c r="M671" s="226"/>
      <c r="N671" s="226"/>
      <c r="O671" s="226"/>
      <c r="P671" s="227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  <c r="CH671" s="43"/>
      <c r="CI671" s="43"/>
      <c r="CJ671" s="43"/>
      <c r="CK671" s="43"/>
      <c r="CL671" s="43"/>
      <c r="CM671" s="43"/>
      <c r="CN671" s="43"/>
      <c r="CO671" s="43"/>
      <c r="CP671" s="43"/>
      <c r="CQ671" s="43"/>
      <c r="CR671" s="43"/>
      <c r="CS671" s="43"/>
      <c r="CT671" s="43"/>
      <c r="CU671" s="43"/>
      <c r="CV671" s="43"/>
      <c r="CW671" s="43"/>
      <c r="CX671" s="43"/>
      <c r="CY671" s="43"/>
      <c r="CZ671" s="43"/>
      <c r="DA671" s="43"/>
      <c r="DB671" s="43"/>
      <c r="DC671" s="43"/>
      <c r="DD671" s="43"/>
      <c r="DE671" s="43"/>
      <c r="DF671" s="43"/>
      <c r="DG671" s="43"/>
      <c r="DH671" s="43"/>
      <c r="DI671" s="43"/>
      <c r="DJ671" s="43"/>
      <c r="DK671" s="43"/>
      <c r="DL671" s="43"/>
      <c r="DM671" s="43"/>
      <c r="DN671" s="43"/>
      <c r="DO671" s="43"/>
      <c r="DP671" s="43"/>
      <c r="DQ671" s="43"/>
      <c r="DR671" s="43"/>
      <c r="DS671" s="43"/>
      <c r="DT671" s="43"/>
      <c r="DU671" s="43"/>
      <c r="DV671" s="43"/>
      <c r="DW671" s="43"/>
      <c r="DX671" s="43"/>
      <c r="DY671" s="43"/>
      <c r="DZ671" s="43"/>
      <c r="EA671" s="43"/>
      <c r="EB671" s="43"/>
      <c r="EC671" s="43"/>
      <c r="ED671" s="43"/>
      <c r="EE671" s="43"/>
      <c r="EF671" s="43"/>
      <c r="EG671" s="43"/>
      <c r="EH671" s="43"/>
      <c r="EI671" s="43"/>
      <c r="EJ671" s="43"/>
      <c r="EK671" s="43"/>
      <c r="EL671" s="43"/>
      <c r="EM671" s="43"/>
      <c r="EN671" s="43"/>
      <c r="EO671" s="43"/>
      <c r="EP671" s="43"/>
      <c r="EQ671" s="43"/>
      <c r="ER671" s="43"/>
      <c r="ES671" s="43"/>
      <c r="ET671" s="43"/>
      <c r="EU671" s="43"/>
      <c r="EV671" s="43"/>
      <c r="EW671" s="43"/>
      <c r="EX671" s="43"/>
      <c r="EY671" s="43"/>
      <c r="EZ671" s="43"/>
      <c r="FA671" s="43"/>
      <c r="FB671" s="43"/>
      <c r="FC671" s="43"/>
      <c r="FD671" s="43"/>
      <c r="FE671" s="43"/>
      <c r="FF671" s="43"/>
      <c r="FG671" s="43"/>
      <c r="FH671" s="43"/>
      <c r="FI671" s="43"/>
      <c r="FJ671" s="43"/>
      <c r="FK671" s="43"/>
      <c r="FL671" s="43"/>
      <c r="FM671" s="43"/>
      <c r="FN671" s="43"/>
      <c r="FO671" s="43"/>
      <c r="FP671" s="43"/>
      <c r="FQ671" s="43"/>
      <c r="FR671" s="43"/>
      <c r="FS671" s="43"/>
      <c r="FT671" s="43"/>
      <c r="FU671" s="43"/>
      <c r="FV671" s="43"/>
      <c r="FW671" s="43"/>
      <c r="FX671" s="43"/>
      <c r="FY671" s="43"/>
      <c r="FZ671" s="43"/>
      <c r="GA671" s="43"/>
      <c r="GB671" s="43"/>
      <c r="GC671" s="43"/>
      <c r="GD671" s="43"/>
      <c r="GE671" s="43"/>
      <c r="GF671" s="43"/>
      <c r="GG671" s="43"/>
      <c r="GH671" s="43"/>
      <c r="GI671" s="43"/>
      <c r="GJ671" s="43"/>
      <c r="GK671" s="43"/>
      <c r="GL671" s="43"/>
      <c r="GM671" s="43"/>
      <c r="GN671" s="43"/>
      <c r="GO671" s="43"/>
      <c r="GP671" s="43"/>
      <c r="GQ671" s="43"/>
      <c r="GR671" s="43"/>
      <c r="GS671" s="43"/>
      <c r="GT671" s="43"/>
      <c r="GU671" s="43"/>
      <c r="GV671" s="43"/>
      <c r="GW671" s="43"/>
      <c r="GX671" s="43"/>
      <c r="GY671" s="43"/>
      <c r="GZ671" s="43"/>
      <c r="HA671" s="43"/>
      <c r="HB671" s="43"/>
      <c r="HC671" s="43"/>
      <c r="HD671" s="43"/>
      <c r="HE671" s="43"/>
      <c r="HF671" s="43"/>
      <c r="HG671" s="43"/>
      <c r="HH671" s="43"/>
      <c r="HI671" s="43"/>
    </row>
    <row r="672" spans="1:217" s="62" customFormat="1" ht="25.5">
      <c r="A672" s="148" t="s">
        <v>324</v>
      </c>
      <c r="B672" s="97"/>
      <c r="C672" s="97"/>
      <c r="D672" s="232">
        <v>30</v>
      </c>
      <c r="E672" s="233"/>
      <c r="F672" s="232">
        <v>30</v>
      </c>
      <c r="G672" s="232">
        <v>30</v>
      </c>
      <c r="H672" s="233"/>
      <c r="I672" s="233"/>
      <c r="J672" s="232">
        <v>30</v>
      </c>
      <c r="K672" s="233"/>
      <c r="L672" s="233"/>
      <c r="M672" s="233"/>
      <c r="N672" s="232">
        <v>30</v>
      </c>
      <c r="O672" s="233"/>
      <c r="P672" s="232">
        <v>30</v>
      </c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  <c r="CH672" s="43"/>
      <c r="CI672" s="43"/>
      <c r="CJ672" s="43"/>
      <c r="CK672" s="43"/>
      <c r="CL672" s="43"/>
      <c r="CM672" s="43"/>
      <c r="CN672" s="43"/>
      <c r="CO672" s="43"/>
      <c r="CP672" s="43"/>
      <c r="CQ672" s="43"/>
      <c r="CR672" s="43"/>
      <c r="CS672" s="43"/>
      <c r="CT672" s="43"/>
      <c r="CU672" s="43"/>
      <c r="CV672" s="43"/>
      <c r="CW672" s="43"/>
      <c r="CX672" s="43"/>
      <c r="CY672" s="43"/>
      <c r="CZ672" s="43"/>
      <c r="DA672" s="43"/>
      <c r="DB672" s="43"/>
      <c r="DC672" s="43"/>
      <c r="DD672" s="43"/>
      <c r="DE672" s="43"/>
      <c r="DF672" s="43"/>
      <c r="DG672" s="43"/>
      <c r="DH672" s="43"/>
      <c r="DI672" s="43"/>
      <c r="DJ672" s="43"/>
      <c r="DK672" s="43"/>
      <c r="DL672" s="43"/>
      <c r="DM672" s="43"/>
      <c r="DN672" s="43"/>
      <c r="DO672" s="43"/>
      <c r="DP672" s="43"/>
      <c r="DQ672" s="43"/>
      <c r="DR672" s="43"/>
      <c r="DS672" s="43"/>
      <c r="DT672" s="43"/>
      <c r="DU672" s="43"/>
      <c r="DV672" s="43"/>
      <c r="DW672" s="43"/>
      <c r="DX672" s="43"/>
      <c r="DY672" s="43"/>
      <c r="DZ672" s="43"/>
      <c r="EA672" s="43"/>
      <c r="EB672" s="43"/>
      <c r="EC672" s="43"/>
      <c r="ED672" s="43"/>
      <c r="EE672" s="43"/>
      <c r="EF672" s="43"/>
      <c r="EG672" s="43"/>
      <c r="EH672" s="43"/>
      <c r="EI672" s="43"/>
      <c r="EJ672" s="43"/>
      <c r="EK672" s="43"/>
      <c r="EL672" s="43"/>
      <c r="EM672" s="43"/>
      <c r="EN672" s="43"/>
      <c r="EO672" s="43"/>
      <c r="EP672" s="43"/>
      <c r="EQ672" s="43"/>
      <c r="ER672" s="43"/>
      <c r="ES672" s="43"/>
      <c r="ET672" s="43"/>
      <c r="EU672" s="43"/>
      <c r="EV672" s="43"/>
      <c r="EW672" s="43"/>
      <c r="EX672" s="43"/>
      <c r="EY672" s="43"/>
      <c r="EZ672" s="43"/>
      <c r="FA672" s="43"/>
      <c r="FB672" s="43"/>
      <c r="FC672" s="43"/>
      <c r="FD672" s="43"/>
      <c r="FE672" s="43"/>
      <c r="FF672" s="43"/>
      <c r="FG672" s="43"/>
      <c r="FH672" s="43"/>
      <c r="FI672" s="43"/>
      <c r="FJ672" s="43"/>
      <c r="FK672" s="43"/>
      <c r="FL672" s="43"/>
      <c r="FM672" s="43"/>
      <c r="FN672" s="43"/>
      <c r="FO672" s="43"/>
      <c r="FP672" s="43"/>
      <c r="FQ672" s="43"/>
      <c r="FR672" s="43"/>
      <c r="FS672" s="43"/>
      <c r="FT672" s="43"/>
      <c r="FU672" s="43"/>
      <c r="FV672" s="43"/>
      <c r="FW672" s="43"/>
      <c r="FX672" s="43"/>
      <c r="FY672" s="43"/>
      <c r="FZ672" s="43"/>
      <c r="GA672" s="43"/>
      <c r="GB672" s="43"/>
      <c r="GC672" s="43"/>
      <c r="GD672" s="43"/>
      <c r="GE672" s="43"/>
      <c r="GF672" s="43"/>
      <c r="GG672" s="43"/>
      <c r="GH672" s="43"/>
      <c r="GI672" s="43"/>
      <c r="GJ672" s="43"/>
      <c r="GK672" s="43"/>
      <c r="GL672" s="43"/>
      <c r="GM672" s="43"/>
      <c r="GN672" s="43"/>
      <c r="GO672" s="43"/>
      <c r="GP672" s="43"/>
      <c r="GQ672" s="43"/>
      <c r="GR672" s="43"/>
      <c r="GS672" s="43"/>
      <c r="GT672" s="43"/>
      <c r="GU672" s="43"/>
      <c r="GV672" s="43"/>
      <c r="GW672" s="43"/>
      <c r="GX672" s="43"/>
      <c r="GY672" s="43"/>
      <c r="GZ672" s="43"/>
      <c r="HA672" s="43"/>
      <c r="HB672" s="43"/>
      <c r="HC672" s="43"/>
      <c r="HD672" s="43"/>
      <c r="HE672" s="43"/>
      <c r="HF672" s="43"/>
      <c r="HG672" s="43"/>
      <c r="HH672" s="43"/>
      <c r="HI672" s="43"/>
    </row>
    <row r="673" spans="1:217" s="62" customFormat="1" ht="27.75" customHeight="1">
      <c r="A673" s="148" t="s">
        <v>325</v>
      </c>
      <c r="B673" s="97"/>
      <c r="C673" s="97"/>
      <c r="D673" s="232">
        <v>30</v>
      </c>
      <c r="E673" s="233"/>
      <c r="F673" s="232">
        <v>30</v>
      </c>
      <c r="G673" s="232">
        <v>30</v>
      </c>
      <c r="H673" s="233"/>
      <c r="I673" s="233"/>
      <c r="J673" s="232">
        <v>30</v>
      </c>
      <c r="K673" s="233"/>
      <c r="L673" s="233"/>
      <c r="M673" s="233"/>
      <c r="N673" s="232">
        <v>30</v>
      </c>
      <c r="O673" s="233"/>
      <c r="P673" s="232">
        <v>30</v>
      </c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  <c r="CH673" s="43"/>
      <c r="CI673" s="43"/>
      <c r="CJ673" s="43"/>
      <c r="CK673" s="43"/>
      <c r="CL673" s="43"/>
      <c r="CM673" s="43"/>
      <c r="CN673" s="43"/>
      <c r="CO673" s="43"/>
      <c r="CP673" s="43"/>
      <c r="CQ673" s="43"/>
      <c r="CR673" s="43"/>
      <c r="CS673" s="43"/>
      <c r="CT673" s="43"/>
      <c r="CU673" s="43"/>
      <c r="CV673" s="43"/>
      <c r="CW673" s="43"/>
      <c r="CX673" s="43"/>
      <c r="CY673" s="43"/>
      <c r="CZ673" s="43"/>
      <c r="DA673" s="43"/>
      <c r="DB673" s="43"/>
      <c r="DC673" s="43"/>
      <c r="DD673" s="43"/>
      <c r="DE673" s="43"/>
      <c r="DF673" s="43"/>
      <c r="DG673" s="43"/>
      <c r="DH673" s="43"/>
      <c r="DI673" s="43"/>
      <c r="DJ673" s="43"/>
      <c r="DK673" s="43"/>
      <c r="DL673" s="43"/>
      <c r="DM673" s="43"/>
      <c r="DN673" s="43"/>
      <c r="DO673" s="43"/>
      <c r="DP673" s="43"/>
      <c r="DQ673" s="43"/>
      <c r="DR673" s="43"/>
      <c r="DS673" s="43"/>
      <c r="DT673" s="43"/>
      <c r="DU673" s="43"/>
      <c r="DV673" s="43"/>
      <c r="DW673" s="43"/>
      <c r="DX673" s="43"/>
      <c r="DY673" s="43"/>
      <c r="DZ673" s="43"/>
      <c r="EA673" s="43"/>
      <c r="EB673" s="43"/>
      <c r="EC673" s="43"/>
      <c r="ED673" s="43"/>
      <c r="EE673" s="43"/>
      <c r="EF673" s="43"/>
      <c r="EG673" s="43"/>
      <c r="EH673" s="43"/>
      <c r="EI673" s="43"/>
      <c r="EJ673" s="43"/>
      <c r="EK673" s="43"/>
      <c r="EL673" s="43"/>
      <c r="EM673" s="43"/>
      <c r="EN673" s="43"/>
      <c r="EO673" s="43"/>
      <c r="EP673" s="43"/>
      <c r="EQ673" s="43"/>
      <c r="ER673" s="43"/>
      <c r="ES673" s="43"/>
      <c r="ET673" s="43"/>
      <c r="EU673" s="43"/>
      <c r="EV673" s="43"/>
      <c r="EW673" s="43"/>
      <c r="EX673" s="43"/>
      <c r="EY673" s="43"/>
      <c r="EZ673" s="43"/>
      <c r="FA673" s="43"/>
      <c r="FB673" s="43"/>
      <c r="FC673" s="43"/>
      <c r="FD673" s="43"/>
      <c r="FE673" s="43"/>
      <c r="FF673" s="43"/>
      <c r="FG673" s="43"/>
      <c r="FH673" s="43"/>
      <c r="FI673" s="43"/>
      <c r="FJ673" s="43"/>
      <c r="FK673" s="43"/>
      <c r="FL673" s="43"/>
      <c r="FM673" s="43"/>
      <c r="FN673" s="43"/>
      <c r="FO673" s="43"/>
      <c r="FP673" s="43"/>
      <c r="FQ673" s="43"/>
      <c r="FR673" s="43"/>
      <c r="FS673" s="43"/>
      <c r="FT673" s="43"/>
      <c r="FU673" s="43"/>
      <c r="FV673" s="43"/>
      <c r="FW673" s="43"/>
      <c r="FX673" s="43"/>
      <c r="FY673" s="43"/>
      <c r="FZ673" s="43"/>
      <c r="GA673" s="43"/>
      <c r="GB673" s="43"/>
      <c r="GC673" s="43"/>
      <c r="GD673" s="43"/>
      <c r="GE673" s="43"/>
      <c r="GF673" s="43"/>
      <c r="GG673" s="43"/>
      <c r="GH673" s="43"/>
      <c r="GI673" s="43"/>
      <c r="GJ673" s="43"/>
      <c r="GK673" s="43"/>
      <c r="GL673" s="43"/>
      <c r="GM673" s="43"/>
      <c r="GN673" s="43"/>
      <c r="GO673" s="43"/>
      <c r="GP673" s="43"/>
      <c r="GQ673" s="43"/>
      <c r="GR673" s="43"/>
      <c r="GS673" s="43"/>
      <c r="GT673" s="43"/>
      <c r="GU673" s="43"/>
      <c r="GV673" s="43"/>
      <c r="GW673" s="43"/>
      <c r="GX673" s="43"/>
      <c r="GY673" s="43"/>
      <c r="GZ673" s="43"/>
      <c r="HA673" s="43"/>
      <c r="HB673" s="43"/>
      <c r="HC673" s="43"/>
      <c r="HD673" s="43"/>
      <c r="HE673" s="43"/>
      <c r="HF673" s="43"/>
      <c r="HG673" s="43"/>
      <c r="HH673" s="43"/>
      <c r="HI673" s="43"/>
    </row>
    <row r="674" spans="1:217" s="62" customFormat="1" ht="25.5">
      <c r="A674" s="148" t="s">
        <v>378</v>
      </c>
      <c r="B674" s="97"/>
      <c r="C674" s="97"/>
      <c r="D674" s="232">
        <v>30</v>
      </c>
      <c r="E674" s="233"/>
      <c r="F674" s="232">
        <v>30</v>
      </c>
      <c r="G674" s="232">
        <v>30</v>
      </c>
      <c r="H674" s="233"/>
      <c r="I674" s="233"/>
      <c r="J674" s="232">
        <v>30</v>
      </c>
      <c r="K674" s="233"/>
      <c r="L674" s="233"/>
      <c r="M674" s="233"/>
      <c r="N674" s="232">
        <v>30</v>
      </c>
      <c r="O674" s="233"/>
      <c r="P674" s="232">
        <v>30</v>
      </c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  <c r="CH674" s="43"/>
      <c r="CI674" s="43"/>
      <c r="CJ674" s="43"/>
      <c r="CK674" s="43"/>
      <c r="CL674" s="43"/>
      <c r="CM674" s="43"/>
      <c r="CN674" s="43"/>
      <c r="CO674" s="43"/>
      <c r="CP674" s="43"/>
      <c r="CQ674" s="43"/>
      <c r="CR674" s="43"/>
      <c r="CS674" s="43"/>
      <c r="CT674" s="43"/>
      <c r="CU674" s="43"/>
      <c r="CV674" s="43"/>
      <c r="CW674" s="43"/>
      <c r="CX674" s="43"/>
      <c r="CY674" s="43"/>
      <c r="CZ674" s="43"/>
      <c r="DA674" s="43"/>
      <c r="DB674" s="43"/>
      <c r="DC674" s="43"/>
      <c r="DD674" s="43"/>
      <c r="DE674" s="43"/>
      <c r="DF674" s="43"/>
      <c r="DG674" s="43"/>
      <c r="DH674" s="43"/>
      <c r="DI674" s="43"/>
      <c r="DJ674" s="43"/>
      <c r="DK674" s="43"/>
      <c r="DL674" s="43"/>
      <c r="DM674" s="43"/>
      <c r="DN674" s="43"/>
      <c r="DO674" s="43"/>
      <c r="DP674" s="43"/>
      <c r="DQ674" s="43"/>
      <c r="DR674" s="43"/>
      <c r="DS674" s="43"/>
      <c r="DT674" s="43"/>
      <c r="DU674" s="43"/>
      <c r="DV674" s="43"/>
      <c r="DW674" s="43"/>
      <c r="DX674" s="43"/>
      <c r="DY674" s="43"/>
      <c r="DZ674" s="43"/>
      <c r="EA674" s="43"/>
      <c r="EB674" s="43"/>
      <c r="EC674" s="43"/>
      <c r="ED674" s="43"/>
      <c r="EE674" s="43"/>
      <c r="EF674" s="43"/>
      <c r="EG674" s="43"/>
      <c r="EH674" s="43"/>
      <c r="EI674" s="43"/>
      <c r="EJ674" s="43"/>
      <c r="EK674" s="43"/>
      <c r="EL674" s="43"/>
      <c r="EM674" s="43"/>
      <c r="EN674" s="43"/>
      <c r="EO674" s="43"/>
      <c r="EP674" s="43"/>
      <c r="EQ674" s="43"/>
      <c r="ER674" s="43"/>
      <c r="ES674" s="43"/>
      <c r="ET674" s="43"/>
      <c r="EU674" s="43"/>
      <c r="EV674" s="43"/>
      <c r="EW674" s="43"/>
      <c r="EX674" s="43"/>
      <c r="EY674" s="43"/>
      <c r="EZ674" s="43"/>
      <c r="FA674" s="43"/>
      <c r="FB674" s="43"/>
      <c r="FC674" s="43"/>
      <c r="FD674" s="43"/>
      <c r="FE674" s="43"/>
      <c r="FF674" s="43"/>
      <c r="FG674" s="43"/>
      <c r="FH674" s="43"/>
      <c r="FI674" s="43"/>
      <c r="FJ674" s="43"/>
      <c r="FK674" s="43"/>
      <c r="FL674" s="43"/>
      <c r="FM674" s="43"/>
      <c r="FN674" s="43"/>
      <c r="FO674" s="43"/>
      <c r="FP674" s="43"/>
      <c r="FQ674" s="43"/>
      <c r="FR674" s="43"/>
      <c r="FS674" s="43"/>
      <c r="FT674" s="43"/>
      <c r="FU674" s="43"/>
      <c r="FV674" s="43"/>
      <c r="FW674" s="43"/>
      <c r="FX674" s="43"/>
      <c r="FY674" s="43"/>
      <c r="FZ674" s="43"/>
      <c r="GA674" s="43"/>
      <c r="GB674" s="43"/>
      <c r="GC674" s="43"/>
      <c r="GD674" s="43"/>
      <c r="GE674" s="43"/>
      <c r="GF674" s="43"/>
      <c r="GG674" s="43"/>
      <c r="GH674" s="43"/>
      <c r="GI674" s="43"/>
      <c r="GJ674" s="43"/>
      <c r="GK674" s="43"/>
      <c r="GL674" s="43"/>
      <c r="GM674" s="43"/>
      <c r="GN674" s="43"/>
      <c r="GO674" s="43"/>
      <c r="GP674" s="43"/>
      <c r="GQ674" s="43"/>
      <c r="GR674" s="43"/>
      <c r="GS674" s="43"/>
      <c r="GT674" s="43"/>
      <c r="GU674" s="43"/>
      <c r="GV674" s="43"/>
      <c r="GW674" s="43"/>
      <c r="GX674" s="43"/>
      <c r="GY674" s="43"/>
      <c r="GZ674" s="43"/>
      <c r="HA674" s="43"/>
      <c r="HB674" s="43"/>
      <c r="HC674" s="43"/>
      <c r="HD674" s="43"/>
      <c r="HE674" s="43"/>
      <c r="HF674" s="43"/>
      <c r="HG674" s="43"/>
      <c r="HH674" s="43"/>
      <c r="HI674" s="43"/>
    </row>
    <row r="675" spans="1:217" s="62" customFormat="1" ht="25.5">
      <c r="A675" s="148" t="s">
        <v>379</v>
      </c>
      <c r="B675" s="97"/>
      <c r="C675" s="97"/>
      <c r="D675" s="232">
        <v>90</v>
      </c>
      <c r="E675" s="232"/>
      <c r="F675" s="232">
        <v>90</v>
      </c>
      <c r="G675" s="232">
        <v>90</v>
      </c>
      <c r="H675" s="232"/>
      <c r="I675" s="232"/>
      <c r="J675" s="232">
        <v>90</v>
      </c>
      <c r="K675" s="232"/>
      <c r="L675" s="232"/>
      <c r="M675" s="232"/>
      <c r="N675" s="232">
        <v>90</v>
      </c>
      <c r="O675" s="232"/>
      <c r="P675" s="232">
        <v>90</v>
      </c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  <c r="CH675" s="43"/>
      <c r="CI675" s="43"/>
      <c r="CJ675" s="43"/>
      <c r="CK675" s="43"/>
      <c r="CL675" s="43"/>
      <c r="CM675" s="43"/>
      <c r="CN675" s="43"/>
      <c r="CO675" s="43"/>
      <c r="CP675" s="43"/>
      <c r="CQ675" s="43"/>
      <c r="CR675" s="43"/>
      <c r="CS675" s="43"/>
      <c r="CT675" s="43"/>
      <c r="CU675" s="43"/>
      <c r="CV675" s="43"/>
      <c r="CW675" s="43"/>
      <c r="CX675" s="43"/>
      <c r="CY675" s="43"/>
      <c r="CZ675" s="43"/>
      <c r="DA675" s="43"/>
      <c r="DB675" s="43"/>
      <c r="DC675" s="43"/>
      <c r="DD675" s="43"/>
      <c r="DE675" s="43"/>
      <c r="DF675" s="43"/>
      <c r="DG675" s="43"/>
      <c r="DH675" s="43"/>
      <c r="DI675" s="43"/>
      <c r="DJ675" s="43"/>
      <c r="DK675" s="43"/>
      <c r="DL675" s="43"/>
      <c r="DM675" s="43"/>
      <c r="DN675" s="43"/>
      <c r="DO675" s="43"/>
      <c r="DP675" s="43"/>
      <c r="DQ675" s="43"/>
      <c r="DR675" s="43"/>
      <c r="DS675" s="43"/>
      <c r="DT675" s="43"/>
      <c r="DU675" s="43"/>
      <c r="DV675" s="43"/>
      <c r="DW675" s="43"/>
      <c r="DX675" s="43"/>
      <c r="DY675" s="43"/>
      <c r="DZ675" s="43"/>
      <c r="EA675" s="43"/>
      <c r="EB675" s="43"/>
      <c r="EC675" s="43"/>
      <c r="ED675" s="43"/>
      <c r="EE675" s="43"/>
      <c r="EF675" s="43"/>
      <c r="EG675" s="43"/>
      <c r="EH675" s="43"/>
      <c r="EI675" s="43"/>
      <c r="EJ675" s="43"/>
      <c r="EK675" s="43"/>
      <c r="EL675" s="43"/>
      <c r="EM675" s="43"/>
      <c r="EN675" s="43"/>
      <c r="EO675" s="43"/>
      <c r="EP675" s="43"/>
      <c r="EQ675" s="43"/>
      <c r="ER675" s="43"/>
      <c r="ES675" s="43"/>
      <c r="ET675" s="43"/>
      <c r="EU675" s="43"/>
      <c r="EV675" s="43"/>
      <c r="EW675" s="43"/>
      <c r="EX675" s="43"/>
      <c r="EY675" s="43"/>
      <c r="EZ675" s="43"/>
      <c r="FA675" s="43"/>
      <c r="FB675" s="43"/>
      <c r="FC675" s="43"/>
      <c r="FD675" s="43"/>
      <c r="FE675" s="43"/>
      <c r="FF675" s="43"/>
      <c r="FG675" s="43"/>
      <c r="FH675" s="43"/>
      <c r="FI675" s="43"/>
      <c r="FJ675" s="43"/>
      <c r="FK675" s="43"/>
      <c r="FL675" s="43"/>
      <c r="FM675" s="43"/>
      <c r="FN675" s="43"/>
      <c r="FO675" s="43"/>
      <c r="FP675" s="43"/>
      <c r="FQ675" s="43"/>
      <c r="FR675" s="43"/>
      <c r="FS675" s="43"/>
      <c r="FT675" s="43"/>
      <c r="FU675" s="43"/>
      <c r="FV675" s="43"/>
      <c r="FW675" s="43"/>
      <c r="FX675" s="43"/>
      <c r="FY675" s="43"/>
      <c r="FZ675" s="43"/>
      <c r="GA675" s="43"/>
      <c r="GB675" s="43"/>
      <c r="GC675" s="43"/>
      <c r="GD675" s="43"/>
      <c r="GE675" s="43"/>
      <c r="GF675" s="43"/>
      <c r="GG675" s="43"/>
      <c r="GH675" s="43"/>
      <c r="GI675" s="43"/>
      <c r="GJ675" s="43"/>
      <c r="GK675" s="43"/>
      <c r="GL675" s="43"/>
      <c r="GM675" s="43"/>
      <c r="GN675" s="43"/>
      <c r="GO675" s="43"/>
      <c r="GP675" s="43"/>
      <c r="GQ675" s="43"/>
      <c r="GR675" s="43"/>
      <c r="GS675" s="43"/>
      <c r="GT675" s="43"/>
      <c r="GU675" s="43"/>
      <c r="GV675" s="43"/>
      <c r="GW675" s="43"/>
      <c r="GX675" s="43"/>
      <c r="GY675" s="43"/>
      <c r="GZ675" s="43"/>
      <c r="HA675" s="43"/>
      <c r="HB675" s="43"/>
      <c r="HC675" s="43"/>
      <c r="HD675" s="43"/>
      <c r="HE675" s="43"/>
      <c r="HF675" s="43"/>
      <c r="HG675" s="43"/>
      <c r="HH675" s="43"/>
      <c r="HI675" s="43"/>
    </row>
    <row r="676" spans="1:217" s="62" customFormat="1" ht="12.75">
      <c r="A676" s="148" t="s">
        <v>380</v>
      </c>
      <c r="B676" s="97"/>
      <c r="C676" s="97"/>
      <c r="D676" s="232">
        <v>12</v>
      </c>
      <c r="E676" s="232"/>
      <c r="F676" s="232">
        <f>D676</f>
        <v>12</v>
      </c>
      <c r="G676" s="232">
        <v>12</v>
      </c>
      <c r="H676" s="233"/>
      <c r="I676" s="233"/>
      <c r="J676" s="232">
        <v>12</v>
      </c>
      <c r="K676" s="233"/>
      <c r="L676" s="233"/>
      <c r="M676" s="233"/>
      <c r="N676" s="232">
        <v>12</v>
      </c>
      <c r="O676" s="233"/>
      <c r="P676" s="232">
        <v>12</v>
      </c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  <c r="CH676" s="43"/>
      <c r="CI676" s="43"/>
      <c r="CJ676" s="43"/>
      <c r="CK676" s="43"/>
      <c r="CL676" s="43"/>
      <c r="CM676" s="43"/>
      <c r="CN676" s="43"/>
      <c r="CO676" s="43"/>
      <c r="CP676" s="43"/>
      <c r="CQ676" s="43"/>
      <c r="CR676" s="43"/>
      <c r="CS676" s="43"/>
      <c r="CT676" s="43"/>
      <c r="CU676" s="43"/>
      <c r="CV676" s="43"/>
      <c r="CW676" s="43"/>
      <c r="CX676" s="43"/>
      <c r="CY676" s="43"/>
      <c r="CZ676" s="43"/>
      <c r="DA676" s="43"/>
      <c r="DB676" s="43"/>
      <c r="DC676" s="43"/>
      <c r="DD676" s="43"/>
      <c r="DE676" s="43"/>
      <c r="DF676" s="43"/>
      <c r="DG676" s="43"/>
      <c r="DH676" s="43"/>
      <c r="DI676" s="43"/>
      <c r="DJ676" s="43"/>
      <c r="DK676" s="43"/>
      <c r="DL676" s="43"/>
      <c r="DM676" s="43"/>
      <c r="DN676" s="43"/>
      <c r="DO676" s="43"/>
      <c r="DP676" s="43"/>
      <c r="DQ676" s="43"/>
      <c r="DR676" s="43"/>
      <c r="DS676" s="43"/>
      <c r="DT676" s="43"/>
      <c r="DU676" s="43"/>
      <c r="DV676" s="43"/>
      <c r="DW676" s="43"/>
      <c r="DX676" s="43"/>
      <c r="DY676" s="43"/>
      <c r="DZ676" s="43"/>
      <c r="EA676" s="43"/>
      <c r="EB676" s="43"/>
      <c r="EC676" s="43"/>
      <c r="ED676" s="43"/>
      <c r="EE676" s="43"/>
      <c r="EF676" s="43"/>
      <c r="EG676" s="43"/>
      <c r="EH676" s="43"/>
      <c r="EI676" s="43"/>
      <c r="EJ676" s="43"/>
      <c r="EK676" s="43"/>
      <c r="EL676" s="43"/>
      <c r="EM676" s="43"/>
      <c r="EN676" s="43"/>
      <c r="EO676" s="43"/>
      <c r="EP676" s="43"/>
      <c r="EQ676" s="43"/>
      <c r="ER676" s="43"/>
      <c r="ES676" s="43"/>
      <c r="ET676" s="43"/>
      <c r="EU676" s="43"/>
      <c r="EV676" s="43"/>
      <c r="EW676" s="43"/>
      <c r="EX676" s="43"/>
      <c r="EY676" s="43"/>
      <c r="EZ676" s="43"/>
      <c r="FA676" s="43"/>
      <c r="FB676" s="43"/>
      <c r="FC676" s="43"/>
      <c r="FD676" s="43"/>
      <c r="FE676" s="43"/>
      <c r="FF676" s="43"/>
      <c r="FG676" s="43"/>
      <c r="FH676" s="43"/>
      <c r="FI676" s="43"/>
      <c r="FJ676" s="43"/>
      <c r="FK676" s="43"/>
      <c r="FL676" s="43"/>
      <c r="FM676" s="43"/>
      <c r="FN676" s="43"/>
      <c r="FO676" s="43"/>
      <c r="FP676" s="43"/>
      <c r="FQ676" s="43"/>
      <c r="FR676" s="43"/>
      <c r="FS676" s="43"/>
      <c r="FT676" s="43"/>
      <c r="FU676" s="43"/>
      <c r="FV676" s="43"/>
      <c r="FW676" s="43"/>
      <c r="FX676" s="43"/>
      <c r="FY676" s="43"/>
      <c r="FZ676" s="43"/>
      <c r="GA676" s="43"/>
      <c r="GB676" s="43"/>
      <c r="GC676" s="43"/>
      <c r="GD676" s="43"/>
      <c r="GE676" s="43"/>
      <c r="GF676" s="43"/>
      <c r="GG676" s="43"/>
      <c r="GH676" s="43"/>
      <c r="GI676" s="43"/>
      <c r="GJ676" s="43"/>
      <c r="GK676" s="43"/>
      <c r="GL676" s="43"/>
      <c r="GM676" s="43"/>
      <c r="GN676" s="43"/>
      <c r="GO676" s="43"/>
      <c r="GP676" s="43"/>
      <c r="GQ676" s="43"/>
      <c r="GR676" s="43"/>
      <c r="GS676" s="43"/>
      <c r="GT676" s="43"/>
      <c r="GU676" s="43"/>
      <c r="GV676" s="43"/>
      <c r="GW676" s="43"/>
      <c r="GX676" s="43"/>
      <c r="GY676" s="43"/>
      <c r="GZ676" s="43"/>
      <c r="HA676" s="43"/>
      <c r="HB676" s="43"/>
      <c r="HC676" s="43"/>
      <c r="HD676" s="43"/>
      <c r="HE676" s="43"/>
      <c r="HF676" s="43"/>
      <c r="HG676" s="43"/>
      <c r="HH676" s="43"/>
      <c r="HI676" s="43"/>
    </row>
    <row r="677" spans="1:217" s="62" customFormat="1" ht="12.75">
      <c r="A677" s="148" t="s">
        <v>381</v>
      </c>
      <c r="B677" s="97"/>
      <c r="C677" s="97"/>
      <c r="D677" s="232">
        <v>12</v>
      </c>
      <c r="E677" s="232"/>
      <c r="F677" s="232">
        <f>D677</f>
        <v>12</v>
      </c>
      <c r="G677" s="232">
        <v>12</v>
      </c>
      <c r="H677" s="232"/>
      <c r="I677" s="232"/>
      <c r="J677" s="232">
        <v>12</v>
      </c>
      <c r="K677" s="232"/>
      <c r="L677" s="232"/>
      <c r="M677" s="232"/>
      <c r="N677" s="232">
        <v>12</v>
      </c>
      <c r="O677" s="232"/>
      <c r="P677" s="232">
        <v>12</v>
      </c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  <c r="CH677" s="43"/>
      <c r="CI677" s="43"/>
      <c r="CJ677" s="43"/>
      <c r="CK677" s="43"/>
      <c r="CL677" s="43"/>
      <c r="CM677" s="43"/>
      <c r="CN677" s="43"/>
      <c r="CO677" s="43"/>
      <c r="CP677" s="43"/>
      <c r="CQ677" s="43"/>
      <c r="CR677" s="43"/>
      <c r="CS677" s="43"/>
      <c r="CT677" s="43"/>
      <c r="CU677" s="43"/>
      <c r="CV677" s="43"/>
      <c r="CW677" s="43"/>
      <c r="CX677" s="43"/>
      <c r="CY677" s="43"/>
      <c r="CZ677" s="43"/>
      <c r="DA677" s="43"/>
      <c r="DB677" s="43"/>
      <c r="DC677" s="43"/>
      <c r="DD677" s="43"/>
      <c r="DE677" s="43"/>
      <c r="DF677" s="43"/>
      <c r="DG677" s="43"/>
      <c r="DH677" s="43"/>
      <c r="DI677" s="43"/>
      <c r="DJ677" s="43"/>
      <c r="DK677" s="43"/>
      <c r="DL677" s="43"/>
      <c r="DM677" s="43"/>
      <c r="DN677" s="43"/>
      <c r="DO677" s="43"/>
      <c r="DP677" s="43"/>
      <c r="DQ677" s="43"/>
      <c r="DR677" s="43"/>
      <c r="DS677" s="43"/>
      <c r="DT677" s="43"/>
      <c r="DU677" s="43"/>
      <c r="DV677" s="43"/>
      <c r="DW677" s="43"/>
      <c r="DX677" s="43"/>
      <c r="DY677" s="43"/>
      <c r="DZ677" s="43"/>
      <c r="EA677" s="43"/>
      <c r="EB677" s="43"/>
      <c r="EC677" s="43"/>
      <c r="ED677" s="43"/>
      <c r="EE677" s="43"/>
      <c r="EF677" s="43"/>
      <c r="EG677" s="43"/>
      <c r="EH677" s="43"/>
      <c r="EI677" s="43"/>
      <c r="EJ677" s="43"/>
      <c r="EK677" s="43"/>
      <c r="EL677" s="43"/>
      <c r="EM677" s="43"/>
      <c r="EN677" s="43"/>
      <c r="EO677" s="43"/>
      <c r="EP677" s="43"/>
      <c r="EQ677" s="43"/>
      <c r="ER677" s="43"/>
      <c r="ES677" s="43"/>
      <c r="ET677" s="43"/>
      <c r="EU677" s="43"/>
      <c r="EV677" s="43"/>
      <c r="EW677" s="43"/>
      <c r="EX677" s="43"/>
      <c r="EY677" s="43"/>
      <c r="EZ677" s="43"/>
      <c r="FA677" s="43"/>
      <c r="FB677" s="43"/>
      <c r="FC677" s="43"/>
      <c r="FD677" s="43"/>
      <c r="FE677" s="43"/>
      <c r="FF677" s="43"/>
      <c r="FG677" s="43"/>
      <c r="FH677" s="43"/>
      <c r="FI677" s="43"/>
      <c r="FJ677" s="43"/>
      <c r="FK677" s="43"/>
      <c r="FL677" s="43"/>
      <c r="FM677" s="43"/>
      <c r="FN677" s="43"/>
      <c r="FO677" s="43"/>
      <c r="FP677" s="43"/>
      <c r="FQ677" s="43"/>
      <c r="FR677" s="43"/>
      <c r="FS677" s="43"/>
      <c r="FT677" s="43"/>
      <c r="FU677" s="43"/>
      <c r="FV677" s="43"/>
      <c r="FW677" s="43"/>
      <c r="FX677" s="43"/>
      <c r="FY677" s="43"/>
      <c r="FZ677" s="43"/>
      <c r="GA677" s="43"/>
      <c r="GB677" s="43"/>
      <c r="GC677" s="43"/>
      <c r="GD677" s="43"/>
      <c r="GE677" s="43"/>
      <c r="GF677" s="43"/>
      <c r="GG677" s="43"/>
      <c r="GH677" s="43"/>
      <c r="GI677" s="43"/>
      <c r="GJ677" s="43"/>
      <c r="GK677" s="43"/>
      <c r="GL677" s="43"/>
      <c r="GM677" s="43"/>
      <c r="GN677" s="43"/>
      <c r="GO677" s="43"/>
      <c r="GP677" s="43"/>
      <c r="GQ677" s="43"/>
      <c r="GR677" s="43"/>
      <c r="GS677" s="43"/>
      <c r="GT677" s="43"/>
      <c r="GU677" s="43"/>
      <c r="GV677" s="43"/>
      <c r="GW677" s="43"/>
      <c r="GX677" s="43"/>
      <c r="GY677" s="43"/>
      <c r="GZ677" s="43"/>
      <c r="HA677" s="43"/>
      <c r="HB677" s="43"/>
      <c r="HC677" s="43"/>
      <c r="HD677" s="43"/>
      <c r="HE677" s="43"/>
      <c r="HF677" s="43"/>
      <c r="HG677" s="43"/>
      <c r="HH677" s="43"/>
      <c r="HI677" s="43"/>
    </row>
    <row r="678" spans="1:217" s="62" customFormat="1" ht="12.75">
      <c r="A678" s="152" t="s">
        <v>191</v>
      </c>
      <c r="B678" s="152"/>
      <c r="C678" s="152"/>
      <c r="D678" s="99"/>
      <c r="E678" s="226"/>
      <c r="F678" s="99"/>
      <c r="G678" s="99"/>
      <c r="H678" s="226"/>
      <c r="I678" s="226"/>
      <c r="J678" s="99"/>
      <c r="K678" s="227"/>
      <c r="L678" s="226"/>
      <c r="M678" s="226"/>
      <c r="N678" s="99"/>
      <c r="O678" s="226"/>
      <c r="P678" s="99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  <c r="CH678" s="43"/>
      <c r="CI678" s="43"/>
      <c r="CJ678" s="43"/>
      <c r="CK678" s="43"/>
      <c r="CL678" s="43"/>
      <c r="CM678" s="43"/>
      <c r="CN678" s="43"/>
      <c r="CO678" s="43"/>
      <c r="CP678" s="43"/>
      <c r="CQ678" s="43"/>
      <c r="CR678" s="43"/>
      <c r="CS678" s="43"/>
      <c r="CT678" s="43"/>
      <c r="CU678" s="43"/>
      <c r="CV678" s="43"/>
      <c r="CW678" s="43"/>
      <c r="CX678" s="43"/>
      <c r="CY678" s="43"/>
      <c r="CZ678" s="43"/>
      <c r="DA678" s="43"/>
      <c r="DB678" s="43"/>
      <c r="DC678" s="43"/>
      <c r="DD678" s="43"/>
      <c r="DE678" s="43"/>
      <c r="DF678" s="43"/>
      <c r="DG678" s="43"/>
      <c r="DH678" s="43"/>
      <c r="DI678" s="43"/>
      <c r="DJ678" s="43"/>
      <c r="DK678" s="43"/>
      <c r="DL678" s="43"/>
      <c r="DM678" s="43"/>
      <c r="DN678" s="43"/>
      <c r="DO678" s="43"/>
      <c r="DP678" s="43"/>
      <c r="DQ678" s="43"/>
      <c r="DR678" s="43"/>
      <c r="DS678" s="43"/>
      <c r="DT678" s="43"/>
      <c r="DU678" s="43"/>
      <c r="DV678" s="43"/>
      <c r="DW678" s="43"/>
      <c r="DX678" s="43"/>
      <c r="DY678" s="43"/>
      <c r="DZ678" s="43"/>
      <c r="EA678" s="43"/>
      <c r="EB678" s="43"/>
      <c r="EC678" s="43"/>
      <c r="ED678" s="43"/>
      <c r="EE678" s="43"/>
      <c r="EF678" s="43"/>
      <c r="EG678" s="43"/>
      <c r="EH678" s="43"/>
      <c r="EI678" s="43"/>
      <c r="EJ678" s="43"/>
      <c r="EK678" s="43"/>
      <c r="EL678" s="43"/>
      <c r="EM678" s="43"/>
      <c r="EN678" s="43"/>
      <c r="EO678" s="43"/>
      <c r="EP678" s="43"/>
      <c r="EQ678" s="43"/>
      <c r="ER678" s="43"/>
      <c r="ES678" s="43"/>
      <c r="ET678" s="43"/>
      <c r="EU678" s="43"/>
      <c r="EV678" s="43"/>
      <c r="EW678" s="43"/>
      <c r="EX678" s="43"/>
      <c r="EY678" s="43"/>
      <c r="EZ678" s="43"/>
      <c r="FA678" s="43"/>
      <c r="FB678" s="43"/>
      <c r="FC678" s="43"/>
      <c r="FD678" s="43"/>
      <c r="FE678" s="43"/>
      <c r="FF678" s="43"/>
      <c r="FG678" s="43"/>
      <c r="FH678" s="43"/>
      <c r="FI678" s="43"/>
      <c r="FJ678" s="43"/>
      <c r="FK678" s="43"/>
      <c r="FL678" s="43"/>
      <c r="FM678" s="43"/>
      <c r="FN678" s="43"/>
      <c r="FO678" s="43"/>
      <c r="FP678" s="43"/>
      <c r="FQ678" s="43"/>
      <c r="FR678" s="43"/>
      <c r="FS678" s="43"/>
      <c r="FT678" s="43"/>
      <c r="FU678" s="43"/>
      <c r="FV678" s="43"/>
      <c r="FW678" s="43"/>
      <c r="FX678" s="43"/>
      <c r="FY678" s="43"/>
      <c r="FZ678" s="43"/>
      <c r="GA678" s="43"/>
      <c r="GB678" s="43"/>
      <c r="GC678" s="43"/>
      <c r="GD678" s="43"/>
      <c r="GE678" s="43"/>
      <c r="GF678" s="43"/>
      <c r="GG678" s="43"/>
      <c r="GH678" s="43"/>
      <c r="GI678" s="43"/>
      <c r="GJ678" s="43"/>
      <c r="GK678" s="43"/>
      <c r="GL678" s="43"/>
      <c r="GM678" s="43"/>
      <c r="GN678" s="43"/>
      <c r="GO678" s="43"/>
      <c r="GP678" s="43"/>
      <c r="GQ678" s="43"/>
      <c r="GR678" s="43"/>
      <c r="GS678" s="43"/>
      <c r="GT678" s="43"/>
      <c r="GU678" s="43"/>
      <c r="GV678" s="43"/>
      <c r="GW678" s="43"/>
      <c r="GX678" s="43"/>
      <c r="GY678" s="43"/>
      <c r="GZ678" s="43"/>
      <c r="HA678" s="43"/>
      <c r="HB678" s="43"/>
      <c r="HC678" s="43"/>
      <c r="HD678" s="43"/>
      <c r="HE678" s="43"/>
      <c r="HF678" s="43"/>
      <c r="HG678" s="43"/>
      <c r="HH678" s="43"/>
      <c r="HI678" s="43"/>
    </row>
    <row r="679" spans="1:217" s="62" customFormat="1" ht="25.5">
      <c r="A679" s="97" t="s">
        <v>382</v>
      </c>
      <c r="B679" s="97"/>
      <c r="C679" s="97"/>
      <c r="D679" s="98">
        <v>320</v>
      </c>
      <c r="E679" s="231"/>
      <c r="F679" s="227">
        <f aca="true" t="shared" si="52" ref="F679:F684">D679</f>
        <v>320</v>
      </c>
      <c r="G679" s="98">
        <v>340</v>
      </c>
      <c r="H679" s="231"/>
      <c r="I679" s="231"/>
      <c r="J679" s="227">
        <f aca="true" t="shared" si="53" ref="J679:J684">G679</f>
        <v>340</v>
      </c>
      <c r="K679" s="234"/>
      <c r="L679" s="235"/>
      <c r="M679" s="217"/>
      <c r="N679" s="98">
        <v>375</v>
      </c>
      <c r="O679" s="231"/>
      <c r="P679" s="227">
        <f aca="true" t="shared" si="54" ref="P679:P684">N679</f>
        <v>375</v>
      </c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  <c r="CH679" s="43"/>
      <c r="CI679" s="43"/>
      <c r="CJ679" s="43"/>
      <c r="CK679" s="43"/>
      <c r="CL679" s="43"/>
      <c r="CM679" s="43"/>
      <c r="CN679" s="43"/>
      <c r="CO679" s="43"/>
      <c r="CP679" s="43"/>
      <c r="CQ679" s="43"/>
      <c r="CR679" s="43"/>
      <c r="CS679" s="43"/>
      <c r="CT679" s="43"/>
      <c r="CU679" s="43"/>
      <c r="CV679" s="43"/>
      <c r="CW679" s="43"/>
      <c r="CX679" s="43"/>
      <c r="CY679" s="43"/>
      <c r="CZ679" s="43"/>
      <c r="DA679" s="43"/>
      <c r="DB679" s="43"/>
      <c r="DC679" s="43"/>
      <c r="DD679" s="43"/>
      <c r="DE679" s="43"/>
      <c r="DF679" s="43"/>
      <c r="DG679" s="43"/>
      <c r="DH679" s="43"/>
      <c r="DI679" s="43"/>
      <c r="DJ679" s="43"/>
      <c r="DK679" s="43"/>
      <c r="DL679" s="43"/>
      <c r="DM679" s="43"/>
      <c r="DN679" s="43"/>
      <c r="DO679" s="43"/>
      <c r="DP679" s="43"/>
      <c r="DQ679" s="43"/>
      <c r="DR679" s="43"/>
      <c r="DS679" s="43"/>
      <c r="DT679" s="43"/>
      <c r="DU679" s="43"/>
      <c r="DV679" s="43"/>
      <c r="DW679" s="43"/>
      <c r="DX679" s="43"/>
      <c r="DY679" s="43"/>
      <c r="DZ679" s="43"/>
      <c r="EA679" s="43"/>
      <c r="EB679" s="43"/>
      <c r="EC679" s="43"/>
      <c r="ED679" s="43"/>
      <c r="EE679" s="43"/>
      <c r="EF679" s="43"/>
      <c r="EG679" s="43"/>
      <c r="EH679" s="43"/>
      <c r="EI679" s="43"/>
      <c r="EJ679" s="43"/>
      <c r="EK679" s="43"/>
      <c r="EL679" s="43"/>
      <c r="EM679" s="43"/>
      <c r="EN679" s="43"/>
      <c r="EO679" s="43"/>
      <c r="EP679" s="43"/>
      <c r="EQ679" s="43"/>
      <c r="ER679" s="43"/>
      <c r="ES679" s="43"/>
      <c r="ET679" s="43"/>
      <c r="EU679" s="43"/>
      <c r="EV679" s="43"/>
      <c r="EW679" s="43"/>
      <c r="EX679" s="43"/>
      <c r="EY679" s="43"/>
      <c r="EZ679" s="43"/>
      <c r="FA679" s="43"/>
      <c r="FB679" s="43"/>
      <c r="FC679" s="43"/>
      <c r="FD679" s="43"/>
      <c r="FE679" s="43"/>
      <c r="FF679" s="43"/>
      <c r="FG679" s="43"/>
      <c r="FH679" s="43"/>
      <c r="FI679" s="43"/>
      <c r="FJ679" s="43"/>
      <c r="FK679" s="43"/>
      <c r="FL679" s="43"/>
      <c r="FM679" s="43"/>
      <c r="FN679" s="43"/>
      <c r="FO679" s="43"/>
      <c r="FP679" s="43"/>
      <c r="FQ679" s="43"/>
      <c r="FR679" s="43"/>
      <c r="FS679" s="43"/>
      <c r="FT679" s="43"/>
      <c r="FU679" s="43"/>
      <c r="FV679" s="43"/>
      <c r="FW679" s="43"/>
      <c r="FX679" s="43"/>
      <c r="FY679" s="43"/>
      <c r="FZ679" s="43"/>
      <c r="GA679" s="43"/>
      <c r="GB679" s="43"/>
      <c r="GC679" s="43"/>
      <c r="GD679" s="43"/>
      <c r="GE679" s="43"/>
      <c r="GF679" s="43"/>
      <c r="GG679" s="43"/>
      <c r="GH679" s="43"/>
      <c r="GI679" s="43"/>
      <c r="GJ679" s="43"/>
      <c r="GK679" s="43"/>
      <c r="GL679" s="43"/>
      <c r="GM679" s="43"/>
      <c r="GN679" s="43"/>
      <c r="GO679" s="43"/>
      <c r="GP679" s="43"/>
      <c r="GQ679" s="43"/>
      <c r="GR679" s="43"/>
      <c r="GS679" s="43"/>
      <c r="GT679" s="43"/>
      <c r="GU679" s="43"/>
      <c r="GV679" s="43"/>
      <c r="GW679" s="43"/>
      <c r="GX679" s="43"/>
      <c r="GY679" s="43"/>
      <c r="GZ679" s="43"/>
      <c r="HA679" s="43"/>
      <c r="HB679" s="43"/>
      <c r="HC679" s="43"/>
      <c r="HD679" s="43"/>
      <c r="HE679" s="43"/>
      <c r="HF679" s="43"/>
      <c r="HG679" s="43"/>
      <c r="HH679" s="43"/>
      <c r="HI679" s="43"/>
    </row>
    <row r="680" spans="1:217" s="62" customFormat="1" ht="26.25" customHeight="1">
      <c r="A680" s="97" t="s">
        <v>383</v>
      </c>
      <c r="B680" s="97"/>
      <c r="C680" s="97"/>
      <c r="D680" s="98">
        <v>1000</v>
      </c>
      <c r="E680" s="231"/>
      <c r="F680" s="227">
        <f t="shared" si="52"/>
        <v>1000</v>
      </c>
      <c r="G680" s="98">
        <v>1060</v>
      </c>
      <c r="H680" s="231"/>
      <c r="I680" s="231"/>
      <c r="J680" s="227">
        <f t="shared" si="53"/>
        <v>1060</v>
      </c>
      <c r="K680" s="227"/>
      <c r="L680" s="231"/>
      <c r="M680" s="98"/>
      <c r="N680" s="98">
        <v>1170</v>
      </c>
      <c r="O680" s="231"/>
      <c r="P680" s="227">
        <f t="shared" si="54"/>
        <v>1170</v>
      </c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  <c r="CM680" s="43"/>
      <c r="CN680" s="43"/>
      <c r="CO680" s="43"/>
      <c r="CP680" s="43"/>
      <c r="CQ680" s="43"/>
      <c r="CR680" s="43"/>
      <c r="CS680" s="43"/>
      <c r="CT680" s="43"/>
      <c r="CU680" s="43"/>
      <c r="CV680" s="43"/>
      <c r="CW680" s="43"/>
      <c r="CX680" s="43"/>
      <c r="CY680" s="43"/>
      <c r="CZ680" s="43"/>
      <c r="DA680" s="43"/>
      <c r="DB680" s="43"/>
      <c r="DC680" s="43"/>
      <c r="DD680" s="43"/>
      <c r="DE680" s="43"/>
      <c r="DF680" s="43"/>
      <c r="DG680" s="43"/>
      <c r="DH680" s="43"/>
      <c r="DI680" s="43"/>
      <c r="DJ680" s="43"/>
      <c r="DK680" s="43"/>
      <c r="DL680" s="43"/>
      <c r="DM680" s="43"/>
      <c r="DN680" s="43"/>
      <c r="DO680" s="43"/>
      <c r="DP680" s="43"/>
      <c r="DQ680" s="43"/>
      <c r="DR680" s="43"/>
      <c r="DS680" s="43"/>
      <c r="DT680" s="43"/>
      <c r="DU680" s="43"/>
      <c r="DV680" s="43"/>
      <c r="DW680" s="43"/>
      <c r="DX680" s="43"/>
      <c r="DY680" s="43"/>
      <c r="DZ680" s="43"/>
      <c r="EA680" s="43"/>
      <c r="EB680" s="43"/>
      <c r="EC680" s="43"/>
      <c r="ED680" s="43"/>
      <c r="EE680" s="43"/>
      <c r="EF680" s="43"/>
      <c r="EG680" s="43"/>
      <c r="EH680" s="43"/>
      <c r="EI680" s="43"/>
      <c r="EJ680" s="43"/>
      <c r="EK680" s="43"/>
      <c r="EL680" s="43"/>
      <c r="EM680" s="43"/>
      <c r="EN680" s="43"/>
      <c r="EO680" s="43"/>
      <c r="EP680" s="43"/>
      <c r="EQ680" s="43"/>
      <c r="ER680" s="43"/>
      <c r="ES680" s="43"/>
      <c r="ET680" s="43"/>
      <c r="EU680" s="43"/>
      <c r="EV680" s="43"/>
      <c r="EW680" s="43"/>
      <c r="EX680" s="43"/>
      <c r="EY680" s="43"/>
      <c r="EZ680" s="43"/>
      <c r="FA680" s="43"/>
      <c r="FB680" s="43"/>
      <c r="FC680" s="43"/>
      <c r="FD680" s="43"/>
      <c r="FE680" s="43"/>
      <c r="FF680" s="43"/>
      <c r="FG680" s="43"/>
      <c r="FH680" s="43"/>
      <c r="FI680" s="43"/>
      <c r="FJ680" s="43"/>
      <c r="FK680" s="43"/>
      <c r="FL680" s="43"/>
      <c r="FM680" s="43"/>
      <c r="FN680" s="43"/>
      <c r="FO680" s="43"/>
      <c r="FP680" s="43"/>
      <c r="FQ680" s="43"/>
      <c r="FR680" s="43"/>
      <c r="FS680" s="43"/>
      <c r="FT680" s="43"/>
      <c r="FU680" s="43"/>
      <c r="FV680" s="43"/>
      <c r="FW680" s="43"/>
      <c r="FX680" s="43"/>
      <c r="FY680" s="43"/>
      <c r="FZ680" s="43"/>
      <c r="GA680" s="43"/>
      <c r="GB680" s="43"/>
      <c r="GC680" s="43"/>
      <c r="GD680" s="43"/>
      <c r="GE680" s="43"/>
      <c r="GF680" s="43"/>
      <c r="GG680" s="43"/>
      <c r="GH680" s="43"/>
      <c r="GI680" s="43"/>
      <c r="GJ680" s="43"/>
      <c r="GK680" s="43"/>
      <c r="GL680" s="43"/>
      <c r="GM680" s="43"/>
      <c r="GN680" s="43"/>
      <c r="GO680" s="43"/>
      <c r="GP680" s="43"/>
      <c r="GQ680" s="43"/>
      <c r="GR680" s="43"/>
      <c r="GS680" s="43"/>
      <c r="GT680" s="43"/>
      <c r="GU680" s="43"/>
      <c r="GV680" s="43"/>
      <c r="GW680" s="43"/>
      <c r="GX680" s="43"/>
      <c r="GY680" s="43"/>
      <c r="GZ680" s="43"/>
      <c r="HA680" s="43"/>
      <c r="HB680" s="43"/>
      <c r="HC680" s="43"/>
      <c r="HD680" s="43"/>
      <c r="HE680" s="43"/>
      <c r="HF680" s="43"/>
      <c r="HG680" s="43"/>
      <c r="HH680" s="43"/>
      <c r="HI680" s="43"/>
    </row>
    <row r="681" spans="1:217" s="62" customFormat="1" ht="27.75" customHeight="1">
      <c r="A681" s="97" t="s">
        <v>384</v>
      </c>
      <c r="B681" s="97"/>
      <c r="C681" s="97"/>
      <c r="D681" s="98">
        <v>1775</v>
      </c>
      <c r="E681" s="231"/>
      <c r="F681" s="227">
        <f t="shared" si="52"/>
        <v>1775</v>
      </c>
      <c r="G681" s="98">
        <v>1880</v>
      </c>
      <c r="H681" s="231"/>
      <c r="I681" s="231"/>
      <c r="J681" s="227">
        <f t="shared" si="53"/>
        <v>1880</v>
      </c>
      <c r="K681" s="227"/>
      <c r="L681" s="231"/>
      <c r="M681" s="98"/>
      <c r="N681" s="98">
        <v>2070</v>
      </c>
      <c r="O681" s="231"/>
      <c r="P681" s="227">
        <f t="shared" si="54"/>
        <v>2070</v>
      </c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  <c r="CM681" s="43"/>
      <c r="CN681" s="43"/>
      <c r="CO681" s="43"/>
      <c r="CP681" s="43"/>
      <c r="CQ681" s="43"/>
      <c r="CR681" s="43"/>
      <c r="CS681" s="43"/>
      <c r="CT681" s="43"/>
      <c r="CU681" s="43"/>
      <c r="CV681" s="43"/>
      <c r="CW681" s="43"/>
      <c r="CX681" s="43"/>
      <c r="CY681" s="43"/>
      <c r="CZ681" s="43"/>
      <c r="DA681" s="43"/>
      <c r="DB681" s="43"/>
      <c r="DC681" s="43"/>
      <c r="DD681" s="43"/>
      <c r="DE681" s="43"/>
      <c r="DF681" s="43"/>
      <c r="DG681" s="43"/>
      <c r="DH681" s="43"/>
      <c r="DI681" s="43"/>
      <c r="DJ681" s="43"/>
      <c r="DK681" s="43"/>
      <c r="DL681" s="43"/>
      <c r="DM681" s="43"/>
      <c r="DN681" s="43"/>
      <c r="DO681" s="43"/>
      <c r="DP681" s="43"/>
      <c r="DQ681" s="43"/>
      <c r="DR681" s="43"/>
      <c r="DS681" s="43"/>
      <c r="DT681" s="43"/>
      <c r="DU681" s="43"/>
      <c r="DV681" s="43"/>
      <c r="DW681" s="43"/>
      <c r="DX681" s="43"/>
      <c r="DY681" s="43"/>
      <c r="DZ681" s="43"/>
      <c r="EA681" s="43"/>
      <c r="EB681" s="43"/>
      <c r="EC681" s="43"/>
      <c r="ED681" s="43"/>
      <c r="EE681" s="43"/>
      <c r="EF681" s="43"/>
      <c r="EG681" s="43"/>
      <c r="EH681" s="43"/>
      <c r="EI681" s="43"/>
      <c r="EJ681" s="43"/>
      <c r="EK681" s="43"/>
      <c r="EL681" s="43"/>
      <c r="EM681" s="43"/>
      <c r="EN681" s="43"/>
      <c r="EO681" s="43"/>
      <c r="EP681" s="43"/>
      <c r="EQ681" s="43"/>
      <c r="ER681" s="43"/>
      <c r="ES681" s="43"/>
      <c r="ET681" s="43"/>
      <c r="EU681" s="43"/>
      <c r="EV681" s="43"/>
      <c r="EW681" s="43"/>
      <c r="EX681" s="43"/>
      <c r="EY681" s="43"/>
      <c r="EZ681" s="43"/>
      <c r="FA681" s="43"/>
      <c r="FB681" s="43"/>
      <c r="FC681" s="43"/>
      <c r="FD681" s="43"/>
      <c r="FE681" s="43"/>
      <c r="FF681" s="43"/>
      <c r="FG681" s="43"/>
      <c r="FH681" s="43"/>
      <c r="FI681" s="43"/>
      <c r="FJ681" s="43"/>
      <c r="FK681" s="43"/>
      <c r="FL681" s="43"/>
      <c r="FM681" s="43"/>
      <c r="FN681" s="43"/>
      <c r="FO681" s="43"/>
      <c r="FP681" s="43"/>
      <c r="FQ681" s="43"/>
      <c r="FR681" s="43"/>
      <c r="FS681" s="43"/>
      <c r="FT681" s="43"/>
      <c r="FU681" s="43"/>
      <c r="FV681" s="43"/>
      <c r="FW681" s="43"/>
      <c r="FX681" s="43"/>
      <c r="FY681" s="43"/>
      <c r="FZ681" s="43"/>
      <c r="GA681" s="43"/>
      <c r="GB681" s="43"/>
      <c r="GC681" s="43"/>
      <c r="GD681" s="43"/>
      <c r="GE681" s="43"/>
      <c r="GF681" s="43"/>
      <c r="GG681" s="43"/>
      <c r="GH681" s="43"/>
      <c r="GI681" s="43"/>
      <c r="GJ681" s="43"/>
      <c r="GK681" s="43"/>
      <c r="GL681" s="43"/>
      <c r="GM681" s="43"/>
      <c r="GN681" s="43"/>
      <c r="GO681" s="43"/>
      <c r="GP681" s="43"/>
      <c r="GQ681" s="43"/>
      <c r="GR681" s="43"/>
      <c r="GS681" s="43"/>
      <c r="GT681" s="43"/>
      <c r="GU681" s="43"/>
      <c r="GV681" s="43"/>
      <c r="GW681" s="43"/>
      <c r="GX681" s="43"/>
      <c r="GY681" s="43"/>
      <c r="GZ681" s="43"/>
      <c r="HA681" s="43"/>
      <c r="HB681" s="43"/>
      <c r="HC681" s="43"/>
      <c r="HD681" s="43"/>
      <c r="HE681" s="43"/>
      <c r="HF681" s="43"/>
      <c r="HG681" s="43"/>
      <c r="HH681" s="43"/>
      <c r="HI681" s="43"/>
    </row>
    <row r="682" spans="1:217" s="62" customFormat="1" ht="28.5" customHeight="1">
      <c r="A682" s="97" t="s">
        <v>385</v>
      </c>
      <c r="B682" s="97"/>
      <c r="C682" s="97"/>
      <c r="D682" s="98">
        <v>370</v>
      </c>
      <c r="E682" s="231"/>
      <c r="F682" s="227">
        <f t="shared" si="52"/>
        <v>370</v>
      </c>
      <c r="G682" s="98">
        <v>395</v>
      </c>
      <c r="H682" s="231"/>
      <c r="I682" s="231"/>
      <c r="J682" s="227">
        <f t="shared" si="53"/>
        <v>395</v>
      </c>
      <c r="K682" s="227"/>
      <c r="L682" s="231"/>
      <c r="M682" s="98"/>
      <c r="N682" s="98">
        <v>435</v>
      </c>
      <c r="O682" s="231"/>
      <c r="P682" s="227">
        <f t="shared" si="54"/>
        <v>435</v>
      </c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  <c r="CM682" s="43"/>
      <c r="CN682" s="43"/>
      <c r="CO682" s="43"/>
      <c r="CP682" s="43"/>
      <c r="CQ682" s="43"/>
      <c r="CR682" s="43"/>
      <c r="CS682" s="43"/>
      <c r="CT682" s="43"/>
      <c r="CU682" s="43"/>
      <c r="CV682" s="43"/>
      <c r="CW682" s="43"/>
      <c r="CX682" s="43"/>
      <c r="CY682" s="43"/>
      <c r="CZ682" s="43"/>
      <c r="DA682" s="43"/>
      <c r="DB682" s="43"/>
      <c r="DC682" s="43"/>
      <c r="DD682" s="43"/>
      <c r="DE682" s="43"/>
      <c r="DF682" s="43"/>
      <c r="DG682" s="43"/>
      <c r="DH682" s="43"/>
      <c r="DI682" s="43"/>
      <c r="DJ682" s="43"/>
      <c r="DK682" s="43"/>
      <c r="DL682" s="43"/>
      <c r="DM682" s="43"/>
      <c r="DN682" s="43"/>
      <c r="DO682" s="43"/>
      <c r="DP682" s="43"/>
      <c r="DQ682" s="43"/>
      <c r="DR682" s="43"/>
      <c r="DS682" s="43"/>
      <c r="DT682" s="43"/>
      <c r="DU682" s="43"/>
      <c r="DV682" s="43"/>
      <c r="DW682" s="43"/>
      <c r="DX682" s="43"/>
      <c r="DY682" s="43"/>
      <c r="DZ682" s="43"/>
      <c r="EA682" s="43"/>
      <c r="EB682" s="43"/>
      <c r="EC682" s="43"/>
      <c r="ED682" s="43"/>
      <c r="EE682" s="43"/>
      <c r="EF682" s="43"/>
      <c r="EG682" s="43"/>
      <c r="EH682" s="43"/>
      <c r="EI682" s="43"/>
      <c r="EJ682" s="43"/>
      <c r="EK682" s="43"/>
      <c r="EL682" s="43"/>
      <c r="EM682" s="43"/>
      <c r="EN682" s="43"/>
      <c r="EO682" s="43"/>
      <c r="EP682" s="43"/>
      <c r="EQ682" s="43"/>
      <c r="ER682" s="43"/>
      <c r="ES682" s="43"/>
      <c r="ET682" s="43"/>
      <c r="EU682" s="43"/>
      <c r="EV682" s="43"/>
      <c r="EW682" s="43"/>
      <c r="EX682" s="43"/>
      <c r="EY682" s="43"/>
      <c r="EZ682" s="43"/>
      <c r="FA682" s="43"/>
      <c r="FB682" s="43"/>
      <c r="FC682" s="43"/>
      <c r="FD682" s="43"/>
      <c r="FE682" s="43"/>
      <c r="FF682" s="43"/>
      <c r="FG682" s="43"/>
      <c r="FH682" s="43"/>
      <c r="FI682" s="43"/>
      <c r="FJ682" s="43"/>
      <c r="FK682" s="43"/>
      <c r="FL682" s="43"/>
      <c r="FM682" s="43"/>
      <c r="FN682" s="43"/>
      <c r="FO682" s="43"/>
      <c r="FP682" s="43"/>
      <c r="FQ682" s="43"/>
      <c r="FR682" s="43"/>
      <c r="FS682" s="43"/>
      <c r="FT682" s="43"/>
      <c r="FU682" s="43"/>
      <c r="FV682" s="43"/>
      <c r="FW682" s="43"/>
      <c r="FX682" s="43"/>
      <c r="FY682" s="43"/>
      <c r="FZ682" s="43"/>
      <c r="GA682" s="43"/>
      <c r="GB682" s="43"/>
      <c r="GC682" s="43"/>
      <c r="GD682" s="43"/>
      <c r="GE682" s="43"/>
      <c r="GF682" s="43"/>
      <c r="GG682" s="43"/>
      <c r="GH682" s="43"/>
      <c r="GI682" s="43"/>
      <c r="GJ682" s="43"/>
      <c r="GK682" s="43"/>
      <c r="GL682" s="43"/>
      <c r="GM682" s="43"/>
      <c r="GN682" s="43"/>
      <c r="GO682" s="43"/>
      <c r="GP682" s="43"/>
      <c r="GQ682" s="43"/>
      <c r="GR682" s="43"/>
      <c r="GS682" s="43"/>
      <c r="GT682" s="43"/>
      <c r="GU682" s="43"/>
      <c r="GV682" s="43"/>
      <c r="GW682" s="43"/>
      <c r="GX682" s="43"/>
      <c r="GY682" s="43"/>
      <c r="GZ682" s="43"/>
      <c r="HA682" s="43"/>
      <c r="HB682" s="43"/>
      <c r="HC682" s="43"/>
      <c r="HD682" s="43"/>
      <c r="HE682" s="43"/>
      <c r="HF682" s="43"/>
      <c r="HG682" s="43"/>
      <c r="HH682" s="43"/>
      <c r="HI682" s="43"/>
    </row>
    <row r="683" spans="1:217" s="62" customFormat="1" ht="23.25" customHeight="1">
      <c r="A683" s="97" t="s">
        <v>386</v>
      </c>
      <c r="B683" s="97"/>
      <c r="C683" s="97"/>
      <c r="D683" s="98">
        <v>680</v>
      </c>
      <c r="E683" s="231"/>
      <c r="F683" s="227">
        <f t="shared" si="52"/>
        <v>680</v>
      </c>
      <c r="G683" s="98">
        <v>720</v>
      </c>
      <c r="H683" s="231"/>
      <c r="I683" s="231"/>
      <c r="J683" s="227">
        <f t="shared" si="53"/>
        <v>720</v>
      </c>
      <c r="K683" s="227"/>
      <c r="L683" s="231"/>
      <c r="M683" s="98"/>
      <c r="N683" s="98">
        <v>790</v>
      </c>
      <c r="O683" s="231"/>
      <c r="P683" s="227">
        <f t="shared" si="54"/>
        <v>790</v>
      </c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J683" s="43"/>
      <c r="CK683" s="43"/>
      <c r="CL683" s="43"/>
      <c r="CM683" s="43"/>
      <c r="CN683" s="43"/>
      <c r="CO683" s="43"/>
      <c r="CP683" s="43"/>
      <c r="CQ683" s="43"/>
      <c r="CR683" s="43"/>
      <c r="CS683" s="43"/>
      <c r="CT683" s="43"/>
      <c r="CU683" s="43"/>
      <c r="CV683" s="43"/>
      <c r="CW683" s="43"/>
      <c r="CX683" s="43"/>
      <c r="CY683" s="43"/>
      <c r="CZ683" s="43"/>
      <c r="DA683" s="43"/>
      <c r="DB683" s="43"/>
      <c r="DC683" s="43"/>
      <c r="DD683" s="43"/>
      <c r="DE683" s="43"/>
      <c r="DF683" s="43"/>
      <c r="DG683" s="43"/>
      <c r="DH683" s="43"/>
      <c r="DI683" s="43"/>
      <c r="DJ683" s="43"/>
      <c r="DK683" s="43"/>
      <c r="DL683" s="43"/>
      <c r="DM683" s="43"/>
      <c r="DN683" s="43"/>
      <c r="DO683" s="43"/>
      <c r="DP683" s="43"/>
      <c r="DQ683" s="43"/>
      <c r="DR683" s="43"/>
      <c r="DS683" s="43"/>
      <c r="DT683" s="43"/>
      <c r="DU683" s="43"/>
      <c r="DV683" s="43"/>
      <c r="DW683" s="43"/>
      <c r="DX683" s="43"/>
      <c r="DY683" s="43"/>
      <c r="DZ683" s="43"/>
      <c r="EA683" s="43"/>
      <c r="EB683" s="43"/>
      <c r="EC683" s="43"/>
      <c r="ED683" s="43"/>
      <c r="EE683" s="43"/>
      <c r="EF683" s="43"/>
      <c r="EG683" s="43"/>
      <c r="EH683" s="43"/>
      <c r="EI683" s="43"/>
      <c r="EJ683" s="43"/>
      <c r="EK683" s="43"/>
      <c r="EL683" s="43"/>
      <c r="EM683" s="43"/>
      <c r="EN683" s="43"/>
      <c r="EO683" s="43"/>
      <c r="EP683" s="43"/>
      <c r="EQ683" s="43"/>
      <c r="ER683" s="43"/>
      <c r="ES683" s="43"/>
      <c r="ET683" s="43"/>
      <c r="EU683" s="43"/>
      <c r="EV683" s="43"/>
      <c r="EW683" s="43"/>
      <c r="EX683" s="43"/>
      <c r="EY683" s="43"/>
      <c r="EZ683" s="43"/>
      <c r="FA683" s="43"/>
      <c r="FB683" s="43"/>
      <c r="FC683" s="43"/>
      <c r="FD683" s="43"/>
      <c r="FE683" s="43"/>
      <c r="FF683" s="43"/>
      <c r="FG683" s="43"/>
      <c r="FH683" s="43"/>
      <c r="FI683" s="43"/>
      <c r="FJ683" s="43"/>
      <c r="FK683" s="43"/>
      <c r="FL683" s="43"/>
      <c r="FM683" s="43"/>
      <c r="FN683" s="43"/>
      <c r="FO683" s="43"/>
      <c r="FP683" s="43"/>
      <c r="FQ683" s="43"/>
      <c r="FR683" s="43"/>
      <c r="FS683" s="43"/>
      <c r="FT683" s="43"/>
      <c r="FU683" s="43"/>
      <c r="FV683" s="43"/>
      <c r="FW683" s="43"/>
      <c r="FX683" s="43"/>
      <c r="FY683" s="43"/>
      <c r="FZ683" s="43"/>
      <c r="GA683" s="43"/>
      <c r="GB683" s="43"/>
      <c r="GC683" s="43"/>
      <c r="GD683" s="43"/>
      <c r="GE683" s="43"/>
      <c r="GF683" s="43"/>
      <c r="GG683" s="43"/>
      <c r="GH683" s="43"/>
      <c r="GI683" s="43"/>
      <c r="GJ683" s="43"/>
      <c r="GK683" s="43"/>
      <c r="GL683" s="43"/>
      <c r="GM683" s="43"/>
      <c r="GN683" s="43"/>
      <c r="GO683" s="43"/>
      <c r="GP683" s="43"/>
      <c r="GQ683" s="43"/>
      <c r="GR683" s="43"/>
      <c r="GS683" s="43"/>
      <c r="GT683" s="43"/>
      <c r="GU683" s="43"/>
      <c r="GV683" s="43"/>
      <c r="GW683" s="43"/>
      <c r="GX683" s="43"/>
      <c r="GY683" s="43"/>
      <c r="GZ683" s="43"/>
      <c r="HA683" s="43"/>
      <c r="HB683" s="43"/>
      <c r="HC683" s="43"/>
      <c r="HD683" s="43"/>
      <c r="HE683" s="43"/>
      <c r="HF683" s="43"/>
      <c r="HG683" s="43"/>
      <c r="HH683" s="43"/>
      <c r="HI683" s="43"/>
    </row>
    <row r="684" spans="1:217" s="62" customFormat="1" ht="24" customHeight="1">
      <c r="A684" s="97" t="s">
        <v>387</v>
      </c>
      <c r="B684" s="97"/>
      <c r="C684" s="97"/>
      <c r="D684" s="98">
        <v>160</v>
      </c>
      <c r="E684" s="231"/>
      <c r="F684" s="227">
        <f t="shared" si="52"/>
        <v>160</v>
      </c>
      <c r="G684" s="98">
        <v>176</v>
      </c>
      <c r="H684" s="231"/>
      <c r="I684" s="98"/>
      <c r="J684" s="227">
        <f t="shared" si="53"/>
        <v>176</v>
      </c>
      <c r="K684" s="227"/>
      <c r="L684" s="231"/>
      <c r="M684" s="98"/>
      <c r="N684" s="98">
        <v>190</v>
      </c>
      <c r="O684" s="231"/>
      <c r="P684" s="227">
        <f t="shared" si="54"/>
        <v>190</v>
      </c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  <c r="CH684" s="43"/>
      <c r="CI684" s="43"/>
      <c r="CJ684" s="43"/>
      <c r="CK684" s="43"/>
      <c r="CL684" s="43"/>
      <c r="CM684" s="43"/>
      <c r="CN684" s="43"/>
      <c r="CO684" s="43"/>
      <c r="CP684" s="43"/>
      <c r="CQ684" s="43"/>
      <c r="CR684" s="43"/>
      <c r="CS684" s="43"/>
      <c r="CT684" s="43"/>
      <c r="CU684" s="43"/>
      <c r="CV684" s="43"/>
      <c r="CW684" s="43"/>
      <c r="CX684" s="43"/>
      <c r="CY684" s="43"/>
      <c r="CZ684" s="43"/>
      <c r="DA684" s="43"/>
      <c r="DB684" s="43"/>
      <c r="DC684" s="43"/>
      <c r="DD684" s="43"/>
      <c r="DE684" s="43"/>
      <c r="DF684" s="43"/>
      <c r="DG684" s="43"/>
      <c r="DH684" s="43"/>
      <c r="DI684" s="43"/>
      <c r="DJ684" s="43"/>
      <c r="DK684" s="43"/>
      <c r="DL684" s="43"/>
      <c r="DM684" s="43"/>
      <c r="DN684" s="43"/>
      <c r="DO684" s="43"/>
      <c r="DP684" s="43"/>
      <c r="DQ684" s="43"/>
      <c r="DR684" s="43"/>
      <c r="DS684" s="43"/>
      <c r="DT684" s="43"/>
      <c r="DU684" s="43"/>
      <c r="DV684" s="43"/>
      <c r="DW684" s="43"/>
      <c r="DX684" s="43"/>
      <c r="DY684" s="43"/>
      <c r="DZ684" s="43"/>
      <c r="EA684" s="43"/>
      <c r="EB684" s="43"/>
      <c r="EC684" s="43"/>
      <c r="ED684" s="43"/>
      <c r="EE684" s="43"/>
      <c r="EF684" s="43"/>
      <c r="EG684" s="43"/>
      <c r="EH684" s="43"/>
      <c r="EI684" s="43"/>
      <c r="EJ684" s="43"/>
      <c r="EK684" s="43"/>
      <c r="EL684" s="43"/>
      <c r="EM684" s="43"/>
      <c r="EN684" s="43"/>
      <c r="EO684" s="43"/>
      <c r="EP684" s="43"/>
      <c r="EQ684" s="43"/>
      <c r="ER684" s="43"/>
      <c r="ES684" s="43"/>
      <c r="ET684" s="43"/>
      <c r="EU684" s="43"/>
      <c r="EV684" s="43"/>
      <c r="EW684" s="43"/>
      <c r="EX684" s="43"/>
      <c r="EY684" s="43"/>
      <c r="EZ684" s="43"/>
      <c r="FA684" s="43"/>
      <c r="FB684" s="43"/>
      <c r="FC684" s="43"/>
      <c r="FD684" s="43"/>
      <c r="FE684" s="43"/>
      <c r="FF684" s="43"/>
      <c r="FG684" s="43"/>
      <c r="FH684" s="43"/>
      <c r="FI684" s="43"/>
      <c r="FJ684" s="43"/>
      <c r="FK684" s="43"/>
      <c r="FL684" s="43"/>
      <c r="FM684" s="43"/>
      <c r="FN684" s="43"/>
      <c r="FO684" s="43"/>
      <c r="FP684" s="43"/>
      <c r="FQ684" s="43"/>
      <c r="FR684" s="43"/>
      <c r="FS684" s="43"/>
      <c r="FT684" s="43"/>
      <c r="FU684" s="43"/>
      <c r="FV684" s="43"/>
      <c r="FW684" s="43"/>
      <c r="FX684" s="43"/>
      <c r="FY684" s="43"/>
      <c r="FZ684" s="43"/>
      <c r="GA684" s="43"/>
      <c r="GB684" s="43"/>
      <c r="GC684" s="43"/>
      <c r="GD684" s="43"/>
      <c r="GE684" s="43"/>
      <c r="GF684" s="43"/>
      <c r="GG684" s="43"/>
      <c r="GH684" s="43"/>
      <c r="GI684" s="43"/>
      <c r="GJ684" s="43"/>
      <c r="GK684" s="43"/>
      <c r="GL684" s="43"/>
      <c r="GM684" s="43"/>
      <c r="GN684" s="43"/>
      <c r="GO684" s="43"/>
      <c r="GP684" s="43"/>
      <c r="GQ684" s="43"/>
      <c r="GR684" s="43"/>
      <c r="GS684" s="43"/>
      <c r="GT684" s="43"/>
      <c r="GU684" s="43"/>
      <c r="GV684" s="43"/>
      <c r="GW684" s="43"/>
      <c r="GX684" s="43"/>
      <c r="GY684" s="43"/>
      <c r="GZ684" s="43"/>
      <c r="HA684" s="43"/>
      <c r="HB684" s="43"/>
      <c r="HC684" s="43"/>
      <c r="HD684" s="43"/>
      <c r="HE684" s="43"/>
      <c r="HF684" s="43"/>
      <c r="HG684" s="43"/>
      <c r="HH684" s="43"/>
      <c r="HI684" s="43"/>
    </row>
    <row r="685" spans="1:16" ht="52.5" customHeight="1">
      <c r="A685" s="97" t="s">
        <v>352</v>
      </c>
      <c r="B685" s="153"/>
      <c r="C685" s="153"/>
      <c r="D685" s="236"/>
      <c r="E685" s="236"/>
      <c r="F685" s="236"/>
      <c r="G685" s="236"/>
      <c r="H685" s="236"/>
      <c r="I685" s="236"/>
      <c r="J685" s="236"/>
      <c r="K685" s="227"/>
      <c r="L685" s="225"/>
      <c r="M685" s="236"/>
      <c r="N685" s="236"/>
      <c r="O685" s="236"/>
      <c r="P685" s="236"/>
    </row>
    <row r="686" spans="1:16" ht="67.5">
      <c r="A686" s="147" t="s">
        <v>49</v>
      </c>
      <c r="B686" s="151"/>
      <c r="C686" s="151"/>
      <c r="D686" s="224"/>
      <c r="E686" s="224">
        <f>SUM(E688:E691)</f>
        <v>563170</v>
      </c>
      <c r="F686" s="224">
        <f>SUM(F688:F691)</f>
        <v>563170</v>
      </c>
      <c r="G686" s="224"/>
      <c r="H686" s="224">
        <f>SUM(H688:H691)</f>
        <v>597180</v>
      </c>
      <c r="I686" s="224"/>
      <c r="J686" s="224">
        <f>SUM(J688:J691)</f>
        <v>597180</v>
      </c>
      <c r="K686" s="227"/>
      <c r="L686" s="225"/>
      <c r="M686" s="225"/>
      <c r="N686" s="224"/>
      <c r="O686" s="224">
        <f>SUM(O688:O691)</f>
        <v>650440</v>
      </c>
      <c r="P686" s="224">
        <f>SUM(P688:P691)</f>
        <v>650440</v>
      </c>
    </row>
    <row r="687" spans="1:16" ht="13.5">
      <c r="A687" s="152" t="s">
        <v>188</v>
      </c>
      <c r="B687" s="151"/>
      <c r="C687" s="151"/>
      <c r="D687" s="224"/>
      <c r="E687" s="224"/>
      <c r="F687" s="224"/>
      <c r="G687" s="224"/>
      <c r="H687" s="224"/>
      <c r="I687" s="224"/>
      <c r="J687" s="224"/>
      <c r="K687" s="224"/>
      <c r="L687" s="225"/>
      <c r="M687" s="225"/>
      <c r="N687" s="224"/>
      <c r="O687" s="224"/>
      <c r="P687" s="224"/>
    </row>
    <row r="688" spans="1:16" ht="25.5">
      <c r="A688" s="148" t="s">
        <v>353</v>
      </c>
      <c r="B688" s="151"/>
      <c r="C688" s="151"/>
      <c r="D688" s="227"/>
      <c r="E688" s="227">
        <f>E693*E698</f>
        <v>508750</v>
      </c>
      <c r="F688" s="227">
        <f>F693*F698</f>
        <v>508750</v>
      </c>
      <c r="G688" s="227"/>
      <c r="H688" s="227">
        <f>H693*H698</f>
        <v>540000</v>
      </c>
      <c r="I688" s="224"/>
      <c r="J688" s="227">
        <f>J693*J698</f>
        <v>540000</v>
      </c>
      <c r="K688" s="224"/>
      <c r="L688" s="225"/>
      <c r="M688" s="225"/>
      <c r="N688" s="227"/>
      <c r="O688" s="227">
        <f>O693*O698</f>
        <v>587500</v>
      </c>
      <c r="P688" s="227">
        <f>P693*P698</f>
        <v>587500</v>
      </c>
    </row>
    <row r="689" spans="1:16" ht="26.25" customHeight="1">
      <c r="A689" s="148" t="s">
        <v>354</v>
      </c>
      <c r="B689" s="151"/>
      <c r="C689" s="151"/>
      <c r="D689" s="227"/>
      <c r="E689" s="227">
        <f aca="true" t="shared" si="55" ref="E689:F691">E694*E699</f>
        <v>16320</v>
      </c>
      <c r="F689" s="227">
        <f t="shared" si="55"/>
        <v>16320</v>
      </c>
      <c r="G689" s="227"/>
      <c r="H689" s="227">
        <f>H694*H699</f>
        <v>17280</v>
      </c>
      <c r="I689" s="224"/>
      <c r="J689" s="227">
        <f>J694*J699</f>
        <v>17280</v>
      </c>
      <c r="K689" s="224"/>
      <c r="L689" s="225"/>
      <c r="M689" s="225"/>
      <c r="N689" s="227"/>
      <c r="O689" s="227">
        <f aca="true" t="shared" si="56" ref="O689:P691">O694*O699</f>
        <v>18960</v>
      </c>
      <c r="P689" s="227">
        <f t="shared" si="56"/>
        <v>18960</v>
      </c>
    </row>
    <row r="690" spans="1:16" ht="30" customHeight="1">
      <c r="A690" s="148" t="s">
        <v>355</v>
      </c>
      <c r="B690" s="151"/>
      <c r="C690" s="151"/>
      <c r="D690" s="227"/>
      <c r="E690" s="227">
        <f t="shared" si="55"/>
        <v>33300</v>
      </c>
      <c r="F690" s="227">
        <f t="shared" si="55"/>
        <v>33300</v>
      </c>
      <c r="G690" s="227"/>
      <c r="H690" s="227">
        <f>H695*H700</f>
        <v>35100</v>
      </c>
      <c r="I690" s="224"/>
      <c r="J690" s="227">
        <f>J695*J700</f>
        <v>35100</v>
      </c>
      <c r="K690" s="224"/>
      <c r="L690" s="225"/>
      <c r="M690" s="225"/>
      <c r="N690" s="227"/>
      <c r="O690" s="227">
        <f t="shared" si="56"/>
        <v>38700</v>
      </c>
      <c r="P690" s="227">
        <f t="shared" si="56"/>
        <v>38700</v>
      </c>
    </row>
    <row r="691" spans="1:16" ht="33.75" customHeight="1">
      <c r="A691" s="148" t="s">
        <v>356</v>
      </c>
      <c r="B691" s="151"/>
      <c r="C691" s="151"/>
      <c r="D691" s="227"/>
      <c r="E691" s="227">
        <f t="shared" si="55"/>
        <v>4800</v>
      </c>
      <c r="F691" s="227">
        <f t="shared" si="55"/>
        <v>4800</v>
      </c>
      <c r="G691" s="227"/>
      <c r="H691" s="227">
        <f>H696*H701</f>
        <v>4800</v>
      </c>
      <c r="I691" s="227"/>
      <c r="J691" s="227">
        <f>J696*J701</f>
        <v>4800</v>
      </c>
      <c r="K691" s="227"/>
      <c r="L691" s="231"/>
      <c r="M691" s="231"/>
      <c r="N691" s="227"/>
      <c r="O691" s="227">
        <f t="shared" si="56"/>
        <v>5280</v>
      </c>
      <c r="P691" s="227">
        <f t="shared" si="56"/>
        <v>5280</v>
      </c>
    </row>
    <row r="692" spans="1:16" ht="12.75">
      <c r="A692" s="152" t="s">
        <v>189</v>
      </c>
      <c r="B692" s="152"/>
      <c r="C692" s="152"/>
      <c r="D692" s="226"/>
      <c r="E692" s="226"/>
      <c r="F692" s="227"/>
      <c r="G692" s="226"/>
      <c r="H692" s="226"/>
      <c r="I692" s="226"/>
      <c r="J692" s="227"/>
      <c r="K692" s="227"/>
      <c r="L692" s="226"/>
      <c r="M692" s="226"/>
      <c r="N692" s="226"/>
      <c r="O692" s="226"/>
      <c r="P692" s="227"/>
    </row>
    <row r="693" spans="1:16" ht="33" customHeight="1">
      <c r="A693" s="148" t="s">
        <v>327</v>
      </c>
      <c r="B693" s="97"/>
      <c r="C693" s="97"/>
      <c r="D693" s="232"/>
      <c r="E693" s="232">
        <f>60+160+30</f>
        <v>250</v>
      </c>
      <c r="F693" s="232">
        <f>60+160+30</f>
        <v>250</v>
      </c>
      <c r="G693" s="232"/>
      <c r="H693" s="232">
        <f>60+160+30</f>
        <v>250</v>
      </c>
      <c r="I693" s="232"/>
      <c r="J693" s="232">
        <f>60+160+30</f>
        <v>250</v>
      </c>
      <c r="K693" s="232"/>
      <c r="L693" s="232"/>
      <c r="M693" s="232"/>
      <c r="N693" s="232"/>
      <c r="O693" s="232">
        <f>60+160+30</f>
        <v>250</v>
      </c>
      <c r="P693" s="232">
        <f>60+160+30</f>
        <v>250</v>
      </c>
    </row>
    <row r="694" spans="1:16" ht="21.75" customHeight="1">
      <c r="A694" s="148" t="s">
        <v>328</v>
      </c>
      <c r="B694" s="97"/>
      <c r="C694" s="97"/>
      <c r="D694" s="232"/>
      <c r="E694" s="232">
        <v>24</v>
      </c>
      <c r="F694" s="232">
        <v>24</v>
      </c>
      <c r="G694" s="232"/>
      <c r="H694" s="232">
        <v>24</v>
      </c>
      <c r="I694" s="233"/>
      <c r="J694" s="232">
        <v>24</v>
      </c>
      <c r="K694" s="233"/>
      <c r="L694" s="233"/>
      <c r="M694" s="233"/>
      <c r="N694" s="232"/>
      <c r="O694" s="232">
        <v>24</v>
      </c>
      <c r="P694" s="232">
        <v>24</v>
      </c>
    </row>
    <row r="695" spans="1:16" ht="25.5">
      <c r="A695" s="148" t="s">
        <v>329</v>
      </c>
      <c r="B695" s="97"/>
      <c r="C695" s="97"/>
      <c r="D695" s="232"/>
      <c r="E695" s="232">
        <v>90</v>
      </c>
      <c r="F695" s="232">
        <v>90</v>
      </c>
      <c r="G695" s="232"/>
      <c r="H695" s="232">
        <v>90</v>
      </c>
      <c r="I695" s="232"/>
      <c r="J695" s="232">
        <v>90</v>
      </c>
      <c r="K695" s="232"/>
      <c r="L695" s="232"/>
      <c r="M695" s="232"/>
      <c r="N695" s="232"/>
      <c r="O695" s="232">
        <v>90</v>
      </c>
      <c r="P695" s="232">
        <v>90</v>
      </c>
    </row>
    <row r="696" spans="1:16" ht="12.75">
      <c r="A696" s="148" t="s">
        <v>330</v>
      </c>
      <c r="B696" s="97"/>
      <c r="C696" s="97"/>
      <c r="D696" s="232"/>
      <c r="E696" s="232">
        <v>30</v>
      </c>
      <c r="F696" s="232">
        <f>E696</f>
        <v>30</v>
      </c>
      <c r="G696" s="232"/>
      <c r="H696" s="232">
        <v>30</v>
      </c>
      <c r="I696" s="232"/>
      <c r="J696" s="232">
        <v>30</v>
      </c>
      <c r="K696" s="232"/>
      <c r="L696" s="232"/>
      <c r="M696" s="232"/>
      <c r="N696" s="232"/>
      <c r="O696" s="232">
        <v>30</v>
      </c>
      <c r="P696" s="232">
        <v>30</v>
      </c>
    </row>
    <row r="697" spans="1:16" ht="12.75">
      <c r="A697" s="152" t="s">
        <v>191</v>
      </c>
      <c r="B697" s="152"/>
      <c r="C697" s="152"/>
      <c r="D697" s="99"/>
      <c r="E697" s="237"/>
      <c r="F697" s="237"/>
      <c r="G697" s="99"/>
      <c r="H697" s="237"/>
      <c r="I697" s="226"/>
      <c r="J697" s="237"/>
      <c r="K697" s="227"/>
      <c r="L697" s="226"/>
      <c r="M697" s="226"/>
      <c r="N697" s="99"/>
      <c r="O697" s="237"/>
      <c r="P697" s="237"/>
    </row>
    <row r="698" spans="1:16" ht="24" customHeight="1">
      <c r="A698" s="97" t="s">
        <v>357</v>
      </c>
      <c r="B698" s="97"/>
      <c r="C698" s="97"/>
      <c r="D698" s="98"/>
      <c r="E698" s="227">
        <v>2035</v>
      </c>
      <c r="F698" s="227">
        <f>E698</f>
        <v>2035</v>
      </c>
      <c r="G698" s="98"/>
      <c r="H698" s="227">
        <v>2160</v>
      </c>
      <c r="I698" s="231"/>
      <c r="J698" s="227">
        <f>H698</f>
        <v>2160</v>
      </c>
      <c r="K698" s="234"/>
      <c r="L698" s="235"/>
      <c r="M698" s="217"/>
      <c r="N698" s="98"/>
      <c r="O698" s="227">
        <v>2350</v>
      </c>
      <c r="P698" s="227">
        <f>O698</f>
        <v>2350</v>
      </c>
    </row>
    <row r="699" spans="1:16" ht="26.25" customHeight="1">
      <c r="A699" s="97" t="s">
        <v>358</v>
      </c>
      <c r="B699" s="97"/>
      <c r="C699" s="97"/>
      <c r="D699" s="98"/>
      <c r="E699" s="98">
        <v>680</v>
      </c>
      <c r="F699" s="227">
        <f>E699</f>
        <v>680</v>
      </c>
      <c r="G699" s="98"/>
      <c r="H699" s="98">
        <v>720</v>
      </c>
      <c r="I699" s="231"/>
      <c r="J699" s="227">
        <f>H699</f>
        <v>720</v>
      </c>
      <c r="K699" s="227"/>
      <c r="L699" s="231"/>
      <c r="M699" s="98"/>
      <c r="N699" s="98"/>
      <c r="O699" s="98">
        <v>790</v>
      </c>
      <c r="P699" s="227">
        <f>O699</f>
        <v>790</v>
      </c>
    </row>
    <row r="700" spans="1:16" ht="26.25" customHeight="1">
      <c r="A700" s="97" t="s">
        <v>359</v>
      </c>
      <c r="B700" s="97"/>
      <c r="C700" s="97"/>
      <c r="D700" s="98"/>
      <c r="E700" s="98">
        <v>370</v>
      </c>
      <c r="F700" s="227">
        <f>E700</f>
        <v>370</v>
      </c>
      <c r="G700" s="98"/>
      <c r="H700" s="98">
        <v>390</v>
      </c>
      <c r="I700" s="231"/>
      <c r="J700" s="227">
        <f>H700</f>
        <v>390</v>
      </c>
      <c r="K700" s="227"/>
      <c r="L700" s="231"/>
      <c r="M700" s="98"/>
      <c r="N700" s="98"/>
      <c r="O700" s="98">
        <v>430</v>
      </c>
      <c r="P700" s="227">
        <f>O700</f>
        <v>430</v>
      </c>
    </row>
    <row r="701" spans="1:16" ht="30.75" customHeight="1">
      <c r="A701" s="154" t="s">
        <v>360</v>
      </c>
      <c r="B701" s="154"/>
      <c r="C701" s="154"/>
      <c r="D701" s="238"/>
      <c r="E701" s="238">
        <v>160</v>
      </c>
      <c r="F701" s="239">
        <f>E701</f>
        <v>160</v>
      </c>
      <c r="G701" s="238"/>
      <c r="H701" s="238">
        <v>160</v>
      </c>
      <c r="I701" s="238"/>
      <c r="J701" s="239">
        <f>H701</f>
        <v>160</v>
      </c>
      <c r="K701" s="239"/>
      <c r="L701" s="240"/>
      <c r="M701" s="238"/>
      <c r="N701" s="238"/>
      <c r="O701" s="238">
        <v>176</v>
      </c>
      <c r="P701" s="239">
        <f>O701</f>
        <v>176</v>
      </c>
    </row>
    <row r="702" spans="1:16" ht="27">
      <c r="A702" s="155" t="s">
        <v>361</v>
      </c>
      <c r="B702" s="241"/>
      <c r="C702" s="241"/>
      <c r="D702" s="242"/>
      <c r="E702" s="242">
        <f>E704</f>
        <v>73200</v>
      </c>
      <c r="F702" s="242">
        <f>E702</f>
        <v>73200</v>
      </c>
      <c r="G702" s="242"/>
      <c r="H702" s="242">
        <f>H704</f>
        <v>79200</v>
      </c>
      <c r="I702" s="242"/>
      <c r="J702" s="242">
        <f>H702</f>
        <v>79200</v>
      </c>
      <c r="K702" s="242"/>
      <c r="L702" s="243"/>
      <c r="M702" s="243"/>
      <c r="N702" s="242"/>
      <c r="O702" s="242">
        <f>O704</f>
        <v>82800</v>
      </c>
      <c r="P702" s="242">
        <f>O702</f>
        <v>82800</v>
      </c>
    </row>
    <row r="703" spans="1:16" ht="13.5">
      <c r="A703" s="156" t="s">
        <v>188</v>
      </c>
      <c r="B703" s="241"/>
      <c r="C703" s="241"/>
      <c r="D703" s="242"/>
      <c r="E703" s="242"/>
      <c r="F703" s="242"/>
      <c r="G703" s="242"/>
      <c r="H703" s="242"/>
      <c r="I703" s="242"/>
      <c r="J703" s="242"/>
      <c r="K703" s="242"/>
      <c r="L703" s="243"/>
      <c r="M703" s="243"/>
      <c r="N703" s="242"/>
      <c r="O703" s="242"/>
      <c r="P703" s="242"/>
    </row>
    <row r="704" spans="1:16" ht="13.5">
      <c r="A704" s="144" t="s">
        <v>362</v>
      </c>
      <c r="B704" s="241"/>
      <c r="C704" s="241"/>
      <c r="D704" s="244"/>
      <c r="E704" s="244">
        <f>E706*E708</f>
        <v>73200</v>
      </c>
      <c r="F704" s="244">
        <f>E704</f>
        <v>73200</v>
      </c>
      <c r="G704" s="244"/>
      <c r="H704" s="244">
        <f>H706*H708</f>
        <v>79200</v>
      </c>
      <c r="I704" s="245"/>
      <c r="J704" s="244">
        <f>H704</f>
        <v>79200</v>
      </c>
      <c r="K704" s="245"/>
      <c r="L704" s="246"/>
      <c r="M704" s="246"/>
      <c r="N704" s="244"/>
      <c r="O704" s="244">
        <f>O706*O708</f>
        <v>82800</v>
      </c>
      <c r="P704" s="244">
        <f>O704</f>
        <v>82800</v>
      </c>
    </row>
    <row r="705" spans="1:16" ht="15" customHeight="1">
      <c r="A705" s="156" t="s">
        <v>189</v>
      </c>
      <c r="B705" s="247"/>
      <c r="C705" s="247"/>
      <c r="D705" s="246"/>
      <c r="E705" s="246"/>
      <c r="F705" s="244"/>
      <c r="G705" s="246"/>
      <c r="H705" s="246"/>
      <c r="I705" s="246"/>
      <c r="J705" s="244"/>
      <c r="K705" s="244"/>
      <c r="L705" s="246"/>
      <c r="M705" s="246"/>
      <c r="N705" s="246"/>
      <c r="O705" s="246"/>
      <c r="P705" s="244"/>
    </row>
    <row r="706" spans="1:16" ht="15" customHeight="1">
      <c r="A706" s="157" t="s">
        <v>363</v>
      </c>
      <c r="B706" s="248"/>
      <c r="C706" s="248"/>
      <c r="D706" s="249"/>
      <c r="E706" s="250">
        <v>12</v>
      </c>
      <c r="F706" s="250">
        <f>E706</f>
        <v>12</v>
      </c>
      <c r="G706" s="250"/>
      <c r="H706" s="250">
        <v>12</v>
      </c>
      <c r="I706" s="250"/>
      <c r="J706" s="250">
        <f>H706</f>
        <v>12</v>
      </c>
      <c r="K706" s="250" t="e">
        <f>G706/D706*100</f>
        <v>#DIV/0!</v>
      </c>
      <c r="L706" s="250"/>
      <c r="M706" s="250"/>
      <c r="N706" s="250"/>
      <c r="O706" s="250">
        <v>12</v>
      </c>
      <c r="P706" s="250">
        <f>O706</f>
        <v>12</v>
      </c>
    </row>
    <row r="707" spans="1:16" ht="14.25" customHeight="1">
      <c r="A707" s="156" t="s">
        <v>191</v>
      </c>
      <c r="B707" s="247"/>
      <c r="C707" s="247"/>
      <c r="D707" s="246"/>
      <c r="E707" s="246"/>
      <c r="F707" s="244"/>
      <c r="G707" s="246"/>
      <c r="H707" s="246"/>
      <c r="I707" s="246"/>
      <c r="J707" s="244"/>
      <c r="K707" s="244"/>
      <c r="L707" s="246"/>
      <c r="M707" s="246"/>
      <c r="N707" s="246"/>
      <c r="O707" s="246"/>
      <c r="P707" s="244"/>
    </row>
    <row r="708" spans="1:131" s="61" customFormat="1" ht="12.75">
      <c r="A708" s="157" t="s">
        <v>364</v>
      </c>
      <c r="B708" s="251"/>
      <c r="C708" s="251"/>
      <c r="D708" s="125"/>
      <c r="E708" s="125">
        <v>6100</v>
      </c>
      <c r="F708" s="244">
        <f>E708</f>
        <v>6100</v>
      </c>
      <c r="G708" s="125"/>
      <c r="H708" s="125">
        <v>6600</v>
      </c>
      <c r="I708" s="125"/>
      <c r="J708" s="244">
        <f>H708</f>
        <v>6600</v>
      </c>
      <c r="K708" s="244" t="e">
        <f>G708/D708*100</f>
        <v>#DIV/0!</v>
      </c>
      <c r="L708" s="252"/>
      <c r="M708" s="125"/>
      <c r="N708" s="125"/>
      <c r="O708" s="125">
        <v>6900</v>
      </c>
      <c r="P708" s="244">
        <f>O708</f>
        <v>6900</v>
      </c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0"/>
      <c r="BQ708" s="60"/>
      <c r="BR708" s="60"/>
      <c r="BS708" s="60"/>
      <c r="BT708" s="60"/>
      <c r="BU708" s="60"/>
      <c r="BV708" s="60"/>
      <c r="BW708" s="60"/>
      <c r="BX708" s="60"/>
      <c r="BY708" s="60"/>
      <c r="BZ708" s="60"/>
      <c r="CA708" s="60"/>
      <c r="CB708" s="60"/>
      <c r="CC708" s="60"/>
      <c r="CD708" s="60"/>
      <c r="CE708" s="60"/>
      <c r="CF708" s="60"/>
      <c r="CG708" s="60"/>
      <c r="CH708" s="60"/>
      <c r="CI708" s="60"/>
      <c r="CJ708" s="60"/>
      <c r="CK708" s="60"/>
      <c r="CL708" s="60"/>
      <c r="CM708" s="60"/>
      <c r="CN708" s="60"/>
      <c r="CO708" s="60"/>
      <c r="CP708" s="60"/>
      <c r="CQ708" s="60"/>
      <c r="CR708" s="60"/>
      <c r="CS708" s="60"/>
      <c r="CT708" s="60"/>
      <c r="CU708" s="60"/>
      <c r="CV708" s="60"/>
      <c r="CW708" s="60"/>
      <c r="CX708" s="60"/>
      <c r="CY708" s="60"/>
      <c r="CZ708" s="60"/>
      <c r="DA708" s="60"/>
      <c r="DB708" s="60"/>
      <c r="DC708" s="60"/>
      <c r="DD708" s="60"/>
      <c r="DE708" s="60"/>
      <c r="DF708" s="60"/>
      <c r="DG708" s="60"/>
      <c r="DH708" s="60"/>
      <c r="DI708" s="60"/>
      <c r="DJ708" s="60"/>
      <c r="DK708" s="60"/>
      <c r="DL708" s="60"/>
      <c r="DM708" s="60"/>
      <c r="DN708" s="60"/>
      <c r="DO708" s="60"/>
      <c r="DP708" s="60"/>
      <c r="DQ708" s="60"/>
      <c r="DR708" s="60"/>
      <c r="DS708" s="60"/>
      <c r="DT708" s="60"/>
      <c r="DU708" s="60"/>
      <c r="DV708" s="60"/>
      <c r="DW708" s="60"/>
      <c r="DX708" s="60"/>
      <c r="DY708" s="60"/>
      <c r="DZ708" s="60"/>
      <c r="EA708" s="60"/>
    </row>
    <row r="709" spans="1:131" s="91" customFormat="1" ht="32.25" customHeight="1">
      <c r="A709" s="80" t="s">
        <v>73</v>
      </c>
      <c r="B709" s="89"/>
      <c r="C709" s="89"/>
      <c r="D709" s="93">
        <f>D711</f>
        <v>0</v>
      </c>
      <c r="E709" s="93">
        <f aca="true" t="shared" si="57" ref="E709:P709">E711</f>
        <v>0</v>
      </c>
      <c r="F709" s="93">
        <f t="shared" si="57"/>
        <v>0</v>
      </c>
      <c r="G709" s="93">
        <f t="shared" si="57"/>
        <v>0</v>
      </c>
      <c r="H709" s="93">
        <f t="shared" si="57"/>
        <v>0</v>
      </c>
      <c r="I709" s="93">
        <f t="shared" si="57"/>
        <v>0</v>
      </c>
      <c r="J709" s="93">
        <f t="shared" si="57"/>
        <v>0</v>
      </c>
      <c r="K709" s="93">
        <f t="shared" si="57"/>
        <v>0</v>
      </c>
      <c r="L709" s="93">
        <f t="shared" si="57"/>
        <v>0</v>
      </c>
      <c r="M709" s="93">
        <f t="shared" si="57"/>
        <v>0</v>
      </c>
      <c r="N709" s="93">
        <f t="shared" si="57"/>
        <v>0</v>
      </c>
      <c r="O709" s="93">
        <f t="shared" si="57"/>
        <v>0</v>
      </c>
      <c r="P709" s="93">
        <f t="shared" si="57"/>
        <v>0</v>
      </c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0"/>
      <c r="BG709" s="90"/>
      <c r="BH709" s="90"/>
      <c r="BI709" s="90"/>
      <c r="BJ709" s="90"/>
      <c r="BK709" s="90"/>
      <c r="BL709" s="90"/>
      <c r="BM709" s="90"/>
      <c r="BN709" s="90"/>
      <c r="BO709" s="90"/>
      <c r="BP709" s="90"/>
      <c r="BQ709" s="90"/>
      <c r="BR709" s="90"/>
      <c r="BS709" s="90"/>
      <c r="BT709" s="90"/>
      <c r="BU709" s="90"/>
      <c r="BV709" s="90"/>
      <c r="BW709" s="90"/>
      <c r="BX709" s="90"/>
      <c r="BY709" s="90"/>
      <c r="BZ709" s="90"/>
      <c r="CA709" s="90"/>
      <c r="CB709" s="90"/>
      <c r="CC709" s="90"/>
      <c r="CD709" s="90"/>
      <c r="CE709" s="90"/>
      <c r="CF709" s="90"/>
      <c r="CG709" s="90"/>
      <c r="CH709" s="90"/>
      <c r="CI709" s="90"/>
      <c r="CJ709" s="90"/>
      <c r="CK709" s="90"/>
      <c r="CL709" s="90"/>
      <c r="CM709" s="90"/>
      <c r="CN709" s="90"/>
      <c r="CO709" s="90"/>
      <c r="CP709" s="90"/>
      <c r="CQ709" s="90"/>
      <c r="CR709" s="90"/>
      <c r="CS709" s="90"/>
      <c r="CT709" s="90"/>
      <c r="CU709" s="90"/>
      <c r="CV709" s="90"/>
      <c r="CW709" s="90"/>
      <c r="CX709" s="90"/>
      <c r="CY709" s="90"/>
      <c r="CZ709" s="90"/>
      <c r="DA709" s="90"/>
      <c r="DB709" s="90"/>
      <c r="DC709" s="90"/>
      <c r="DD709" s="90"/>
      <c r="DE709" s="90"/>
      <c r="DF709" s="90"/>
      <c r="DG709" s="90"/>
      <c r="DH709" s="90"/>
      <c r="DI709" s="90"/>
      <c r="DJ709" s="90"/>
      <c r="DK709" s="90"/>
      <c r="DL709" s="90"/>
      <c r="DM709" s="90"/>
      <c r="DN709" s="90"/>
      <c r="DO709" s="90"/>
      <c r="DP709" s="90"/>
      <c r="DQ709" s="90"/>
      <c r="DR709" s="90"/>
      <c r="DS709" s="90"/>
      <c r="DT709" s="90"/>
      <c r="DU709" s="90"/>
      <c r="DV709" s="90"/>
      <c r="DW709" s="90"/>
      <c r="DX709" s="90"/>
      <c r="DY709" s="90"/>
      <c r="DZ709" s="90"/>
      <c r="EA709" s="90"/>
    </row>
    <row r="710" spans="1:131" s="101" customFormat="1" ht="12.75">
      <c r="A710" s="148" t="s">
        <v>78</v>
      </c>
      <c r="B710" s="97"/>
      <c r="C710" s="97"/>
      <c r="D710" s="98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  <c r="AZ710" s="100"/>
      <c r="BA710" s="100"/>
      <c r="BB710" s="100"/>
      <c r="BC710" s="100"/>
      <c r="BD710" s="100"/>
      <c r="BE710" s="100"/>
      <c r="BF710" s="100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100"/>
      <c r="BS710" s="100"/>
      <c r="BT710" s="100"/>
      <c r="BU710" s="100"/>
      <c r="BV710" s="100"/>
      <c r="BW710" s="100"/>
      <c r="BX710" s="100"/>
      <c r="BY710" s="100"/>
      <c r="BZ710" s="100"/>
      <c r="CA710" s="100"/>
      <c r="CB710" s="100"/>
      <c r="CC710" s="100"/>
      <c r="CD710" s="100"/>
      <c r="CE710" s="100"/>
      <c r="CF710" s="100"/>
      <c r="CG710" s="100"/>
      <c r="CH710" s="100"/>
      <c r="CI710" s="100"/>
      <c r="CJ710" s="100"/>
      <c r="CK710" s="100"/>
      <c r="CL710" s="100"/>
      <c r="CM710" s="100"/>
      <c r="CN710" s="100"/>
      <c r="CO710" s="100"/>
      <c r="CP710" s="100"/>
      <c r="CQ710" s="100"/>
      <c r="CR710" s="100"/>
      <c r="CS710" s="100"/>
      <c r="CT710" s="100"/>
      <c r="CU710" s="100"/>
      <c r="CV710" s="100"/>
      <c r="CW710" s="100"/>
      <c r="CX710" s="100"/>
      <c r="CY710" s="100"/>
      <c r="CZ710" s="100"/>
      <c r="DA710" s="100"/>
      <c r="DB710" s="100"/>
      <c r="DC710" s="100"/>
      <c r="DD710" s="100"/>
      <c r="DE710" s="100"/>
      <c r="DF710" s="100"/>
      <c r="DG710" s="100"/>
      <c r="DH710" s="100"/>
      <c r="DI710" s="100"/>
      <c r="DJ710" s="100"/>
      <c r="DK710" s="100"/>
      <c r="DL710" s="100"/>
      <c r="DM710" s="100"/>
      <c r="DN710" s="100"/>
      <c r="DO710" s="100"/>
      <c r="DP710" s="100"/>
      <c r="DQ710" s="100"/>
      <c r="DR710" s="100"/>
      <c r="DS710" s="100"/>
      <c r="DT710" s="100"/>
      <c r="DU710" s="100"/>
      <c r="DV710" s="100"/>
      <c r="DW710" s="100"/>
      <c r="DX710" s="100"/>
      <c r="DY710" s="100"/>
      <c r="DZ710" s="100"/>
      <c r="EA710" s="100"/>
    </row>
    <row r="711" spans="1:131" s="78" customFormat="1" ht="32.25" customHeight="1">
      <c r="A711" s="120" t="s">
        <v>79</v>
      </c>
      <c r="B711" s="94"/>
      <c r="C711" s="94"/>
      <c r="D711" s="112">
        <f>D712</f>
        <v>0</v>
      </c>
      <c r="E711" s="112">
        <f>E712</f>
        <v>0</v>
      </c>
      <c r="F711" s="112">
        <f>D711+E711</f>
        <v>0</v>
      </c>
      <c r="G711" s="112">
        <f>G712</f>
        <v>0</v>
      </c>
      <c r="H711" s="112">
        <f>H712</f>
        <v>0</v>
      </c>
      <c r="I711" s="112">
        <f>I712+I717</f>
        <v>0</v>
      </c>
      <c r="J711" s="112">
        <f>G711+H711</f>
        <v>0</v>
      </c>
      <c r="K711" s="112">
        <f>K712+K717</f>
        <v>0</v>
      </c>
      <c r="L711" s="112">
        <f>L712+L717</f>
        <v>0</v>
      </c>
      <c r="M711" s="112">
        <f>M712+M717</f>
        <v>0</v>
      </c>
      <c r="N711" s="112">
        <f>N712</f>
        <v>0</v>
      </c>
      <c r="O711" s="112">
        <f>O712</f>
        <v>0</v>
      </c>
      <c r="P711" s="112">
        <f>N711+O711</f>
        <v>0</v>
      </c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  <c r="BR711" s="77"/>
      <c r="BS711" s="77"/>
      <c r="BT711" s="77"/>
      <c r="BU711" s="77"/>
      <c r="BV711" s="77"/>
      <c r="BW711" s="77"/>
      <c r="BX711" s="77"/>
      <c r="BY711" s="77"/>
      <c r="BZ711" s="77"/>
      <c r="CA711" s="77"/>
      <c r="CB711" s="77"/>
      <c r="CC711" s="77"/>
      <c r="CD711" s="77"/>
      <c r="CE711" s="77"/>
      <c r="CF711" s="77"/>
      <c r="CG711" s="77"/>
      <c r="CH711" s="77"/>
      <c r="CI711" s="77"/>
      <c r="CJ711" s="77"/>
      <c r="CK711" s="77"/>
      <c r="CL711" s="77"/>
      <c r="CM711" s="77"/>
      <c r="CN711" s="77"/>
      <c r="CO711" s="77"/>
      <c r="CP711" s="77"/>
      <c r="CQ711" s="77"/>
      <c r="CR711" s="77"/>
      <c r="CS711" s="77"/>
      <c r="CT711" s="77"/>
      <c r="CU711" s="77"/>
      <c r="CV711" s="77"/>
      <c r="CW711" s="77"/>
      <c r="CX711" s="77"/>
      <c r="CY711" s="77"/>
      <c r="CZ711" s="77"/>
      <c r="DA711" s="77"/>
      <c r="DB711" s="77"/>
      <c r="DC711" s="77"/>
      <c r="DD711" s="77"/>
      <c r="DE711" s="77"/>
      <c r="DF711" s="77"/>
      <c r="DG711" s="77"/>
      <c r="DH711" s="77"/>
      <c r="DI711" s="77"/>
      <c r="DJ711" s="77"/>
      <c r="DK711" s="77"/>
      <c r="DL711" s="77"/>
      <c r="DM711" s="77"/>
      <c r="DN711" s="77"/>
      <c r="DO711" s="77"/>
      <c r="DP711" s="77"/>
      <c r="DQ711" s="77"/>
      <c r="DR711" s="77"/>
      <c r="DS711" s="77"/>
      <c r="DT711" s="77"/>
      <c r="DU711" s="77"/>
      <c r="DV711" s="77"/>
      <c r="DW711" s="77"/>
      <c r="DX711" s="77"/>
      <c r="DY711" s="77"/>
      <c r="DZ711" s="77"/>
      <c r="EA711" s="77"/>
    </row>
    <row r="712" spans="1:131" s="11" customFormat="1" ht="27">
      <c r="A712" s="147" t="s">
        <v>80</v>
      </c>
      <c r="B712" s="155"/>
      <c r="C712" s="155"/>
      <c r="D712" s="216">
        <f>D714*D716</f>
        <v>0</v>
      </c>
      <c r="E712" s="216"/>
      <c r="F712" s="216">
        <f>E712</f>
        <v>0</v>
      </c>
      <c r="G712" s="216"/>
      <c r="H712" s="216"/>
      <c r="I712" s="216"/>
      <c r="J712" s="216">
        <f>H712</f>
        <v>0</v>
      </c>
      <c r="K712" s="216"/>
      <c r="L712" s="216"/>
      <c r="M712" s="216"/>
      <c r="N712" s="216"/>
      <c r="O712" s="216"/>
      <c r="P712" s="216">
        <f>O712</f>
        <v>0</v>
      </c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</row>
    <row r="713" spans="1:16" ht="16.5" customHeight="1">
      <c r="A713" s="143" t="s">
        <v>189</v>
      </c>
      <c r="B713" s="157"/>
      <c r="C713" s="157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</row>
    <row r="714" spans="1:16" ht="12.75">
      <c r="A714" s="144" t="s">
        <v>76</v>
      </c>
      <c r="B714" s="157"/>
      <c r="C714" s="157"/>
      <c r="D714" s="125"/>
      <c r="E714" s="253"/>
      <c r="F714" s="253">
        <f>E714</f>
        <v>0</v>
      </c>
      <c r="G714" s="125"/>
      <c r="H714" s="253"/>
      <c r="I714" s="253"/>
      <c r="J714" s="253">
        <f>H714</f>
        <v>0</v>
      </c>
      <c r="K714" s="253"/>
      <c r="L714" s="253"/>
      <c r="M714" s="253"/>
      <c r="N714" s="253"/>
      <c r="O714" s="253"/>
      <c r="P714" s="253">
        <v>0</v>
      </c>
    </row>
    <row r="715" spans="1:16" ht="17.25" customHeight="1">
      <c r="A715" s="156" t="s">
        <v>191</v>
      </c>
      <c r="B715" s="157"/>
      <c r="C715" s="157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</row>
    <row r="716" spans="1:16" ht="22.5" customHeight="1">
      <c r="A716" s="144" t="s">
        <v>77</v>
      </c>
      <c r="B716" s="157"/>
      <c r="C716" s="157"/>
      <c r="D716" s="125"/>
      <c r="E716" s="125"/>
      <c r="F716" s="125">
        <f>E716</f>
        <v>0</v>
      </c>
      <c r="G716" s="125"/>
      <c r="H716" s="125"/>
      <c r="I716" s="125"/>
      <c r="J716" s="125">
        <f>H716</f>
        <v>0</v>
      </c>
      <c r="K716" s="125"/>
      <c r="L716" s="125"/>
      <c r="M716" s="125"/>
      <c r="N716" s="125"/>
      <c r="O716" s="125"/>
      <c r="P716" s="125">
        <v>0</v>
      </c>
    </row>
    <row r="717" spans="1:131" s="91" customFormat="1" ht="32.25" customHeight="1">
      <c r="A717" s="80" t="s">
        <v>326</v>
      </c>
      <c r="B717" s="89"/>
      <c r="C717" s="89"/>
      <c r="D717" s="93">
        <f>D719</f>
        <v>0</v>
      </c>
      <c r="E717" s="93">
        <f aca="true" t="shared" si="58" ref="E717:P717">E719</f>
        <v>855700</v>
      </c>
      <c r="F717" s="93">
        <f t="shared" si="58"/>
        <v>855700</v>
      </c>
      <c r="G717" s="93">
        <f t="shared" si="58"/>
        <v>0</v>
      </c>
      <c r="H717" s="93">
        <f t="shared" si="58"/>
        <v>2368500</v>
      </c>
      <c r="I717" s="93">
        <f t="shared" si="58"/>
        <v>0</v>
      </c>
      <c r="J717" s="93">
        <f t="shared" si="58"/>
        <v>2368500</v>
      </c>
      <c r="K717" s="93">
        <f t="shared" si="58"/>
        <v>0</v>
      </c>
      <c r="L717" s="93">
        <f t="shared" si="58"/>
        <v>0</v>
      </c>
      <c r="M717" s="93">
        <f t="shared" si="58"/>
        <v>0</v>
      </c>
      <c r="N717" s="93">
        <f t="shared" si="58"/>
        <v>0</v>
      </c>
      <c r="O717" s="93">
        <f t="shared" si="58"/>
        <v>2487000</v>
      </c>
      <c r="P717" s="93">
        <f t="shared" si="58"/>
        <v>2487000</v>
      </c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90"/>
      <c r="BC717" s="90"/>
      <c r="BD717" s="90"/>
      <c r="BE717" s="90"/>
      <c r="BF717" s="90"/>
      <c r="BG717" s="90"/>
      <c r="BH717" s="90"/>
      <c r="BI717" s="90"/>
      <c r="BJ717" s="90"/>
      <c r="BK717" s="90"/>
      <c r="BL717" s="90"/>
      <c r="BM717" s="90"/>
      <c r="BN717" s="90"/>
      <c r="BO717" s="90"/>
      <c r="BP717" s="90"/>
      <c r="BQ717" s="90"/>
      <c r="BR717" s="90"/>
      <c r="BS717" s="90"/>
      <c r="BT717" s="90"/>
      <c r="BU717" s="90"/>
      <c r="BV717" s="90"/>
      <c r="BW717" s="90"/>
      <c r="BX717" s="90"/>
      <c r="BY717" s="90"/>
      <c r="BZ717" s="90"/>
      <c r="CA717" s="90"/>
      <c r="CB717" s="90"/>
      <c r="CC717" s="90"/>
      <c r="CD717" s="90"/>
      <c r="CE717" s="90"/>
      <c r="CF717" s="90"/>
      <c r="CG717" s="90"/>
      <c r="CH717" s="90"/>
      <c r="CI717" s="90"/>
      <c r="CJ717" s="90"/>
      <c r="CK717" s="90"/>
      <c r="CL717" s="90"/>
      <c r="CM717" s="90"/>
      <c r="CN717" s="90"/>
      <c r="CO717" s="90"/>
      <c r="CP717" s="90"/>
      <c r="CQ717" s="90"/>
      <c r="CR717" s="90"/>
      <c r="CS717" s="90"/>
      <c r="CT717" s="90"/>
      <c r="CU717" s="90"/>
      <c r="CV717" s="90"/>
      <c r="CW717" s="90"/>
      <c r="CX717" s="90"/>
      <c r="CY717" s="90"/>
      <c r="CZ717" s="90"/>
      <c r="DA717" s="90"/>
      <c r="DB717" s="90"/>
      <c r="DC717" s="90"/>
      <c r="DD717" s="90"/>
      <c r="DE717" s="90"/>
      <c r="DF717" s="90"/>
      <c r="DG717" s="90"/>
      <c r="DH717" s="90"/>
      <c r="DI717" s="90"/>
      <c r="DJ717" s="90"/>
      <c r="DK717" s="90"/>
      <c r="DL717" s="90"/>
      <c r="DM717" s="90"/>
      <c r="DN717" s="90"/>
      <c r="DO717" s="90"/>
      <c r="DP717" s="90"/>
      <c r="DQ717" s="90"/>
      <c r="DR717" s="90"/>
      <c r="DS717" s="90"/>
      <c r="DT717" s="90"/>
      <c r="DU717" s="90"/>
      <c r="DV717" s="90"/>
      <c r="DW717" s="90"/>
      <c r="DX717" s="90"/>
      <c r="DY717" s="90"/>
      <c r="DZ717" s="90"/>
      <c r="EA717" s="90"/>
    </row>
    <row r="718" spans="1:131" s="101" customFormat="1" ht="32.25" customHeight="1">
      <c r="A718" s="148" t="s">
        <v>430</v>
      </c>
      <c r="B718" s="97"/>
      <c r="C718" s="97"/>
      <c r="D718" s="98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  <c r="AZ718" s="100"/>
      <c r="BA718" s="100"/>
      <c r="BB718" s="100"/>
      <c r="BC718" s="100"/>
      <c r="BD718" s="100"/>
      <c r="BE718" s="100"/>
      <c r="BF718" s="100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100"/>
      <c r="BS718" s="100"/>
      <c r="BT718" s="100"/>
      <c r="BU718" s="100"/>
      <c r="BV718" s="100"/>
      <c r="BW718" s="100"/>
      <c r="BX718" s="100"/>
      <c r="BY718" s="100"/>
      <c r="BZ718" s="100"/>
      <c r="CA718" s="100"/>
      <c r="CB718" s="100"/>
      <c r="CC718" s="100"/>
      <c r="CD718" s="100"/>
      <c r="CE718" s="100"/>
      <c r="CF718" s="100"/>
      <c r="CG718" s="100"/>
      <c r="CH718" s="100"/>
      <c r="CI718" s="100"/>
      <c r="CJ718" s="100"/>
      <c r="CK718" s="100"/>
      <c r="CL718" s="100"/>
      <c r="CM718" s="100"/>
      <c r="CN718" s="100"/>
      <c r="CO718" s="100"/>
      <c r="CP718" s="100"/>
      <c r="CQ718" s="100"/>
      <c r="CR718" s="100"/>
      <c r="CS718" s="100"/>
      <c r="CT718" s="100"/>
      <c r="CU718" s="100"/>
      <c r="CV718" s="100"/>
      <c r="CW718" s="100"/>
      <c r="CX718" s="100"/>
      <c r="CY718" s="100"/>
      <c r="CZ718" s="100"/>
      <c r="DA718" s="100"/>
      <c r="DB718" s="100"/>
      <c r="DC718" s="100"/>
      <c r="DD718" s="100"/>
      <c r="DE718" s="100"/>
      <c r="DF718" s="100"/>
      <c r="DG718" s="100"/>
      <c r="DH718" s="100"/>
      <c r="DI718" s="100"/>
      <c r="DJ718" s="100"/>
      <c r="DK718" s="100"/>
      <c r="DL718" s="100"/>
      <c r="DM718" s="100"/>
      <c r="DN718" s="100"/>
      <c r="DO718" s="100"/>
      <c r="DP718" s="100"/>
      <c r="DQ718" s="100"/>
      <c r="DR718" s="100"/>
      <c r="DS718" s="100"/>
      <c r="DT718" s="100"/>
      <c r="DU718" s="100"/>
      <c r="DV718" s="100"/>
      <c r="DW718" s="100"/>
      <c r="DX718" s="100"/>
      <c r="DY718" s="100"/>
      <c r="DZ718" s="100"/>
      <c r="EA718" s="100"/>
    </row>
    <row r="719" spans="1:131" s="78" customFormat="1" ht="12.75">
      <c r="A719" s="75" t="s">
        <v>74</v>
      </c>
      <c r="B719" s="94"/>
      <c r="C719" s="94"/>
      <c r="D719" s="96">
        <f>D720+D727</f>
        <v>0</v>
      </c>
      <c r="E719" s="96">
        <f>E720+E727</f>
        <v>855700</v>
      </c>
      <c r="F719" s="96">
        <f>D719+E719</f>
        <v>855700</v>
      </c>
      <c r="G719" s="96">
        <f>G720+G727</f>
        <v>0</v>
      </c>
      <c r="H719" s="96">
        <f>H720+H727</f>
        <v>2368500</v>
      </c>
      <c r="I719" s="96">
        <f>I720+I727</f>
        <v>0</v>
      </c>
      <c r="J719" s="96">
        <f>G719+H719</f>
        <v>2368500</v>
      </c>
      <c r="K719" s="96">
        <f>K720+K727</f>
        <v>0</v>
      </c>
      <c r="L719" s="96">
        <f>L720+L727</f>
        <v>0</v>
      </c>
      <c r="M719" s="96">
        <f>M720+M727</f>
        <v>0</v>
      </c>
      <c r="N719" s="96">
        <f>N720+N727</f>
        <v>0</v>
      </c>
      <c r="O719" s="96">
        <f>O720+O727</f>
        <v>2487000</v>
      </c>
      <c r="P719" s="96">
        <f>N719+O719</f>
        <v>2487000</v>
      </c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  <c r="BM719" s="77"/>
      <c r="BN719" s="77"/>
      <c r="BO719" s="77"/>
      <c r="BP719" s="77"/>
      <c r="BQ719" s="77"/>
      <c r="BR719" s="77"/>
      <c r="BS719" s="77"/>
      <c r="BT719" s="77"/>
      <c r="BU719" s="77"/>
      <c r="BV719" s="77"/>
      <c r="BW719" s="77"/>
      <c r="BX719" s="77"/>
      <c r="BY719" s="77"/>
      <c r="BZ719" s="77"/>
      <c r="CA719" s="77"/>
      <c r="CB719" s="77"/>
      <c r="CC719" s="77"/>
      <c r="CD719" s="77"/>
      <c r="CE719" s="77"/>
      <c r="CF719" s="77"/>
      <c r="CG719" s="77"/>
      <c r="CH719" s="77"/>
      <c r="CI719" s="77"/>
      <c r="CJ719" s="77"/>
      <c r="CK719" s="77"/>
      <c r="CL719" s="77"/>
      <c r="CM719" s="77"/>
      <c r="CN719" s="77"/>
      <c r="CO719" s="77"/>
      <c r="CP719" s="77"/>
      <c r="CQ719" s="77"/>
      <c r="CR719" s="77"/>
      <c r="CS719" s="77"/>
      <c r="CT719" s="77"/>
      <c r="CU719" s="77"/>
      <c r="CV719" s="77"/>
      <c r="CW719" s="77"/>
      <c r="CX719" s="77"/>
      <c r="CY719" s="77"/>
      <c r="CZ719" s="77"/>
      <c r="DA719" s="77"/>
      <c r="DB719" s="77"/>
      <c r="DC719" s="77"/>
      <c r="DD719" s="77"/>
      <c r="DE719" s="77"/>
      <c r="DF719" s="77"/>
      <c r="DG719" s="77"/>
      <c r="DH719" s="77"/>
      <c r="DI719" s="77"/>
      <c r="DJ719" s="77"/>
      <c r="DK719" s="77"/>
      <c r="DL719" s="77"/>
      <c r="DM719" s="77"/>
      <c r="DN719" s="77"/>
      <c r="DO719" s="77"/>
      <c r="DP719" s="77"/>
      <c r="DQ719" s="77"/>
      <c r="DR719" s="77"/>
      <c r="DS719" s="77"/>
      <c r="DT719" s="77"/>
      <c r="DU719" s="77"/>
      <c r="DV719" s="77"/>
      <c r="DW719" s="77"/>
      <c r="DX719" s="77"/>
      <c r="DY719" s="77"/>
      <c r="DZ719" s="77"/>
      <c r="EA719" s="77"/>
    </row>
    <row r="720" spans="1:131" s="11" customFormat="1" ht="13.5">
      <c r="A720" s="147" t="s">
        <v>75</v>
      </c>
      <c r="B720" s="155"/>
      <c r="C720" s="155"/>
      <c r="D720" s="216"/>
      <c r="E720" s="216">
        <f>E722</f>
        <v>300700</v>
      </c>
      <c r="F720" s="216">
        <f>E720</f>
        <v>300700</v>
      </c>
      <c r="G720" s="216"/>
      <c r="H720" s="216">
        <f>H722</f>
        <v>368500</v>
      </c>
      <c r="I720" s="216"/>
      <c r="J720" s="216">
        <f>H720</f>
        <v>368500</v>
      </c>
      <c r="K720" s="216"/>
      <c r="L720" s="216"/>
      <c r="M720" s="216"/>
      <c r="N720" s="216"/>
      <c r="O720" s="216">
        <f>O722</f>
        <v>387000</v>
      </c>
      <c r="P720" s="216">
        <f>O720</f>
        <v>387000</v>
      </c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</row>
    <row r="721" spans="1:16" ht="13.5" customHeight="1">
      <c r="A721" s="158" t="s">
        <v>188</v>
      </c>
      <c r="B721" s="157"/>
      <c r="C721" s="157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</row>
    <row r="722" spans="1:16" ht="26.25" customHeight="1">
      <c r="A722" s="159" t="s">
        <v>171</v>
      </c>
      <c r="B722" s="157"/>
      <c r="C722" s="157"/>
      <c r="D722" s="125"/>
      <c r="E722" s="125">
        <f>350000-49300</f>
        <v>300700</v>
      </c>
      <c r="F722" s="125">
        <f>E722</f>
        <v>300700</v>
      </c>
      <c r="G722" s="125"/>
      <c r="H722" s="125">
        <v>368500</v>
      </c>
      <c r="I722" s="125"/>
      <c r="J722" s="125">
        <f>H722</f>
        <v>368500</v>
      </c>
      <c r="K722" s="125"/>
      <c r="L722" s="125"/>
      <c r="M722" s="125"/>
      <c r="N722" s="125"/>
      <c r="O722" s="125">
        <v>387000</v>
      </c>
      <c r="P722" s="125">
        <f>O722</f>
        <v>387000</v>
      </c>
    </row>
    <row r="723" spans="1:16" ht="16.5" customHeight="1">
      <c r="A723" s="143" t="s">
        <v>189</v>
      </c>
      <c r="B723" s="157"/>
      <c r="C723" s="157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</row>
    <row r="724" spans="1:16" ht="15.75" customHeight="1">
      <c r="A724" s="144" t="s">
        <v>336</v>
      </c>
      <c r="B724" s="157"/>
      <c r="C724" s="157"/>
      <c r="D724" s="125"/>
      <c r="E724" s="253">
        <f>E722/E726</f>
        <v>214.78571428571428</v>
      </c>
      <c r="F724" s="253">
        <f>E724</f>
        <v>214.78571428571428</v>
      </c>
      <c r="G724" s="125"/>
      <c r="H724" s="253">
        <f>H722/H726</f>
        <v>246.6532797858099</v>
      </c>
      <c r="I724" s="253"/>
      <c r="J724" s="253">
        <f>H724</f>
        <v>246.6532797858099</v>
      </c>
      <c r="K724" s="253"/>
      <c r="L724" s="253"/>
      <c r="M724" s="253"/>
      <c r="N724" s="253"/>
      <c r="O724" s="253">
        <f>O722/O726</f>
        <v>244.3181818181818</v>
      </c>
      <c r="P724" s="253">
        <f>P722/P726</f>
        <v>244.3181818181818</v>
      </c>
    </row>
    <row r="725" spans="1:16" ht="17.25" customHeight="1">
      <c r="A725" s="156" t="s">
        <v>191</v>
      </c>
      <c r="B725" s="157"/>
      <c r="C725" s="157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</row>
    <row r="726" spans="1:16" ht="15" customHeight="1">
      <c r="A726" s="144" t="s">
        <v>413</v>
      </c>
      <c r="B726" s="157"/>
      <c r="C726" s="157"/>
      <c r="D726" s="125"/>
      <c r="E726" s="125">
        <v>1400</v>
      </c>
      <c r="F726" s="125">
        <f>E726</f>
        <v>1400</v>
      </c>
      <c r="G726" s="125"/>
      <c r="H726" s="125">
        <v>1494</v>
      </c>
      <c r="I726" s="125"/>
      <c r="J726" s="125">
        <f>H726</f>
        <v>1494</v>
      </c>
      <c r="K726" s="125"/>
      <c r="L726" s="125"/>
      <c r="M726" s="125"/>
      <c r="N726" s="125"/>
      <c r="O726" s="125">
        <v>1584</v>
      </c>
      <c r="P726" s="125">
        <v>1584</v>
      </c>
    </row>
    <row r="727" spans="1:131" s="50" customFormat="1" ht="27">
      <c r="A727" s="147" t="s">
        <v>81</v>
      </c>
      <c r="B727" s="151"/>
      <c r="C727" s="151"/>
      <c r="D727" s="236"/>
      <c r="E727" s="236">
        <f>E729</f>
        <v>555000</v>
      </c>
      <c r="F727" s="236">
        <f>E727</f>
        <v>555000</v>
      </c>
      <c r="G727" s="236"/>
      <c r="H727" s="236">
        <f>H729</f>
        <v>2000000</v>
      </c>
      <c r="I727" s="236"/>
      <c r="J727" s="236">
        <f>H727</f>
        <v>2000000</v>
      </c>
      <c r="K727" s="236"/>
      <c r="L727" s="236"/>
      <c r="M727" s="236"/>
      <c r="N727" s="236"/>
      <c r="O727" s="236">
        <f>O729</f>
        <v>2100000</v>
      </c>
      <c r="P727" s="236">
        <f>O727</f>
        <v>2100000</v>
      </c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59"/>
      <c r="BQ727" s="59"/>
      <c r="BR727" s="59"/>
      <c r="BS727" s="59"/>
      <c r="BT727" s="59"/>
      <c r="BU727" s="59"/>
      <c r="BV727" s="59"/>
      <c r="BW727" s="59"/>
      <c r="BX727" s="59"/>
      <c r="BY727" s="59"/>
      <c r="BZ727" s="59"/>
      <c r="CA727" s="59"/>
      <c r="CB727" s="59"/>
      <c r="CC727" s="59"/>
      <c r="CD727" s="59"/>
      <c r="CE727" s="59"/>
      <c r="CF727" s="59"/>
      <c r="CG727" s="59"/>
      <c r="CH727" s="59"/>
      <c r="CI727" s="59"/>
      <c r="CJ727" s="59"/>
      <c r="CK727" s="59"/>
      <c r="CL727" s="59"/>
      <c r="CM727" s="59"/>
      <c r="CN727" s="59"/>
      <c r="CO727" s="59"/>
      <c r="CP727" s="59"/>
      <c r="CQ727" s="59"/>
      <c r="CR727" s="59"/>
      <c r="CS727" s="59"/>
      <c r="CT727" s="59"/>
      <c r="CU727" s="59"/>
      <c r="CV727" s="59"/>
      <c r="CW727" s="59"/>
      <c r="CX727" s="59"/>
      <c r="CY727" s="59"/>
      <c r="CZ727" s="59"/>
      <c r="DA727" s="59"/>
      <c r="DB727" s="59"/>
      <c r="DC727" s="59"/>
      <c r="DD727" s="59"/>
      <c r="DE727" s="59"/>
      <c r="DF727" s="59"/>
      <c r="DG727" s="59"/>
      <c r="DH727" s="59"/>
      <c r="DI727" s="59"/>
      <c r="DJ727" s="59"/>
      <c r="DK727" s="59"/>
      <c r="DL727" s="59"/>
      <c r="DM727" s="59"/>
      <c r="DN727" s="59"/>
      <c r="DO727" s="59"/>
      <c r="DP727" s="59"/>
      <c r="DQ727" s="59"/>
      <c r="DR727" s="59"/>
      <c r="DS727" s="59"/>
      <c r="DT727" s="59"/>
      <c r="DU727" s="59"/>
      <c r="DV727" s="59"/>
      <c r="DW727" s="59"/>
      <c r="DX727" s="59"/>
      <c r="DY727" s="59"/>
      <c r="DZ727" s="59"/>
      <c r="EA727" s="59"/>
    </row>
    <row r="728" spans="1:16" ht="15" customHeight="1">
      <c r="A728" s="158" t="s">
        <v>188</v>
      </c>
      <c r="B728" s="157"/>
      <c r="C728" s="157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</row>
    <row r="729" spans="1:16" ht="15" customHeight="1">
      <c r="A729" s="159" t="s">
        <v>209</v>
      </c>
      <c r="B729" s="157"/>
      <c r="C729" s="157"/>
      <c r="D729" s="125"/>
      <c r="E729" s="125">
        <f>1950000-1395000</f>
        <v>555000</v>
      </c>
      <c r="F729" s="125">
        <f>E729</f>
        <v>555000</v>
      </c>
      <c r="G729" s="125"/>
      <c r="H729" s="125">
        <v>2000000</v>
      </c>
      <c r="I729" s="125"/>
      <c r="J729" s="125">
        <f>H729</f>
        <v>2000000</v>
      </c>
      <c r="K729" s="125"/>
      <c r="L729" s="125"/>
      <c r="M729" s="125"/>
      <c r="N729" s="125"/>
      <c r="O729" s="125">
        <v>2100000</v>
      </c>
      <c r="P729" s="125">
        <f>O729</f>
        <v>2100000</v>
      </c>
    </row>
    <row r="730" spans="1:16" ht="15" customHeight="1">
      <c r="A730" s="143" t="s">
        <v>189</v>
      </c>
      <c r="B730" s="157"/>
      <c r="C730" s="157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</row>
    <row r="731" spans="1:16" ht="25.5">
      <c r="A731" s="144" t="s">
        <v>247</v>
      </c>
      <c r="B731" s="157"/>
      <c r="C731" s="157"/>
      <c r="D731" s="125"/>
      <c r="E731" s="125">
        <v>8</v>
      </c>
      <c r="F731" s="125">
        <f>E731</f>
        <v>8</v>
      </c>
      <c r="G731" s="125"/>
      <c r="H731" s="125">
        <v>9</v>
      </c>
      <c r="I731" s="125"/>
      <c r="J731" s="125">
        <f>H731</f>
        <v>9</v>
      </c>
      <c r="K731" s="125"/>
      <c r="L731" s="125"/>
      <c r="M731" s="125"/>
      <c r="N731" s="125"/>
      <c r="O731" s="125">
        <v>9</v>
      </c>
      <c r="P731" s="125">
        <f>O731</f>
        <v>9</v>
      </c>
    </row>
    <row r="732" spans="1:16" ht="15" customHeight="1">
      <c r="A732" s="143" t="s">
        <v>191</v>
      </c>
      <c r="B732" s="157"/>
      <c r="C732" s="157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</row>
    <row r="733" spans="1:16" ht="25.5">
      <c r="A733" s="144" t="s">
        <v>431</v>
      </c>
      <c r="B733" s="157"/>
      <c r="C733" s="157"/>
      <c r="D733" s="125"/>
      <c r="E733" s="125">
        <f>E729/E731</f>
        <v>69375</v>
      </c>
      <c r="F733" s="125">
        <f>E733</f>
        <v>69375</v>
      </c>
      <c r="G733" s="125"/>
      <c r="H733" s="125">
        <f>H729/H731</f>
        <v>222222.22222222222</v>
      </c>
      <c r="I733" s="125"/>
      <c r="J733" s="125">
        <f>H733</f>
        <v>222222.22222222222</v>
      </c>
      <c r="K733" s="125"/>
      <c r="L733" s="125"/>
      <c r="M733" s="125"/>
      <c r="N733" s="125"/>
      <c r="O733" s="125">
        <f>O729/O731</f>
        <v>233333.33333333334</v>
      </c>
      <c r="P733" s="125">
        <f>O733</f>
        <v>233333.33333333334</v>
      </c>
    </row>
    <row r="734" spans="1:131" s="83" customFormat="1" ht="27.75" customHeight="1">
      <c r="A734" s="80" t="s">
        <v>306</v>
      </c>
      <c r="B734" s="80"/>
      <c r="C734" s="80"/>
      <c r="D734" s="81">
        <f>D736</f>
        <v>350000</v>
      </c>
      <c r="E734" s="81">
        <f>E736</f>
        <v>0</v>
      </c>
      <c r="F734" s="81">
        <f>F736</f>
        <v>350000</v>
      </c>
      <c r="G734" s="81">
        <f>G736</f>
        <v>400000</v>
      </c>
      <c r="H734" s="81"/>
      <c r="I734" s="81">
        <f>I736</f>
        <v>0</v>
      </c>
      <c r="J734" s="81">
        <f>G734</f>
        <v>400000</v>
      </c>
      <c r="K734" s="81" t="e">
        <f>#REF!+K736</f>
        <v>#REF!</v>
      </c>
      <c r="L734" s="81" t="e">
        <f>#REF!+L736</f>
        <v>#REF!</v>
      </c>
      <c r="M734" s="81" t="e">
        <f>#REF!+M736</f>
        <v>#REF!</v>
      </c>
      <c r="N734" s="81">
        <f>N736</f>
        <v>450000</v>
      </c>
      <c r="O734" s="81"/>
      <c r="P734" s="81">
        <f>N734+O734</f>
        <v>450000</v>
      </c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  <c r="AL734" s="82"/>
      <c r="AM734" s="82"/>
      <c r="AN734" s="82"/>
      <c r="AO734" s="82"/>
      <c r="AP734" s="82"/>
      <c r="AQ734" s="82"/>
      <c r="AR734" s="82"/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  <c r="BC734" s="82"/>
      <c r="BD734" s="82"/>
      <c r="BE734" s="82"/>
      <c r="BF734" s="82"/>
      <c r="BG734" s="82"/>
      <c r="BH734" s="82"/>
      <c r="BI734" s="82"/>
      <c r="BJ734" s="82"/>
      <c r="BK734" s="82"/>
      <c r="BL734" s="82"/>
      <c r="BM734" s="82"/>
      <c r="BN734" s="82"/>
      <c r="BO734" s="82"/>
      <c r="BP734" s="82"/>
      <c r="BQ734" s="82"/>
      <c r="BR734" s="82"/>
      <c r="BS734" s="82"/>
      <c r="BT734" s="82"/>
      <c r="BU734" s="82"/>
      <c r="BV734" s="82"/>
      <c r="BW734" s="82"/>
      <c r="BX734" s="82"/>
      <c r="BY734" s="82"/>
      <c r="BZ734" s="82"/>
      <c r="CA734" s="82"/>
      <c r="CB734" s="82"/>
      <c r="CC734" s="82"/>
      <c r="CD734" s="82"/>
      <c r="CE734" s="82"/>
      <c r="CF734" s="82"/>
      <c r="CG734" s="82"/>
      <c r="CH734" s="82"/>
      <c r="CI734" s="82"/>
      <c r="CJ734" s="82"/>
      <c r="CK734" s="82"/>
      <c r="CL734" s="82"/>
      <c r="CM734" s="82"/>
      <c r="CN734" s="82"/>
      <c r="CO734" s="82"/>
      <c r="CP734" s="82"/>
      <c r="CQ734" s="82"/>
      <c r="CR734" s="82"/>
      <c r="CS734" s="82"/>
      <c r="CT734" s="82"/>
      <c r="CU734" s="82"/>
      <c r="CV734" s="82"/>
      <c r="CW734" s="82"/>
      <c r="CX734" s="82"/>
      <c r="CY734" s="82"/>
      <c r="CZ734" s="82"/>
      <c r="DA734" s="82"/>
      <c r="DB734" s="82"/>
      <c r="DC734" s="82"/>
      <c r="DD734" s="82"/>
      <c r="DE734" s="82"/>
      <c r="DF734" s="82"/>
      <c r="DG734" s="82"/>
      <c r="DH734" s="82"/>
      <c r="DI734" s="82"/>
      <c r="DJ734" s="82"/>
      <c r="DK734" s="82"/>
      <c r="DL734" s="82"/>
      <c r="DM734" s="82"/>
      <c r="DN734" s="82"/>
      <c r="DO734" s="82"/>
      <c r="DP734" s="82"/>
      <c r="DQ734" s="82"/>
      <c r="DR734" s="82"/>
      <c r="DS734" s="82"/>
      <c r="DT734" s="82"/>
      <c r="DU734" s="82"/>
      <c r="DV734" s="82"/>
      <c r="DW734" s="82"/>
      <c r="DX734" s="82"/>
      <c r="DY734" s="82"/>
      <c r="DZ734" s="82"/>
      <c r="EA734" s="82"/>
    </row>
    <row r="735" spans="1:131" s="44" customFormat="1" ht="25.5">
      <c r="A735" s="148" t="s">
        <v>351</v>
      </c>
      <c r="B735" s="168"/>
      <c r="C735" s="168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178"/>
      <c r="O735" s="178"/>
      <c r="P735" s="178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  <c r="CH735" s="43"/>
      <c r="CI735" s="43"/>
      <c r="CJ735" s="43"/>
      <c r="CK735" s="43"/>
      <c r="CL735" s="43"/>
      <c r="CM735" s="43"/>
      <c r="CN735" s="43"/>
      <c r="CO735" s="43"/>
      <c r="CP735" s="43"/>
      <c r="CQ735" s="43"/>
      <c r="CR735" s="43"/>
      <c r="CS735" s="43"/>
      <c r="CT735" s="43"/>
      <c r="CU735" s="43"/>
      <c r="CV735" s="43"/>
      <c r="CW735" s="43"/>
      <c r="CX735" s="43"/>
      <c r="CY735" s="43"/>
      <c r="CZ735" s="43"/>
      <c r="DA735" s="43"/>
      <c r="DB735" s="43"/>
      <c r="DC735" s="43"/>
      <c r="DD735" s="43"/>
      <c r="DE735" s="43"/>
      <c r="DF735" s="43"/>
      <c r="DG735" s="43"/>
      <c r="DH735" s="43"/>
      <c r="DI735" s="43"/>
      <c r="DJ735" s="43"/>
      <c r="DK735" s="43"/>
      <c r="DL735" s="43"/>
      <c r="DM735" s="43"/>
      <c r="DN735" s="43"/>
      <c r="DO735" s="43"/>
      <c r="DP735" s="43"/>
      <c r="DQ735" s="43"/>
      <c r="DR735" s="43"/>
      <c r="DS735" s="43"/>
      <c r="DT735" s="43"/>
      <c r="DU735" s="43"/>
      <c r="DV735" s="43"/>
      <c r="DW735" s="43"/>
      <c r="DX735" s="43"/>
      <c r="DY735" s="43"/>
      <c r="DZ735" s="43"/>
      <c r="EA735" s="43"/>
    </row>
    <row r="736" spans="1:131" s="103" customFormat="1" ht="25.5">
      <c r="A736" s="75" t="s">
        <v>82</v>
      </c>
      <c r="B736" s="76"/>
      <c r="C736" s="76"/>
      <c r="D736" s="74">
        <f>D738</f>
        <v>350000</v>
      </c>
      <c r="E736" s="74"/>
      <c r="F736" s="74">
        <f>D736+E736</f>
        <v>350000</v>
      </c>
      <c r="G736" s="74">
        <f>G738</f>
        <v>400000</v>
      </c>
      <c r="H736" s="74"/>
      <c r="I736" s="74">
        <f>I738</f>
        <v>0</v>
      </c>
      <c r="J736" s="74">
        <f>G736</f>
        <v>400000</v>
      </c>
      <c r="K736" s="74"/>
      <c r="L736" s="74"/>
      <c r="M736" s="74"/>
      <c r="N736" s="74">
        <f>N738</f>
        <v>450000</v>
      </c>
      <c r="O736" s="74"/>
      <c r="P736" s="74">
        <f>N736+O736</f>
        <v>450000</v>
      </c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  <c r="BD736" s="102"/>
      <c r="BE736" s="102"/>
      <c r="BF736" s="102"/>
      <c r="BG736" s="102"/>
      <c r="BH736" s="102"/>
      <c r="BI736" s="102"/>
      <c r="BJ736" s="102"/>
      <c r="BK736" s="102"/>
      <c r="BL736" s="102"/>
      <c r="BM736" s="102"/>
      <c r="BN736" s="102"/>
      <c r="BO736" s="102"/>
      <c r="BP736" s="102"/>
      <c r="BQ736" s="102"/>
      <c r="BR736" s="102"/>
      <c r="BS736" s="102"/>
      <c r="BT736" s="102"/>
      <c r="BU736" s="102"/>
      <c r="BV736" s="102"/>
      <c r="BW736" s="102"/>
      <c r="BX736" s="102"/>
      <c r="BY736" s="102"/>
      <c r="BZ736" s="102"/>
      <c r="CA736" s="102"/>
      <c r="CB736" s="102"/>
      <c r="CC736" s="102"/>
      <c r="CD736" s="102"/>
      <c r="CE736" s="102"/>
      <c r="CF736" s="102"/>
      <c r="CG736" s="102"/>
      <c r="CH736" s="102"/>
      <c r="CI736" s="102"/>
      <c r="CJ736" s="102"/>
      <c r="CK736" s="102"/>
      <c r="CL736" s="102"/>
      <c r="CM736" s="102"/>
      <c r="CN736" s="102"/>
      <c r="CO736" s="102"/>
      <c r="CP736" s="102"/>
      <c r="CQ736" s="102"/>
      <c r="CR736" s="102"/>
      <c r="CS736" s="102"/>
      <c r="CT736" s="102"/>
      <c r="CU736" s="102"/>
      <c r="CV736" s="102"/>
      <c r="CW736" s="102"/>
      <c r="CX736" s="102"/>
      <c r="CY736" s="102"/>
      <c r="CZ736" s="102"/>
      <c r="DA736" s="102"/>
      <c r="DB736" s="102"/>
      <c r="DC736" s="102"/>
      <c r="DD736" s="102"/>
      <c r="DE736" s="102"/>
      <c r="DF736" s="102"/>
      <c r="DG736" s="102"/>
      <c r="DH736" s="102"/>
      <c r="DI736" s="102"/>
      <c r="DJ736" s="102"/>
      <c r="DK736" s="102"/>
      <c r="DL736" s="102"/>
      <c r="DM736" s="102"/>
      <c r="DN736" s="102"/>
      <c r="DO736" s="102"/>
      <c r="DP736" s="102"/>
      <c r="DQ736" s="102"/>
      <c r="DR736" s="102"/>
      <c r="DS736" s="102"/>
      <c r="DT736" s="102"/>
      <c r="DU736" s="102"/>
      <c r="DV736" s="102"/>
      <c r="DW736" s="102"/>
      <c r="DX736" s="102"/>
      <c r="DY736" s="102"/>
      <c r="DZ736" s="102"/>
      <c r="EA736" s="102"/>
    </row>
    <row r="737" spans="1:16" ht="12.75">
      <c r="A737" s="143" t="s">
        <v>188</v>
      </c>
      <c r="B737" s="174"/>
      <c r="C737" s="174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</row>
    <row r="738" spans="1:16" ht="28.5" customHeight="1">
      <c r="A738" s="144" t="s">
        <v>307</v>
      </c>
      <c r="B738" s="174"/>
      <c r="C738" s="174"/>
      <c r="D738" s="141">
        <f>350000+1160000-1160000</f>
        <v>350000</v>
      </c>
      <c r="E738" s="141"/>
      <c r="F738" s="141">
        <f>D738</f>
        <v>350000</v>
      </c>
      <c r="G738" s="141">
        <v>400000</v>
      </c>
      <c r="H738" s="141"/>
      <c r="I738" s="141"/>
      <c r="J738" s="141">
        <f>G738+H738</f>
        <v>400000</v>
      </c>
      <c r="K738" s="141"/>
      <c r="L738" s="141"/>
      <c r="M738" s="141"/>
      <c r="N738" s="141">
        <v>450000</v>
      </c>
      <c r="O738" s="141"/>
      <c r="P738" s="141">
        <f>N738+O738</f>
        <v>450000</v>
      </c>
    </row>
    <row r="739" spans="1:16" ht="12.75">
      <c r="A739" s="143" t="s">
        <v>189</v>
      </c>
      <c r="B739" s="174"/>
      <c r="C739" s="174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</row>
    <row r="740" spans="1:16" ht="30.75" customHeight="1">
      <c r="A740" s="144" t="s">
        <v>308</v>
      </c>
      <c r="B740" s="174"/>
      <c r="C740" s="174"/>
      <c r="D740" s="141">
        <v>1</v>
      </c>
      <c r="E740" s="141"/>
      <c r="F740" s="141">
        <f>D740</f>
        <v>1</v>
      </c>
      <c r="G740" s="141">
        <v>1</v>
      </c>
      <c r="H740" s="141"/>
      <c r="I740" s="141"/>
      <c r="J740" s="141">
        <f>G740</f>
        <v>1</v>
      </c>
      <c r="K740" s="141"/>
      <c r="L740" s="141"/>
      <c r="M740" s="141"/>
      <c r="N740" s="141">
        <v>1</v>
      </c>
      <c r="O740" s="141"/>
      <c r="P740" s="141">
        <f>N740+O740</f>
        <v>1</v>
      </c>
    </row>
    <row r="741" spans="1:16" ht="12.75">
      <c r="A741" s="143" t="s">
        <v>191</v>
      </c>
      <c r="B741" s="174"/>
      <c r="C741" s="174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</row>
    <row r="742" spans="1:16" ht="26.25" customHeight="1">
      <c r="A742" s="144" t="s">
        <v>309</v>
      </c>
      <c r="B742" s="174"/>
      <c r="C742" s="174"/>
      <c r="D742" s="141">
        <f>D738/D740</f>
        <v>350000</v>
      </c>
      <c r="E742" s="141"/>
      <c r="F742" s="141">
        <f>F738/F740</f>
        <v>350000</v>
      </c>
      <c r="G742" s="141">
        <f>G738/G740</f>
        <v>400000</v>
      </c>
      <c r="H742" s="141"/>
      <c r="I742" s="141"/>
      <c r="J742" s="141">
        <f>G742+H742</f>
        <v>400000</v>
      </c>
      <c r="K742" s="141"/>
      <c r="L742" s="141"/>
      <c r="M742" s="141"/>
      <c r="N742" s="141">
        <f>N738/N740</f>
        <v>450000</v>
      </c>
      <c r="O742" s="141"/>
      <c r="P742" s="141">
        <f>P738/P740</f>
        <v>450000</v>
      </c>
    </row>
    <row r="743" spans="1:131" s="83" customFormat="1" ht="22.5" customHeight="1">
      <c r="A743" s="80" t="s">
        <v>311</v>
      </c>
      <c r="B743" s="104"/>
      <c r="C743" s="104"/>
      <c r="D743" s="81">
        <f>D745</f>
        <v>6071400</v>
      </c>
      <c r="E743" s="81">
        <f aca="true" t="shared" si="59" ref="E743:Q743">E745</f>
        <v>0</v>
      </c>
      <c r="F743" s="81">
        <f t="shared" si="59"/>
        <v>6071400</v>
      </c>
      <c r="G743" s="81">
        <f>G745</f>
        <v>1382000</v>
      </c>
      <c r="H743" s="81">
        <f t="shared" si="59"/>
        <v>0</v>
      </c>
      <c r="I743" s="81" t="e">
        <f t="shared" si="59"/>
        <v>#REF!</v>
      </c>
      <c r="J743" s="81">
        <f t="shared" si="59"/>
        <v>1382000</v>
      </c>
      <c r="K743" s="81" t="e">
        <f t="shared" si="59"/>
        <v>#REF!</v>
      </c>
      <c r="L743" s="81" t="e">
        <f t="shared" si="59"/>
        <v>#REF!</v>
      </c>
      <c r="M743" s="81" t="e">
        <f t="shared" si="59"/>
        <v>#REF!</v>
      </c>
      <c r="N743" s="81">
        <f t="shared" si="59"/>
        <v>1234200</v>
      </c>
      <c r="O743" s="81">
        <f t="shared" si="59"/>
        <v>0</v>
      </c>
      <c r="P743" s="81">
        <f t="shared" si="59"/>
        <v>1234200</v>
      </c>
      <c r="Q743" s="81">
        <f t="shared" si="59"/>
        <v>0</v>
      </c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  <c r="AN743" s="82"/>
      <c r="AO743" s="82"/>
      <c r="AP743" s="82"/>
      <c r="AQ743" s="82"/>
      <c r="AR743" s="82"/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  <c r="BC743" s="82"/>
      <c r="BD743" s="82"/>
      <c r="BE743" s="82"/>
      <c r="BF743" s="82"/>
      <c r="BG743" s="82"/>
      <c r="BH743" s="82"/>
      <c r="BI743" s="82"/>
      <c r="BJ743" s="82"/>
      <c r="BK743" s="82"/>
      <c r="BL743" s="82"/>
      <c r="BM743" s="82"/>
      <c r="BN743" s="82"/>
      <c r="BO743" s="82"/>
      <c r="BP743" s="82"/>
      <c r="BQ743" s="82"/>
      <c r="BR743" s="82"/>
      <c r="BS743" s="82"/>
      <c r="BT743" s="82"/>
      <c r="BU743" s="82"/>
      <c r="BV743" s="82"/>
      <c r="BW743" s="82"/>
      <c r="BX743" s="82"/>
      <c r="BY743" s="82"/>
      <c r="BZ743" s="82"/>
      <c r="CA743" s="82"/>
      <c r="CB743" s="82"/>
      <c r="CC743" s="82"/>
      <c r="CD743" s="82"/>
      <c r="CE743" s="82"/>
      <c r="CF743" s="82"/>
      <c r="CG743" s="82"/>
      <c r="CH743" s="82"/>
      <c r="CI743" s="82"/>
      <c r="CJ743" s="82"/>
      <c r="CK743" s="82"/>
      <c r="CL743" s="82"/>
      <c r="CM743" s="82"/>
      <c r="CN743" s="82"/>
      <c r="CO743" s="82"/>
      <c r="CP743" s="82"/>
      <c r="CQ743" s="82"/>
      <c r="CR743" s="82"/>
      <c r="CS743" s="82"/>
      <c r="CT743" s="82"/>
      <c r="CU743" s="82"/>
      <c r="CV743" s="82"/>
      <c r="CW743" s="82"/>
      <c r="CX743" s="82"/>
      <c r="CY743" s="82"/>
      <c r="CZ743" s="82"/>
      <c r="DA743" s="82"/>
      <c r="DB743" s="82"/>
      <c r="DC743" s="82"/>
      <c r="DD743" s="82"/>
      <c r="DE743" s="82"/>
      <c r="DF743" s="82"/>
      <c r="DG743" s="82"/>
      <c r="DH743" s="82"/>
      <c r="DI743" s="82"/>
      <c r="DJ743" s="82"/>
      <c r="DK743" s="82"/>
      <c r="DL743" s="82"/>
      <c r="DM743" s="82"/>
      <c r="DN743" s="82"/>
      <c r="DO743" s="82"/>
      <c r="DP743" s="82"/>
      <c r="DQ743" s="82"/>
      <c r="DR743" s="82"/>
      <c r="DS743" s="82"/>
      <c r="DT743" s="82"/>
      <c r="DU743" s="82"/>
      <c r="DV743" s="82"/>
      <c r="DW743" s="82"/>
      <c r="DX743" s="82"/>
      <c r="DY743" s="82"/>
      <c r="DZ743" s="82"/>
      <c r="EA743" s="82"/>
    </row>
    <row r="744" spans="1:16" ht="12.75">
      <c r="A744" s="144" t="s">
        <v>250</v>
      </c>
      <c r="B744" s="174"/>
      <c r="C744" s="174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</row>
    <row r="745" spans="1:131" s="78" customFormat="1" ht="31.5" customHeight="1">
      <c r="A745" s="75" t="s">
        <v>115</v>
      </c>
      <c r="B745" s="76"/>
      <c r="C745" s="76"/>
      <c r="D745" s="74">
        <f>D746+D753+D766+D769+D778+D785+D793+D800+D807+D814</f>
        <v>6071400</v>
      </c>
      <c r="E745" s="74">
        <f>E746+E753+E766+E769+E778+E785+E793+E800+E807+E814</f>
        <v>0</v>
      </c>
      <c r="F745" s="74">
        <f>D745+E745</f>
        <v>6071400</v>
      </c>
      <c r="G745" s="74">
        <f>G746+G753+G766+G769+G778+G785+G793+G800+G807</f>
        <v>1382000</v>
      </c>
      <c r="H745" s="74">
        <f>H746+H753+H766+H769+H778+H785+H793+H800+H807</f>
        <v>0</v>
      </c>
      <c r="I745" s="74" t="e">
        <f>I746+I753+I769+I778+I785+I793+#REF!+I800</f>
        <v>#REF!</v>
      </c>
      <c r="J745" s="74">
        <f>G745+H745</f>
        <v>1382000</v>
      </c>
      <c r="K745" s="74" t="e">
        <f>K746+K753+K769+K778+K785+K793+#REF!+K800</f>
        <v>#REF!</v>
      </c>
      <c r="L745" s="74" t="e">
        <f>L746+L753+L769+L778+L785+L793+#REF!+L800</f>
        <v>#REF!</v>
      </c>
      <c r="M745" s="74" t="e">
        <f>M746+M753+M769+M778+M785+M793+#REF!+M800</f>
        <v>#REF!</v>
      </c>
      <c r="N745" s="74">
        <f>N746+N753+N766+N769+N778+N785+N793+N800+N807</f>
        <v>1234200</v>
      </c>
      <c r="O745" s="74">
        <f>O746+O753+O766+O769+O778+O785+O793+O800+O807</f>
        <v>0</v>
      </c>
      <c r="P745" s="74">
        <f>N745+O745</f>
        <v>1234200</v>
      </c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  <c r="AT745" s="77"/>
      <c r="AU745" s="77"/>
      <c r="AV745" s="77"/>
      <c r="AW745" s="77"/>
      <c r="AX745" s="77"/>
      <c r="AY745" s="77"/>
      <c r="AZ745" s="77"/>
      <c r="BA745" s="77"/>
      <c r="BB745" s="77"/>
      <c r="BC745" s="77"/>
      <c r="BD745" s="77"/>
      <c r="BE745" s="77"/>
      <c r="BF745" s="77"/>
      <c r="BG745" s="77"/>
      <c r="BH745" s="77"/>
      <c r="BI745" s="77"/>
      <c r="BJ745" s="77"/>
      <c r="BK745" s="77"/>
      <c r="BL745" s="77"/>
      <c r="BM745" s="77"/>
      <c r="BN745" s="77"/>
      <c r="BO745" s="77"/>
      <c r="BP745" s="77"/>
      <c r="BQ745" s="77"/>
      <c r="BR745" s="77"/>
      <c r="BS745" s="77"/>
      <c r="BT745" s="77"/>
      <c r="BU745" s="77"/>
      <c r="BV745" s="77"/>
      <c r="BW745" s="77"/>
      <c r="BX745" s="77"/>
      <c r="BY745" s="77"/>
      <c r="BZ745" s="77"/>
      <c r="CA745" s="77"/>
      <c r="CB745" s="77"/>
      <c r="CC745" s="77"/>
      <c r="CD745" s="77"/>
      <c r="CE745" s="77"/>
      <c r="CF745" s="77"/>
      <c r="CG745" s="77"/>
      <c r="CH745" s="77"/>
      <c r="CI745" s="77"/>
      <c r="CJ745" s="77"/>
      <c r="CK745" s="77"/>
      <c r="CL745" s="77"/>
      <c r="CM745" s="77"/>
      <c r="CN745" s="77"/>
      <c r="CO745" s="77"/>
      <c r="CP745" s="77"/>
      <c r="CQ745" s="77"/>
      <c r="CR745" s="77"/>
      <c r="CS745" s="77"/>
      <c r="CT745" s="77"/>
      <c r="CU745" s="77"/>
      <c r="CV745" s="77"/>
      <c r="CW745" s="77"/>
      <c r="CX745" s="77"/>
      <c r="CY745" s="77"/>
      <c r="CZ745" s="77"/>
      <c r="DA745" s="77"/>
      <c r="DB745" s="77"/>
      <c r="DC745" s="77"/>
      <c r="DD745" s="77"/>
      <c r="DE745" s="77"/>
      <c r="DF745" s="77"/>
      <c r="DG745" s="77"/>
      <c r="DH745" s="77"/>
      <c r="DI745" s="77"/>
      <c r="DJ745" s="77"/>
      <c r="DK745" s="77"/>
      <c r="DL745" s="77"/>
      <c r="DM745" s="77"/>
      <c r="DN745" s="77"/>
      <c r="DO745" s="77"/>
      <c r="DP745" s="77"/>
      <c r="DQ745" s="77"/>
      <c r="DR745" s="77"/>
      <c r="DS745" s="77"/>
      <c r="DT745" s="77"/>
      <c r="DU745" s="77"/>
      <c r="DV745" s="77"/>
      <c r="DW745" s="77"/>
      <c r="DX745" s="77"/>
      <c r="DY745" s="77"/>
      <c r="DZ745" s="77"/>
      <c r="EA745" s="77"/>
    </row>
    <row r="746" spans="1:131" s="50" customFormat="1" ht="34.5" customHeight="1">
      <c r="A746" s="147" t="s">
        <v>128</v>
      </c>
      <c r="B746" s="169"/>
      <c r="C746" s="169"/>
      <c r="D746" s="170">
        <f>D748</f>
        <v>588400</v>
      </c>
      <c r="E746" s="170"/>
      <c r="F746" s="170">
        <f>F748</f>
        <v>588400</v>
      </c>
      <c r="G746" s="170">
        <f>G748</f>
        <v>278000</v>
      </c>
      <c r="H746" s="170"/>
      <c r="I746" s="170">
        <f>3448484+120000</f>
        <v>3568484</v>
      </c>
      <c r="J746" s="170">
        <f>G746</f>
        <v>278000</v>
      </c>
      <c r="K746" s="170">
        <f>3448484+120000</f>
        <v>3568484</v>
      </c>
      <c r="L746" s="170">
        <f>3448484+120000</f>
        <v>3568484</v>
      </c>
      <c r="M746" s="170">
        <f>3448484+120000</f>
        <v>3568484</v>
      </c>
      <c r="N746" s="170"/>
      <c r="O746" s="170"/>
      <c r="P746" s="170">
        <f>N746</f>
        <v>0</v>
      </c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59"/>
      <c r="BQ746" s="59"/>
      <c r="BR746" s="59"/>
      <c r="BS746" s="59"/>
      <c r="BT746" s="59"/>
      <c r="BU746" s="59"/>
      <c r="BV746" s="59"/>
      <c r="BW746" s="59"/>
      <c r="BX746" s="59"/>
      <c r="BY746" s="59"/>
      <c r="BZ746" s="59"/>
      <c r="CA746" s="59"/>
      <c r="CB746" s="59"/>
      <c r="CC746" s="59"/>
      <c r="CD746" s="59"/>
      <c r="CE746" s="59"/>
      <c r="CF746" s="59"/>
      <c r="CG746" s="59"/>
      <c r="CH746" s="59"/>
      <c r="CI746" s="59"/>
      <c r="CJ746" s="59"/>
      <c r="CK746" s="59"/>
      <c r="CL746" s="59"/>
      <c r="CM746" s="59"/>
      <c r="CN746" s="59"/>
      <c r="CO746" s="59"/>
      <c r="CP746" s="59"/>
      <c r="CQ746" s="59"/>
      <c r="CR746" s="59"/>
      <c r="CS746" s="59"/>
      <c r="CT746" s="59"/>
      <c r="CU746" s="59"/>
      <c r="CV746" s="59"/>
      <c r="CW746" s="59"/>
      <c r="CX746" s="59"/>
      <c r="CY746" s="59"/>
      <c r="CZ746" s="59"/>
      <c r="DA746" s="59"/>
      <c r="DB746" s="59"/>
      <c r="DC746" s="59"/>
      <c r="DD746" s="59"/>
      <c r="DE746" s="59"/>
      <c r="DF746" s="59"/>
      <c r="DG746" s="59"/>
      <c r="DH746" s="59"/>
      <c r="DI746" s="59"/>
      <c r="DJ746" s="59"/>
      <c r="DK746" s="59"/>
      <c r="DL746" s="59"/>
      <c r="DM746" s="59"/>
      <c r="DN746" s="59"/>
      <c r="DO746" s="59"/>
      <c r="DP746" s="59"/>
      <c r="DQ746" s="59"/>
      <c r="DR746" s="59"/>
      <c r="DS746" s="59"/>
      <c r="DT746" s="59"/>
      <c r="DU746" s="59"/>
      <c r="DV746" s="59"/>
      <c r="DW746" s="59"/>
      <c r="DX746" s="59"/>
      <c r="DY746" s="59"/>
      <c r="DZ746" s="59"/>
      <c r="EA746" s="59"/>
    </row>
    <row r="747" spans="1:16" ht="12" customHeight="1">
      <c r="A747" s="143" t="s">
        <v>188</v>
      </c>
      <c r="B747" s="174"/>
      <c r="C747" s="174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</row>
    <row r="748" spans="1:16" ht="13.5" customHeight="1">
      <c r="A748" s="144" t="s">
        <v>209</v>
      </c>
      <c r="B748" s="174"/>
      <c r="C748" s="174"/>
      <c r="D748" s="141">
        <f>264000+269000+55400</f>
        <v>588400</v>
      </c>
      <c r="E748" s="141"/>
      <c r="F748" s="141">
        <f>D748</f>
        <v>588400</v>
      </c>
      <c r="G748" s="141">
        <f>276000+2000</f>
        <v>278000</v>
      </c>
      <c r="H748" s="141"/>
      <c r="I748" s="141"/>
      <c r="J748" s="141">
        <f>SUM(G748)</f>
        <v>278000</v>
      </c>
      <c r="K748" s="141"/>
      <c r="L748" s="141"/>
      <c r="M748" s="141"/>
      <c r="N748" s="141"/>
      <c r="O748" s="141"/>
      <c r="P748" s="141">
        <f>N748</f>
        <v>0</v>
      </c>
    </row>
    <row r="749" spans="1:16" ht="12" customHeight="1">
      <c r="A749" s="143" t="s">
        <v>189</v>
      </c>
      <c r="B749" s="174"/>
      <c r="C749" s="174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</row>
    <row r="750" spans="1:16" ht="30" customHeight="1">
      <c r="A750" s="148" t="s">
        <v>157</v>
      </c>
      <c r="B750" s="174"/>
      <c r="C750" s="174"/>
      <c r="D750" s="141">
        <v>12</v>
      </c>
      <c r="E750" s="141"/>
      <c r="F750" s="141">
        <f>D750</f>
        <v>12</v>
      </c>
      <c r="G750" s="141">
        <v>6</v>
      </c>
      <c r="H750" s="141"/>
      <c r="I750" s="141"/>
      <c r="J750" s="141">
        <f>G750</f>
        <v>6</v>
      </c>
      <c r="K750" s="141"/>
      <c r="L750" s="141"/>
      <c r="M750" s="141"/>
      <c r="N750" s="141">
        <v>0</v>
      </c>
      <c r="O750" s="141"/>
      <c r="P750" s="141">
        <v>0</v>
      </c>
    </row>
    <row r="751" spans="1:16" ht="12.75">
      <c r="A751" s="143" t="s">
        <v>191</v>
      </c>
      <c r="B751" s="174"/>
      <c r="C751" s="174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</row>
    <row r="752" spans="1:16" ht="35.25" customHeight="1">
      <c r="A752" s="144" t="s">
        <v>310</v>
      </c>
      <c r="B752" s="174"/>
      <c r="C752" s="174"/>
      <c r="D752" s="141">
        <f>SUM(D748)/D750</f>
        <v>49033.333333333336</v>
      </c>
      <c r="E752" s="141"/>
      <c r="F752" s="141">
        <f>D752</f>
        <v>49033.333333333336</v>
      </c>
      <c r="G752" s="141">
        <f>SUM(G748)/G750</f>
        <v>46333.333333333336</v>
      </c>
      <c r="H752" s="141"/>
      <c r="I752" s="141"/>
      <c r="J752" s="141">
        <f>G752</f>
        <v>46333.333333333336</v>
      </c>
      <c r="K752" s="141"/>
      <c r="L752" s="141"/>
      <c r="M752" s="141"/>
      <c r="N752" s="141"/>
      <c r="O752" s="141"/>
      <c r="P752" s="141"/>
    </row>
    <row r="753" spans="1:131" s="44" customFormat="1" ht="34.5" customHeight="1" hidden="1">
      <c r="A753" s="147" t="s">
        <v>83</v>
      </c>
      <c r="B753" s="172"/>
      <c r="C753" s="172"/>
      <c r="D753" s="170"/>
      <c r="E753" s="170"/>
      <c r="F753" s="170"/>
      <c r="G753" s="171"/>
      <c r="H753" s="171"/>
      <c r="I753" s="171"/>
      <c r="J753" s="171"/>
      <c r="K753" s="171"/>
      <c r="L753" s="171"/>
      <c r="M753" s="171"/>
      <c r="N753" s="171"/>
      <c r="O753" s="171"/>
      <c r="P753" s="171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  <c r="CH753" s="43"/>
      <c r="CI753" s="43"/>
      <c r="CJ753" s="43"/>
      <c r="CK753" s="43"/>
      <c r="CL753" s="43"/>
      <c r="CM753" s="43"/>
      <c r="CN753" s="43"/>
      <c r="CO753" s="43"/>
      <c r="CP753" s="43"/>
      <c r="CQ753" s="43"/>
      <c r="CR753" s="43"/>
      <c r="CS753" s="43"/>
      <c r="CT753" s="43"/>
      <c r="CU753" s="43"/>
      <c r="CV753" s="43"/>
      <c r="CW753" s="43"/>
      <c r="CX753" s="43"/>
      <c r="CY753" s="43"/>
      <c r="CZ753" s="43"/>
      <c r="DA753" s="43"/>
      <c r="DB753" s="43"/>
      <c r="DC753" s="43"/>
      <c r="DD753" s="43"/>
      <c r="DE753" s="43"/>
      <c r="DF753" s="43"/>
      <c r="DG753" s="43"/>
      <c r="DH753" s="43"/>
      <c r="DI753" s="43"/>
      <c r="DJ753" s="43"/>
      <c r="DK753" s="43"/>
      <c r="DL753" s="43"/>
      <c r="DM753" s="43"/>
      <c r="DN753" s="43"/>
      <c r="DO753" s="43"/>
      <c r="DP753" s="43"/>
      <c r="DQ753" s="43"/>
      <c r="DR753" s="43"/>
      <c r="DS753" s="43"/>
      <c r="DT753" s="43"/>
      <c r="DU753" s="43"/>
      <c r="DV753" s="43"/>
      <c r="DW753" s="43"/>
      <c r="DX753" s="43"/>
      <c r="DY753" s="43"/>
      <c r="DZ753" s="43"/>
      <c r="EA753" s="43"/>
    </row>
    <row r="754" spans="1:16" ht="15.75" customHeight="1" hidden="1">
      <c r="A754" s="143" t="s">
        <v>188</v>
      </c>
      <c r="B754" s="174"/>
      <c r="C754" s="174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</row>
    <row r="755" spans="1:16" ht="15.75" customHeight="1" hidden="1">
      <c r="A755" s="143" t="s">
        <v>209</v>
      </c>
      <c r="B755" s="174"/>
      <c r="C755" s="174"/>
      <c r="D755" s="141">
        <f>D753</f>
        <v>0</v>
      </c>
      <c r="E755" s="141"/>
      <c r="F755" s="141">
        <f>D755</f>
        <v>0</v>
      </c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</row>
    <row r="756" spans="1:16" ht="35.25" customHeight="1" hidden="1">
      <c r="A756" s="142" t="s">
        <v>346</v>
      </c>
      <c r="B756" s="174"/>
      <c r="C756" s="174"/>
      <c r="D756" s="141"/>
      <c r="E756" s="141"/>
      <c r="F756" s="141"/>
      <c r="G756" s="141">
        <f>G758</f>
        <v>1000000</v>
      </c>
      <c r="H756" s="141">
        <f>H758</f>
        <v>0</v>
      </c>
      <c r="I756" s="141">
        <f>I758</f>
        <v>0</v>
      </c>
      <c r="J756" s="141">
        <f>J758</f>
        <v>1000000</v>
      </c>
      <c r="K756" s="141"/>
      <c r="L756" s="141"/>
      <c r="M756" s="141"/>
      <c r="N756" s="141">
        <f>N758</f>
        <v>1000000</v>
      </c>
      <c r="O756" s="141"/>
      <c r="P756" s="141">
        <f>N756</f>
        <v>1000000</v>
      </c>
    </row>
    <row r="757" spans="1:16" ht="12.75" customHeight="1" hidden="1">
      <c r="A757" s="143" t="s">
        <v>188</v>
      </c>
      <c r="B757" s="174"/>
      <c r="C757" s="174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</row>
    <row r="758" spans="1:16" ht="12.75" customHeight="1" hidden="1">
      <c r="A758" s="143" t="s">
        <v>209</v>
      </c>
      <c r="B758" s="174"/>
      <c r="C758" s="174"/>
      <c r="D758" s="141"/>
      <c r="E758" s="141"/>
      <c r="F758" s="141"/>
      <c r="G758" s="141">
        <v>1000000</v>
      </c>
      <c r="H758" s="141"/>
      <c r="I758" s="141"/>
      <c r="J758" s="141">
        <f>G758+H758</f>
        <v>1000000</v>
      </c>
      <c r="K758" s="141"/>
      <c r="L758" s="141"/>
      <c r="M758" s="141"/>
      <c r="N758" s="141">
        <v>1000000</v>
      </c>
      <c r="O758" s="141"/>
      <c r="P758" s="141">
        <f>N758</f>
        <v>1000000</v>
      </c>
    </row>
    <row r="759" spans="1:131" s="11" customFormat="1" ht="25.5" customHeight="1" hidden="1">
      <c r="A759" s="142" t="s">
        <v>343</v>
      </c>
      <c r="B759" s="254"/>
      <c r="C759" s="254"/>
      <c r="D759" s="173">
        <f>D761</f>
        <v>70000</v>
      </c>
      <c r="E759" s="173"/>
      <c r="F759" s="173">
        <f>D759+E759</f>
        <v>70000</v>
      </c>
      <c r="G759" s="173">
        <f>G763*G765</f>
        <v>0</v>
      </c>
      <c r="H759" s="173"/>
      <c r="I759" s="173"/>
      <c r="J759" s="173">
        <f>G759</f>
        <v>0</v>
      </c>
      <c r="K759" s="173"/>
      <c r="L759" s="173"/>
      <c r="M759" s="173"/>
      <c r="N759" s="173">
        <f>N765*N763</f>
        <v>0</v>
      </c>
      <c r="O759" s="173"/>
      <c r="P759" s="173">
        <f>N759</f>
        <v>0</v>
      </c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</row>
    <row r="760" spans="1:16" ht="12.75" hidden="1">
      <c r="A760" s="143" t="s">
        <v>188</v>
      </c>
      <c r="B760" s="174"/>
      <c r="C760" s="174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</row>
    <row r="761" spans="1:16" ht="14.25" customHeight="1" hidden="1">
      <c r="A761" s="144" t="s">
        <v>209</v>
      </c>
      <c r="B761" s="174"/>
      <c r="C761" s="174"/>
      <c r="D761" s="141">
        <f>D763*D765</f>
        <v>70000</v>
      </c>
      <c r="E761" s="141"/>
      <c r="F761" s="141">
        <f>D761+E761</f>
        <v>70000</v>
      </c>
      <c r="G761" s="141"/>
      <c r="H761" s="141"/>
      <c r="I761" s="141"/>
      <c r="J761" s="141">
        <f>G761</f>
        <v>0</v>
      </c>
      <c r="K761" s="141"/>
      <c r="L761" s="141"/>
      <c r="M761" s="141"/>
      <c r="N761" s="141"/>
      <c r="O761" s="141"/>
      <c r="P761" s="141">
        <f>N761</f>
        <v>0</v>
      </c>
    </row>
    <row r="762" spans="1:16" ht="12.75" hidden="1">
      <c r="A762" s="143" t="s">
        <v>189</v>
      </c>
      <c r="B762" s="174"/>
      <c r="C762" s="174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</row>
    <row r="763" spans="1:16" ht="23.25" customHeight="1" hidden="1">
      <c r="A763" s="144" t="s">
        <v>251</v>
      </c>
      <c r="B763" s="174"/>
      <c r="C763" s="174"/>
      <c r="D763" s="141">
        <v>2</v>
      </c>
      <c r="E763" s="141"/>
      <c r="F763" s="141">
        <f>D763+E763</f>
        <v>2</v>
      </c>
      <c r="G763" s="141"/>
      <c r="H763" s="141"/>
      <c r="I763" s="141"/>
      <c r="J763" s="141">
        <v>0</v>
      </c>
      <c r="K763" s="141"/>
      <c r="L763" s="141"/>
      <c r="M763" s="141"/>
      <c r="N763" s="141"/>
      <c r="O763" s="141"/>
      <c r="P763" s="141">
        <v>0</v>
      </c>
    </row>
    <row r="764" spans="1:16" ht="12.75" hidden="1">
      <c r="A764" s="143" t="s">
        <v>191</v>
      </c>
      <c r="B764" s="174"/>
      <c r="C764" s="174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</row>
    <row r="765" spans="1:16" ht="24.75" customHeight="1" hidden="1">
      <c r="A765" s="144" t="s">
        <v>252</v>
      </c>
      <c r="B765" s="174"/>
      <c r="C765" s="174"/>
      <c r="D765" s="141">
        <v>35000</v>
      </c>
      <c r="E765" s="141"/>
      <c r="F765" s="141">
        <f>D765+E765</f>
        <v>35000</v>
      </c>
      <c r="G765" s="141"/>
      <c r="H765" s="141"/>
      <c r="I765" s="141"/>
      <c r="J765" s="141">
        <f>G765</f>
        <v>0</v>
      </c>
      <c r="K765" s="141"/>
      <c r="L765" s="141"/>
      <c r="M765" s="141"/>
      <c r="N765" s="141"/>
      <c r="O765" s="141"/>
      <c r="P765" s="141">
        <v>0</v>
      </c>
    </row>
    <row r="766" spans="1:131" s="44" customFormat="1" ht="40.5" customHeight="1" hidden="1">
      <c r="A766" s="147" t="s">
        <v>84</v>
      </c>
      <c r="B766" s="172"/>
      <c r="C766" s="172"/>
      <c r="D766" s="170"/>
      <c r="E766" s="170"/>
      <c r="F766" s="170">
        <f>D766</f>
        <v>0</v>
      </c>
      <c r="G766" s="171"/>
      <c r="H766" s="171"/>
      <c r="I766" s="171"/>
      <c r="J766" s="171"/>
      <c r="K766" s="171"/>
      <c r="L766" s="171"/>
      <c r="M766" s="171"/>
      <c r="N766" s="171"/>
      <c r="O766" s="171"/>
      <c r="P766" s="171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  <c r="CH766" s="43"/>
      <c r="CI766" s="43"/>
      <c r="CJ766" s="43"/>
      <c r="CK766" s="43"/>
      <c r="CL766" s="43"/>
      <c r="CM766" s="43"/>
      <c r="CN766" s="43"/>
      <c r="CO766" s="43"/>
      <c r="CP766" s="43"/>
      <c r="CQ766" s="43"/>
      <c r="CR766" s="43"/>
      <c r="CS766" s="43"/>
      <c r="CT766" s="43"/>
      <c r="CU766" s="43"/>
      <c r="CV766" s="43"/>
      <c r="CW766" s="43"/>
      <c r="CX766" s="43"/>
      <c r="CY766" s="43"/>
      <c r="CZ766" s="43"/>
      <c r="DA766" s="43"/>
      <c r="DB766" s="43"/>
      <c r="DC766" s="43"/>
      <c r="DD766" s="43"/>
      <c r="DE766" s="43"/>
      <c r="DF766" s="43"/>
      <c r="DG766" s="43"/>
      <c r="DH766" s="43"/>
      <c r="DI766" s="43"/>
      <c r="DJ766" s="43"/>
      <c r="DK766" s="43"/>
      <c r="DL766" s="43"/>
      <c r="DM766" s="43"/>
      <c r="DN766" s="43"/>
      <c r="DO766" s="43"/>
      <c r="DP766" s="43"/>
      <c r="DQ766" s="43"/>
      <c r="DR766" s="43"/>
      <c r="DS766" s="43"/>
      <c r="DT766" s="43"/>
      <c r="DU766" s="43"/>
      <c r="DV766" s="43"/>
      <c r="DW766" s="43"/>
      <c r="DX766" s="43"/>
      <c r="DY766" s="43"/>
      <c r="DZ766" s="43"/>
      <c r="EA766" s="43"/>
    </row>
    <row r="767" spans="1:16" ht="15.75" customHeight="1" hidden="1">
      <c r="A767" s="143" t="s">
        <v>188</v>
      </c>
      <c r="B767" s="174"/>
      <c r="C767" s="174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</row>
    <row r="768" spans="1:16" ht="15.75" customHeight="1" hidden="1">
      <c r="A768" s="143" t="s">
        <v>209</v>
      </c>
      <c r="B768" s="174"/>
      <c r="C768" s="174"/>
      <c r="D768" s="141"/>
      <c r="E768" s="141"/>
      <c r="F768" s="141">
        <f>D768</f>
        <v>0</v>
      </c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</row>
    <row r="769" spans="1:131" s="50" customFormat="1" ht="15" customHeight="1">
      <c r="A769" s="147" t="s">
        <v>85</v>
      </c>
      <c r="B769" s="169"/>
      <c r="C769" s="169"/>
      <c r="D769" s="178">
        <f>500000-55400-444600</f>
        <v>0</v>
      </c>
      <c r="E769" s="178"/>
      <c r="F769" s="178">
        <f>D769</f>
        <v>0</v>
      </c>
      <c r="G769" s="178">
        <f>500000-374000</f>
        <v>126000</v>
      </c>
      <c r="H769" s="178"/>
      <c r="I769" s="178"/>
      <c r="J769" s="178">
        <f>G769+H769</f>
        <v>126000</v>
      </c>
      <c r="K769" s="170"/>
      <c r="L769" s="170"/>
      <c r="M769" s="170"/>
      <c r="N769" s="178"/>
      <c r="O769" s="178"/>
      <c r="P769" s="178">
        <f>N769+O769</f>
        <v>0</v>
      </c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59"/>
      <c r="BQ769" s="59"/>
      <c r="BR769" s="59"/>
      <c r="BS769" s="59"/>
      <c r="BT769" s="59"/>
      <c r="BU769" s="59"/>
      <c r="BV769" s="59"/>
      <c r="BW769" s="59"/>
      <c r="BX769" s="59"/>
      <c r="BY769" s="59"/>
      <c r="BZ769" s="59"/>
      <c r="CA769" s="59"/>
      <c r="CB769" s="59"/>
      <c r="CC769" s="59"/>
      <c r="CD769" s="59"/>
      <c r="CE769" s="59"/>
      <c r="CF769" s="59"/>
      <c r="CG769" s="59"/>
      <c r="CH769" s="59"/>
      <c r="CI769" s="59"/>
      <c r="CJ769" s="59"/>
      <c r="CK769" s="59"/>
      <c r="CL769" s="59"/>
      <c r="CM769" s="59"/>
      <c r="CN769" s="59"/>
      <c r="CO769" s="59"/>
      <c r="CP769" s="59"/>
      <c r="CQ769" s="59"/>
      <c r="CR769" s="59"/>
      <c r="CS769" s="59"/>
      <c r="CT769" s="59"/>
      <c r="CU769" s="59"/>
      <c r="CV769" s="59"/>
      <c r="CW769" s="59"/>
      <c r="CX769" s="59"/>
      <c r="CY769" s="59"/>
      <c r="CZ769" s="59"/>
      <c r="DA769" s="59"/>
      <c r="DB769" s="59"/>
      <c r="DC769" s="59"/>
      <c r="DD769" s="59"/>
      <c r="DE769" s="59"/>
      <c r="DF769" s="59"/>
      <c r="DG769" s="59"/>
      <c r="DH769" s="59"/>
      <c r="DI769" s="59"/>
      <c r="DJ769" s="59"/>
      <c r="DK769" s="59"/>
      <c r="DL769" s="59"/>
      <c r="DM769" s="59"/>
      <c r="DN769" s="59"/>
      <c r="DO769" s="59"/>
      <c r="DP769" s="59"/>
      <c r="DQ769" s="59"/>
      <c r="DR769" s="59"/>
      <c r="DS769" s="59"/>
      <c r="DT769" s="59"/>
      <c r="DU769" s="59"/>
      <c r="DV769" s="59"/>
      <c r="DW769" s="59"/>
      <c r="DX769" s="59"/>
      <c r="DY769" s="59"/>
      <c r="DZ769" s="59"/>
      <c r="EA769" s="59"/>
    </row>
    <row r="770" spans="1:16" ht="12" customHeight="1">
      <c r="A770" s="143" t="s">
        <v>188</v>
      </c>
      <c r="B770" s="174"/>
      <c r="C770" s="174"/>
      <c r="D770" s="141"/>
      <c r="E770" s="141"/>
      <c r="F770" s="141"/>
      <c r="G770" s="141"/>
      <c r="H770" s="141"/>
      <c r="I770" s="141"/>
      <c r="J770" s="171">
        <f aca="true" t="shared" si="60" ref="J770:J777">G770+H770</f>
        <v>0</v>
      </c>
      <c r="K770" s="141"/>
      <c r="L770" s="141"/>
      <c r="M770" s="141"/>
      <c r="N770" s="141"/>
      <c r="O770" s="141"/>
      <c r="P770" s="191">
        <f aca="true" t="shared" si="61" ref="P770:P777">N770+O770</f>
        <v>0</v>
      </c>
    </row>
    <row r="771" spans="1:16" ht="12" customHeight="1">
      <c r="A771" s="144" t="s">
        <v>209</v>
      </c>
      <c r="B771" s="174"/>
      <c r="C771" s="174"/>
      <c r="D771" s="141">
        <f>D769</f>
        <v>0</v>
      </c>
      <c r="E771" s="141"/>
      <c r="F771" s="141">
        <f>D771</f>
        <v>0</v>
      </c>
      <c r="G771" s="141">
        <f>G769</f>
        <v>126000</v>
      </c>
      <c r="H771" s="141"/>
      <c r="I771" s="141"/>
      <c r="J771" s="171">
        <f t="shared" si="60"/>
        <v>126000</v>
      </c>
      <c r="K771" s="141"/>
      <c r="L771" s="141"/>
      <c r="M771" s="141"/>
      <c r="N771" s="141">
        <f>N769</f>
        <v>0</v>
      </c>
      <c r="O771" s="141"/>
      <c r="P771" s="191">
        <f t="shared" si="61"/>
        <v>0</v>
      </c>
    </row>
    <row r="772" spans="1:16" ht="12" customHeight="1">
      <c r="A772" s="143" t="s">
        <v>189</v>
      </c>
      <c r="B772" s="174"/>
      <c r="C772" s="174"/>
      <c r="D772" s="141"/>
      <c r="E772" s="141"/>
      <c r="F772" s="141"/>
      <c r="G772" s="141"/>
      <c r="H772" s="141"/>
      <c r="I772" s="141"/>
      <c r="J772" s="171">
        <f t="shared" si="60"/>
        <v>0</v>
      </c>
      <c r="K772" s="141"/>
      <c r="L772" s="141"/>
      <c r="M772" s="141"/>
      <c r="N772" s="141"/>
      <c r="O772" s="141"/>
      <c r="P772" s="191">
        <f t="shared" si="61"/>
        <v>0</v>
      </c>
    </row>
    <row r="773" spans="1:16" ht="24.75" customHeight="1">
      <c r="A773" s="144" t="s">
        <v>172</v>
      </c>
      <c r="B773" s="174"/>
      <c r="C773" s="174"/>
      <c r="D773" s="141">
        <v>0</v>
      </c>
      <c r="E773" s="141"/>
      <c r="F773" s="141">
        <v>57</v>
      </c>
      <c r="G773" s="141">
        <v>27</v>
      </c>
      <c r="H773" s="141"/>
      <c r="I773" s="141"/>
      <c r="J773" s="171">
        <f t="shared" si="60"/>
        <v>27</v>
      </c>
      <c r="K773" s="141"/>
      <c r="L773" s="141"/>
      <c r="M773" s="141"/>
      <c r="N773" s="141"/>
      <c r="O773" s="141"/>
      <c r="P773" s="191">
        <f t="shared" si="61"/>
        <v>0</v>
      </c>
    </row>
    <row r="774" spans="1:16" ht="15.75" customHeight="1">
      <c r="A774" s="144" t="s">
        <v>262</v>
      </c>
      <c r="B774" s="174"/>
      <c r="C774" s="174"/>
      <c r="D774" s="141">
        <v>0</v>
      </c>
      <c r="E774" s="141"/>
      <c r="F774" s="141">
        <f>D774</f>
        <v>0</v>
      </c>
      <c r="G774" s="141">
        <v>27</v>
      </c>
      <c r="H774" s="141"/>
      <c r="I774" s="141"/>
      <c r="J774" s="171">
        <f t="shared" si="60"/>
        <v>27</v>
      </c>
      <c r="K774" s="141"/>
      <c r="L774" s="141"/>
      <c r="M774" s="141"/>
      <c r="N774" s="141"/>
      <c r="O774" s="141"/>
      <c r="P774" s="191">
        <f t="shared" si="61"/>
        <v>0</v>
      </c>
    </row>
    <row r="775" spans="1:16" ht="12.75" customHeight="1">
      <c r="A775" s="143" t="s">
        <v>191</v>
      </c>
      <c r="B775" s="174"/>
      <c r="C775" s="174"/>
      <c r="D775" s="141"/>
      <c r="E775" s="141"/>
      <c r="F775" s="141"/>
      <c r="G775" s="141"/>
      <c r="H775" s="141"/>
      <c r="I775" s="141"/>
      <c r="J775" s="171">
        <f t="shared" si="60"/>
        <v>0</v>
      </c>
      <c r="K775" s="141"/>
      <c r="L775" s="141"/>
      <c r="M775" s="141"/>
      <c r="N775" s="141"/>
      <c r="O775" s="141"/>
      <c r="P775" s="191">
        <f t="shared" si="61"/>
        <v>0</v>
      </c>
    </row>
    <row r="776" spans="1:16" ht="17.25" customHeight="1">
      <c r="A776" s="144" t="s">
        <v>263</v>
      </c>
      <c r="B776" s="174"/>
      <c r="C776" s="174"/>
      <c r="D776" s="141">
        <v>0</v>
      </c>
      <c r="E776" s="141"/>
      <c r="F776" s="141">
        <f>D776</f>
        <v>0</v>
      </c>
      <c r="G776" s="141">
        <v>1950.89</v>
      </c>
      <c r="H776" s="141"/>
      <c r="I776" s="141"/>
      <c r="J776" s="171">
        <f t="shared" si="60"/>
        <v>1950.89</v>
      </c>
      <c r="K776" s="141"/>
      <c r="L776" s="141"/>
      <c r="M776" s="141"/>
      <c r="N776" s="141"/>
      <c r="O776" s="141"/>
      <c r="P776" s="191">
        <f t="shared" si="61"/>
        <v>0</v>
      </c>
    </row>
    <row r="777" spans="1:16" ht="12.75">
      <c r="A777" s="144" t="s">
        <v>264</v>
      </c>
      <c r="B777" s="174"/>
      <c r="C777" s="174"/>
      <c r="D777" s="141" t="e">
        <f>D771/D774</f>
        <v>#DIV/0!</v>
      </c>
      <c r="E777" s="141"/>
      <c r="F777" s="141" t="e">
        <f>D777</f>
        <v>#DIV/0!</v>
      </c>
      <c r="G777" s="141">
        <f>G771/G774</f>
        <v>4666.666666666667</v>
      </c>
      <c r="H777" s="141"/>
      <c r="I777" s="141"/>
      <c r="J777" s="171">
        <f t="shared" si="60"/>
        <v>4666.666666666667</v>
      </c>
      <c r="K777" s="141"/>
      <c r="L777" s="141"/>
      <c r="M777" s="141"/>
      <c r="N777" s="141"/>
      <c r="O777" s="141"/>
      <c r="P777" s="191">
        <f t="shared" si="61"/>
        <v>0</v>
      </c>
    </row>
    <row r="778" spans="1:131" s="50" customFormat="1" ht="30.75" customHeight="1">
      <c r="A778" s="147" t="s">
        <v>86</v>
      </c>
      <c r="B778" s="169"/>
      <c r="C778" s="169"/>
      <c r="D778" s="170">
        <f>600000-389000-11000</f>
        <v>200000</v>
      </c>
      <c r="E778" s="170"/>
      <c r="F778" s="170">
        <f>D778</f>
        <v>200000</v>
      </c>
      <c r="G778" s="170">
        <v>600000</v>
      </c>
      <c r="H778" s="170"/>
      <c r="I778" s="170"/>
      <c r="J778" s="170">
        <f>G778+H778</f>
        <v>600000</v>
      </c>
      <c r="K778" s="170"/>
      <c r="L778" s="170"/>
      <c r="M778" s="170"/>
      <c r="N778" s="170">
        <v>634200</v>
      </c>
      <c r="O778" s="170"/>
      <c r="P778" s="170">
        <f>M778+N778</f>
        <v>634200</v>
      </c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59"/>
      <c r="BQ778" s="59"/>
      <c r="BR778" s="59"/>
      <c r="BS778" s="59"/>
      <c r="BT778" s="59"/>
      <c r="BU778" s="59"/>
      <c r="BV778" s="59"/>
      <c r="BW778" s="59"/>
      <c r="BX778" s="59"/>
      <c r="BY778" s="59"/>
      <c r="BZ778" s="59"/>
      <c r="CA778" s="59"/>
      <c r="CB778" s="59"/>
      <c r="CC778" s="59"/>
      <c r="CD778" s="59"/>
      <c r="CE778" s="59"/>
      <c r="CF778" s="59"/>
      <c r="CG778" s="59"/>
      <c r="CH778" s="59"/>
      <c r="CI778" s="59"/>
      <c r="CJ778" s="59"/>
      <c r="CK778" s="59"/>
      <c r="CL778" s="59"/>
      <c r="CM778" s="59"/>
      <c r="CN778" s="59"/>
      <c r="CO778" s="59"/>
      <c r="CP778" s="59"/>
      <c r="CQ778" s="59"/>
      <c r="CR778" s="59"/>
      <c r="CS778" s="59"/>
      <c r="CT778" s="59"/>
      <c r="CU778" s="59"/>
      <c r="CV778" s="59"/>
      <c r="CW778" s="59"/>
      <c r="CX778" s="59"/>
      <c r="CY778" s="59"/>
      <c r="CZ778" s="59"/>
      <c r="DA778" s="59"/>
      <c r="DB778" s="59"/>
      <c r="DC778" s="59"/>
      <c r="DD778" s="59"/>
      <c r="DE778" s="59"/>
      <c r="DF778" s="59"/>
      <c r="DG778" s="59"/>
      <c r="DH778" s="59"/>
      <c r="DI778" s="59"/>
      <c r="DJ778" s="59"/>
      <c r="DK778" s="59"/>
      <c r="DL778" s="59"/>
      <c r="DM778" s="59"/>
      <c r="DN778" s="59"/>
      <c r="DO778" s="59"/>
      <c r="DP778" s="59"/>
      <c r="DQ778" s="59"/>
      <c r="DR778" s="59"/>
      <c r="DS778" s="59"/>
      <c r="DT778" s="59"/>
      <c r="DU778" s="59"/>
      <c r="DV778" s="59"/>
      <c r="DW778" s="59"/>
      <c r="DX778" s="59"/>
      <c r="DY778" s="59"/>
      <c r="DZ778" s="59"/>
      <c r="EA778" s="59"/>
    </row>
    <row r="779" spans="1:16" ht="11.25" customHeight="1">
      <c r="A779" s="143" t="s">
        <v>188</v>
      </c>
      <c r="B779" s="174"/>
      <c r="C779" s="174"/>
      <c r="D779" s="141"/>
      <c r="E779" s="141"/>
      <c r="F779" s="141"/>
      <c r="G779" s="141"/>
      <c r="H779" s="141"/>
      <c r="I779" s="141"/>
      <c r="J779" s="191">
        <f aca="true" t="shared" si="62" ref="J779:J784">G779+H779</f>
        <v>0</v>
      </c>
      <c r="K779" s="141"/>
      <c r="L779" s="141"/>
      <c r="M779" s="141"/>
      <c r="N779" s="141"/>
      <c r="O779" s="141"/>
      <c r="P779" s="255">
        <f aca="true" t="shared" si="63" ref="P779:P784">M779+N779</f>
        <v>0</v>
      </c>
    </row>
    <row r="780" spans="1:16" ht="14.25" customHeight="1">
      <c r="A780" s="144" t="s">
        <v>209</v>
      </c>
      <c r="B780" s="174"/>
      <c r="C780" s="174"/>
      <c r="D780" s="141">
        <f>D778</f>
        <v>200000</v>
      </c>
      <c r="E780" s="141"/>
      <c r="F780" s="141">
        <f>D780+E780</f>
        <v>200000</v>
      </c>
      <c r="G780" s="141">
        <f>G778</f>
        <v>600000</v>
      </c>
      <c r="H780" s="141"/>
      <c r="I780" s="141"/>
      <c r="J780" s="191">
        <f t="shared" si="62"/>
        <v>600000</v>
      </c>
      <c r="K780" s="141"/>
      <c r="L780" s="141"/>
      <c r="M780" s="141"/>
      <c r="N780" s="141">
        <f>N778</f>
        <v>634200</v>
      </c>
      <c r="O780" s="141"/>
      <c r="P780" s="255">
        <f t="shared" si="63"/>
        <v>634200</v>
      </c>
    </row>
    <row r="781" spans="1:16" ht="10.5" customHeight="1">
      <c r="A781" s="143" t="s">
        <v>189</v>
      </c>
      <c r="B781" s="174"/>
      <c r="C781" s="174"/>
      <c r="D781" s="141"/>
      <c r="E781" s="141"/>
      <c r="F781" s="141"/>
      <c r="G781" s="141"/>
      <c r="H781" s="141"/>
      <c r="I781" s="141"/>
      <c r="J781" s="191"/>
      <c r="K781" s="141"/>
      <c r="L781" s="141"/>
      <c r="M781" s="141"/>
      <c r="N781" s="141"/>
      <c r="O781" s="141"/>
      <c r="P781" s="255"/>
    </row>
    <row r="782" spans="1:16" ht="12.75">
      <c r="A782" s="144" t="s">
        <v>266</v>
      </c>
      <c r="B782" s="174"/>
      <c r="C782" s="174"/>
      <c r="D782" s="176">
        <v>55</v>
      </c>
      <c r="E782" s="176"/>
      <c r="F782" s="176">
        <f>D782</f>
        <v>55</v>
      </c>
      <c r="G782" s="176">
        <v>200</v>
      </c>
      <c r="H782" s="176"/>
      <c r="I782" s="176"/>
      <c r="J782" s="291">
        <f t="shared" si="62"/>
        <v>200</v>
      </c>
      <c r="K782" s="176"/>
      <c r="L782" s="176"/>
      <c r="M782" s="176"/>
      <c r="N782" s="176">
        <v>200</v>
      </c>
      <c r="O782" s="176"/>
      <c r="P782" s="266">
        <f t="shared" si="63"/>
        <v>200</v>
      </c>
    </row>
    <row r="783" spans="1:16" ht="12.75">
      <c r="A783" s="143" t="s">
        <v>191</v>
      </c>
      <c r="B783" s="174"/>
      <c r="C783" s="174"/>
      <c r="D783" s="141"/>
      <c r="E783" s="141"/>
      <c r="F783" s="141"/>
      <c r="G783" s="141"/>
      <c r="H783" s="141"/>
      <c r="I783" s="141"/>
      <c r="J783" s="191"/>
      <c r="K783" s="141"/>
      <c r="L783" s="141"/>
      <c r="M783" s="141"/>
      <c r="N783" s="141"/>
      <c r="O783" s="141"/>
      <c r="P783" s="255"/>
    </row>
    <row r="784" spans="1:16" ht="12.75">
      <c r="A784" s="144" t="s">
        <v>267</v>
      </c>
      <c r="B784" s="174"/>
      <c r="C784" s="174"/>
      <c r="D784" s="141">
        <f>D780/D782</f>
        <v>3636.3636363636365</v>
      </c>
      <c r="E784" s="141"/>
      <c r="F784" s="141">
        <f>D784</f>
        <v>3636.3636363636365</v>
      </c>
      <c r="G784" s="141">
        <f>G780/G782</f>
        <v>3000</v>
      </c>
      <c r="H784" s="141"/>
      <c r="I784" s="141"/>
      <c r="J784" s="191">
        <f t="shared" si="62"/>
        <v>3000</v>
      </c>
      <c r="K784" s="141"/>
      <c r="L784" s="141"/>
      <c r="M784" s="141"/>
      <c r="N784" s="141">
        <f>N780/N782</f>
        <v>3171</v>
      </c>
      <c r="O784" s="141"/>
      <c r="P784" s="255">
        <f t="shared" si="63"/>
        <v>3171</v>
      </c>
    </row>
    <row r="785" spans="1:131" s="50" customFormat="1" ht="27">
      <c r="A785" s="147" t="s">
        <v>177</v>
      </c>
      <c r="B785" s="169"/>
      <c r="C785" s="169"/>
      <c r="D785" s="170">
        <f>350000-271000-100</f>
        <v>78900</v>
      </c>
      <c r="E785" s="170"/>
      <c r="F785" s="170">
        <f>D785+E785</f>
        <v>78900</v>
      </c>
      <c r="G785" s="170">
        <f>371700-271700</f>
        <v>100000</v>
      </c>
      <c r="H785" s="170"/>
      <c r="I785" s="170"/>
      <c r="J785" s="170">
        <f>G785+H785</f>
        <v>100000</v>
      </c>
      <c r="K785" s="170"/>
      <c r="L785" s="170"/>
      <c r="M785" s="170"/>
      <c r="N785" s="170">
        <v>393000</v>
      </c>
      <c r="O785" s="170"/>
      <c r="P785" s="170">
        <f>M785+N785</f>
        <v>393000</v>
      </c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59"/>
      <c r="BQ785" s="59"/>
      <c r="BR785" s="59"/>
      <c r="BS785" s="59"/>
      <c r="BT785" s="59"/>
      <c r="BU785" s="59"/>
      <c r="BV785" s="59"/>
      <c r="BW785" s="59"/>
      <c r="BX785" s="59"/>
      <c r="BY785" s="59"/>
      <c r="BZ785" s="59"/>
      <c r="CA785" s="59"/>
      <c r="CB785" s="59"/>
      <c r="CC785" s="59"/>
      <c r="CD785" s="59"/>
      <c r="CE785" s="59"/>
      <c r="CF785" s="59"/>
      <c r="CG785" s="59"/>
      <c r="CH785" s="59"/>
      <c r="CI785" s="59"/>
      <c r="CJ785" s="59"/>
      <c r="CK785" s="59"/>
      <c r="CL785" s="59"/>
      <c r="CM785" s="59"/>
      <c r="CN785" s="59"/>
      <c r="CO785" s="59"/>
      <c r="CP785" s="59"/>
      <c r="CQ785" s="59"/>
      <c r="CR785" s="59"/>
      <c r="CS785" s="59"/>
      <c r="CT785" s="59"/>
      <c r="CU785" s="59"/>
      <c r="CV785" s="59"/>
      <c r="CW785" s="59"/>
      <c r="CX785" s="59"/>
      <c r="CY785" s="59"/>
      <c r="CZ785" s="59"/>
      <c r="DA785" s="59"/>
      <c r="DB785" s="59"/>
      <c r="DC785" s="59"/>
      <c r="DD785" s="59"/>
      <c r="DE785" s="59"/>
      <c r="DF785" s="59"/>
      <c r="DG785" s="59"/>
      <c r="DH785" s="59"/>
      <c r="DI785" s="59"/>
      <c r="DJ785" s="59"/>
      <c r="DK785" s="59"/>
      <c r="DL785" s="59"/>
      <c r="DM785" s="59"/>
      <c r="DN785" s="59"/>
      <c r="DO785" s="59"/>
      <c r="DP785" s="59"/>
      <c r="DQ785" s="59"/>
      <c r="DR785" s="59"/>
      <c r="DS785" s="59"/>
      <c r="DT785" s="59"/>
      <c r="DU785" s="59"/>
      <c r="DV785" s="59"/>
      <c r="DW785" s="59"/>
      <c r="DX785" s="59"/>
      <c r="DY785" s="59"/>
      <c r="DZ785" s="59"/>
      <c r="EA785" s="59"/>
    </row>
    <row r="786" spans="1:16" ht="12.75">
      <c r="A786" s="143" t="s">
        <v>188</v>
      </c>
      <c r="B786" s="174"/>
      <c r="C786" s="174"/>
      <c r="D786" s="141"/>
      <c r="E786" s="141"/>
      <c r="F786" s="141"/>
      <c r="G786" s="141"/>
      <c r="H786" s="141"/>
      <c r="I786" s="141"/>
      <c r="J786" s="191">
        <f aca="true" t="shared" si="64" ref="J786:J799">G786+H786</f>
        <v>0</v>
      </c>
      <c r="K786" s="141"/>
      <c r="L786" s="141"/>
      <c r="M786" s="141"/>
      <c r="N786" s="141"/>
      <c r="O786" s="141"/>
      <c r="P786" s="255">
        <f aca="true" t="shared" si="65" ref="P786:P792">M786+N786</f>
        <v>0</v>
      </c>
    </row>
    <row r="787" spans="1:16" ht="12.75">
      <c r="A787" s="144" t="s">
        <v>173</v>
      </c>
      <c r="B787" s="174"/>
      <c r="C787" s="174"/>
      <c r="D787" s="141">
        <f>D785</f>
        <v>78900</v>
      </c>
      <c r="E787" s="141">
        <f>E785</f>
        <v>0</v>
      </c>
      <c r="F787" s="141">
        <f>D787+E787</f>
        <v>78900</v>
      </c>
      <c r="G787" s="141">
        <f>G785</f>
        <v>100000</v>
      </c>
      <c r="H787" s="141"/>
      <c r="I787" s="141"/>
      <c r="J787" s="191">
        <f t="shared" si="64"/>
        <v>100000</v>
      </c>
      <c r="K787" s="141"/>
      <c r="L787" s="141"/>
      <c r="M787" s="141"/>
      <c r="N787" s="141">
        <f>N785</f>
        <v>393000</v>
      </c>
      <c r="O787" s="141"/>
      <c r="P787" s="141">
        <f t="shared" si="65"/>
        <v>393000</v>
      </c>
    </row>
    <row r="788" spans="1:16" ht="12.75">
      <c r="A788" s="143" t="s">
        <v>189</v>
      </c>
      <c r="B788" s="174"/>
      <c r="C788" s="174"/>
      <c r="D788" s="141"/>
      <c r="E788" s="141"/>
      <c r="F788" s="141"/>
      <c r="G788" s="141"/>
      <c r="H788" s="141"/>
      <c r="I788" s="141"/>
      <c r="J788" s="191">
        <f t="shared" si="64"/>
        <v>0</v>
      </c>
      <c r="K788" s="141"/>
      <c r="L788" s="141"/>
      <c r="M788" s="141"/>
      <c r="N788" s="141"/>
      <c r="O788" s="141"/>
      <c r="P788" s="141">
        <f t="shared" si="65"/>
        <v>0</v>
      </c>
    </row>
    <row r="789" spans="1:16" ht="13.5" customHeight="1">
      <c r="A789" s="160" t="s">
        <v>175</v>
      </c>
      <c r="B789" s="174"/>
      <c r="C789" s="174"/>
      <c r="D789" s="171">
        <v>5</v>
      </c>
      <c r="E789" s="141"/>
      <c r="F789" s="141">
        <f>D789+E789</f>
        <v>5</v>
      </c>
      <c r="G789" s="141">
        <v>5</v>
      </c>
      <c r="H789" s="141"/>
      <c r="I789" s="141"/>
      <c r="J789" s="191">
        <f t="shared" si="64"/>
        <v>5</v>
      </c>
      <c r="K789" s="141"/>
      <c r="L789" s="141"/>
      <c r="M789" s="141"/>
      <c r="N789" s="141">
        <v>5</v>
      </c>
      <c r="O789" s="141"/>
      <c r="P789" s="141">
        <f t="shared" si="65"/>
        <v>5</v>
      </c>
    </row>
    <row r="790" spans="1:16" ht="18" customHeight="1">
      <c r="A790" s="160" t="s">
        <v>338</v>
      </c>
      <c r="B790" s="174"/>
      <c r="C790" s="174"/>
      <c r="D790" s="171">
        <v>0</v>
      </c>
      <c r="E790" s="141"/>
      <c r="F790" s="141">
        <f>D790+E790</f>
        <v>0</v>
      </c>
      <c r="G790" s="141">
        <v>0</v>
      </c>
      <c r="H790" s="141"/>
      <c r="I790" s="141"/>
      <c r="J790" s="191">
        <f t="shared" si="64"/>
        <v>0</v>
      </c>
      <c r="K790" s="141"/>
      <c r="L790" s="141"/>
      <c r="M790" s="141"/>
      <c r="N790" s="141">
        <v>0</v>
      </c>
      <c r="O790" s="141"/>
      <c r="P790" s="141">
        <f t="shared" si="65"/>
        <v>0</v>
      </c>
    </row>
    <row r="791" spans="1:16" ht="12.75">
      <c r="A791" s="143" t="s">
        <v>191</v>
      </c>
      <c r="B791" s="174"/>
      <c r="C791" s="174"/>
      <c r="D791" s="141"/>
      <c r="E791" s="141"/>
      <c r="F791" s="141"/>
      <c r="G791" s="141"/>
      <c r="H791" s="141"/>
      <c r="I791" s="141"/>
      <c r="J791" s="191">
        <f t="shared" si="64"/>
        <v>0</v>
      </c>
      <c r="K791" s="141"/>
      <c r="L791" s="141"/>
      <c r="M791" s="141"/>
      <c r="N791" s="141"/>
      <c r="O791" s="141"/>
      <c r="P791" s="141">
        <f t="shared" si="65"/>
        <v>0</v>
      </c>
    </row>
    <row r="792" spans="1:16" ht="25.5">
      <c r="A792" s="144" t="s">
        <v>174</v>
      </c>
      <c r="B792" s="174"/>
      <c r="C792" s="174"/>
      <c r="D792" s="141">
        <f>D787/D789</f>
        <v>15780</v>
      </c>
      <c r="E792" s="141"/>
      <c r="F792" s="141">
        <f>D792+E792</f>
        <v>15780</v>
      </c>
      <c r="G792" s="141">
        <f>G787/G789</f>
        <v>20000</v>
      </c>
      <c r="H792" s="141"/>
      <c r="I792" s="141"/>
      <c r="J792" s="191">
        <f t="shared" si="64"/>
        <v>20000</v>
      </c>
      <c r="K792" s="141"/>
      <c r="L792" s="141"/>
      <c r="M792" s="141"/>
      <c r="N792" s="141">
        <f>N787/N789</f>
        <v>78600</v>
      </c>
      <c r="O792" s="141"/>
      <c r="P792" s="141">
        <f t="shared" si="65"/>
        <v>78600</v>
      </c>
    </row>
    <row r="793" spans="1:17" s="50" customFormat="1" ht="27">
      <c r="A793" s="147" t="s">
        <v>176</v>
      </c>
      <c r="B793" s="169"/>
      <c r="C793" s="169"/>
      <c r="D793" s="170">
        <f>13000-13000</f>
        <v>0</v>
      </c>
      <c r="E793" s="170"/>
      <c r="F793" s="170">
        <f>D793</f>
        <v>0</v>
      </c>
      <c r="G793" s="170">
        <v>15000</v>
      </c>
      <c r="H793" s="170"/>
      <c r="I793" s="170"/>
      <c r="J793" s="170">
        <f t="shared" si="64"/>
        <v>15000</v>
      </c>
      <c r="K793" s="170"/>
      <c r="L793" s="170"/>
      <c r="M793" s="170"/>
      <c r="N793" s="170">
        <v>17000</v>
      </c>
      <c r="O793" s="170"/>
      <c r="P793" s="170">
        <f>N793</f>
        <v>17000</v>
      </c>
      <c r="Q793" s="49"/>
    </row>
    <row r="794" spans="1:131" ht="12.75">
      <c r="A794" s="143" t="s">
        <v>188</v>
      </c>
      <c r="B794" s="174"/>
      <c r="C794" s="174"/>
      <c r="D794" s="141"/>
      <c r="E794" s="141"/>
      <c r="F794" s="141"/>
      <c r="G794" s="141"/>
      <c r="H794" s="141"/>
      <c r="I794" s="141"/>
      <c r="J794" s="191"/>
      <c r="K794" s="141"/>
      <c r="L794" s="141"/>
      <c r="M794" s="141"/>
      <c r="N794" s="141"/>
      <c r="O794" s="141"/>
      <c r="P794" s="141"/>
      <c r="Q794" s="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</row>
    <row r="795" spans="1:131" ht="12.75">
      <c r="A795" s="144" t="s">
        <v>209</v>
      </c>
      <c r="B795" s="174"/>
      <c r="C795" s="174"/>
      <c r="D795" s="141">
        <f>D793</f>
        <v>0</v>
      </c>
      <c r="E795" s="141"/>
      <c r="F795" s="141">
        <f>D795</f>
        <v>0</v>
      </c>
      <c r="G795" s="141">
        <f>G793</f>
        <v>15000</v>
      </c>
      <c r="H795" s="141"/>
      <c r="I795" s="141"/>
      <c r="J795" s="191">
        <f t="shared" si="64"/>
        <v>15000</v>
      </c>
      <c r="K795" s="141"/>
      <c r="L795" s="141"/>
      <c r="M795" s="141"/>
      <c r="N795" s="141">
        <f>N793</f>
        <v>17000</v>
      </c>
      <c r="O795" s="141"/>
      <c r="P795" s="141">
        <f>N795</f>
        <v>17000</v>
      </c>
      <c r="Q795" s="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</row>
    <row r="796" spans="1:131" ht="12.75">
      <c r="A796" s="143" t="s">
        <v>189</v>
      </c>
      <c r="B796" s="174"/>
      <c r="C796" s="174"/>
      <c r="D796" s="141"/>
      <c r="E796" s="141"/>
      <c r="F796" s="141"/>
      <c r="G796" s="141"/>
      <c r="H796" s="141"/>
      <c r="I796" s="141"/>
      <c r="J796" s="191"/>
      <c r="K796" s="141"/>
      <c r="L796" s="141"/>
      <c r="M796" s="141"/>
      <c r="N796" s="141"/>
      <c r="O796" s="141"/>
      <c r="P796" s="141"/>
      <c r="Q796" s="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</row>
    <row r="797" spans="1:131" ht="12.75">
      <c r="A797" s="144" t="s">
        <v>342</v>
      </c>
      <c r="B797" s="174"/>
      <c r="C797" s="174"/>
      <c r="D797" s="141">
        <v>0</v>
      </c>
      <c r="E797" s="141"/>
      <c r="F797" s="141">
        <f>D797</f>
        <v>0</v>
      </c>
      <c r="G797" s="141">
        <v>1</v>
      </c>
      <c r="H797" s="141"/>
      <c r="I797" s="141"/>
      <c r="J797" s="191">
        <f t="shared" si="64"/>
        <v>1</v>
      </c>
      <c r="K797" s="141"/>
      <c r="L797" s="141"/>
      <c r="M797" s="141"/>
      <c r="N797" s="141">
        <v>1</v>
      </c>
      <c r="O797" s="141"/>
      <c r="P797" s="141">
        <f>N797</f>
        <v>1</v>
      </c>
      <c r="Q797" s="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</row>
    <row r="798" spans="1:131" ht="12.75">
      <c r="A798" s="143" t="s">
        <v>191</v>
      </c>
      <c r="B798" s="174"/>
      <c r="C798" s="174"/>
      <c r="D798" s="141"/>
      <c r="E798" s="141"/>
      <c r="F798" s="141"/>
      <c r="G798" s="141"/>
      <c r="H798" s="141"/>
      <c r="I798" s="141"/>
      <c r="J798" s="191"/>
      <c r="K798" s="141"/>
      <c r="L798" s="141"/>
      <c r="M798" s="141"/>
      <c r="N798" s="141"/>
      <c r="O798" s="141"/>
      <c r="P798" s="141"/>
      <c r="Q798" s="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</row>
    <row r="799" spans="1:131" ht="12.75">
      <c r="A799" s="144" t="s">
        <v>331</v>
      </c>
      <c r="B799" s="174"/>
      <c r="C799" s="174"/>
      <c r="D799" s="141" t="e">
        <f>D795/D797</f>
        <v>#DIV/0!</v>
      </c>
      <c r="E799" s="141"/>
      <c r="F799" s="141" t="e">
        <f>D799</f>
        <v>#DIV/0!</v>
      </c>
      <c r="G799" s="141">
        <f>G795/G797</f>
        <v>15000</v>
      </c>
      <c r="H799" s="141"/>
      <c r="I799" s="141"/>
      <c r="J799" s="191">
        <f t="shared" si="64"/>
        <v>15000</v>
      </c>
      <c r="K799" s="141"/>
      <c r="L799" s="141"/>
      <c r="M799" s="141"/>
      <c r="N799" s="141">
        <f>N795/N797</f>
        <v>17000</v>
      </c>
      <c r="O799" s="141"/>
      <c r="P799" s="141">
        <f>N799</f>
        <v>17000</v>
      </c>
      <c r="Q799" s="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</row>
    <row r="800" spans="1:17" s="44" customFormat="1" ht="27">
      <c r="A800" s="147" t="s">
        <v>129</v>
      </c>
      <c r="B800" s="172"/>
      <c r="C800" s="172"/>
      <c r="D800" s="178">
        <f>100000+120000-25000</f>
        <v>195000</v>
      </c>
      <c r="E800" s="178"/>
      <c r="F800" s="178">
        <f>D800</f>
        <v>195000</v>
      </c>
      <c r="G800" s="178">
        <f>120000+98000</f>
        <v>218000</v>
      </c>
      <c r="H800" s="178"/>
      <c r="I800" s="178"/>
      <c r="J800" s="178">
        <f>G800+H800</f>
        <v>218000</v>
      </c>
      <c r="K800" s="178"/>
      <c r="L800" s="178"/>
      <c r="M800" s="178"/>
      <c r="N800" s="178">
        <v>140000</v>
      </c>
      <c r="O800" s="178"/>
      <c r="P800" s="178">
        <f>N800+O800</f>
        <v>140000</v>
      </c>
      <c r="Q800" s="105"/>
    </row>
    <row r="801" spans="1:131" ht="12.75">
      <c r="A801" s="144" t="s">
        <v>188</v>
      </c>
      <c r="B801" s="174"/>
      <c r="C801" s="174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71">
        <f aca="true" t="shared" si="66" ref="P801:P806">N801+O801</f>
        <v>0</v>
      </c>
      <c r="Q801" s="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</row>
    <row r="802" spans="1:131" ht="12.75">
      <c r="A802" s="144" t="s">
        <v>209</v>
      </c>
      <c r="B802" s="174"/>
      <c r="C802" s="174"/>
      <c r="D802" s="141">
        <f>D800</f>
        <v>195000</v>
      </c>
      <c r="E802" s="141"/>
      <c r="F802" s="141">
        <f>F800</f>
        <v>195000</v>
      </c>
      <c r="G802" s="141">
        <f>G800</f>
        <v>218000</v>
      </c>
      <c r="H802" s="141"/>
      <c r="I802" s="141"/>
      <c r="J802" s="141">
        <f>G802+H802</f>
        <v>218000</v>
      </c>
      <c r="K802" s="141"/>
      <c r="L802" s="141"/>
      <c r="M802" s="141"/>
      <c r="N802" s="141">
        <f>N800</f>
        <v>140000</v>
      </c>
      <c r="O802" s="141"/>
      <c r="P802" s="171">
        <f t="shared" si="66"/>
        <v>140000</v>
      </c>
      <c r="Q802" s="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</row>
    <row r="803" spans="1:131" ht="12.75">
      <c r="A803" s="144" t="s">
        <v>539</v>
      </c>
      <c r="B803" s="174"/>
      <c r="C803" s="174"/>
      <c r="D803" s="141"/>
      <c r="E803" s="141"/>
      <c r="F803" s="141"/>
      <c r="G803" s="141"/>
      <c r="H803" s="141"/>
      <c r="I803" s="141"/>
      <c r="J803" s="141">
        <f>G803+H803</f>
        <v>0</v>
      </c>
      <c r="K803" s="141"/>
      <c r="L803" s="141"/>
      <c r="M803" s="141"/>
      <c r="N803" s="141"/>
      <c r="O803" s="141"/>
      <c r="P803" s="171">
        <f t="shared" si="66"/>
        <v>0</v>
      </c>
      <c r="Q803" s="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</row>
    <row r="804" spans="1:131" ht="12.75">
      <c r="A804" s="144" t="s">
        <v>342</v>
      </c>
      <c r="B804" s="174"/>
      <c r="C804" s="174"/>
      <c r="D804" s="141">
        <v>6</v>
      </c>
      <c r="E804" s="141"/>
      <c r="F804" s="141">
        <v>6</v>
      </c>
      <c r="G804" s="141">
        <v>6</v>
      </c>
      <c r="H804" s="141"/>
      <c r="I804" s="141"/>
      <c r="J804" s="141">
        <f>G804+H804</f>
        <v>6</v>
      </c>
      <c r="K804" s="141"/>
      <c r="L804" s="141"/>
      <c r="M804" s="141"/>
      <c r="N804" s="141">
        <v>6</v>
      </c>
      <c r="O804" s="141"/>
      <c r="P804" s="171">
        <f t="shared" si="66"/>
        <v>6</v>
      </c>
      <c r="Q804" s="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</row>
    <row r="805" spans="1:131" ht="12.75">
      <c r="A805" s="144" t="s">
        <v>540</v>
      </c>
      <c r="B805" s="174"/>
      <c r="C805" s="174"/>
      <c r="D805" s="141"/>
      <c r="E805" s="141"/>
      <c r="F805" s="141"/>
      <c r="G805" s="141"/>
      <c r="H805" s="141"/>
      <c r="I805" s="141"/>
      <c r="J805" s="141">
        <f>G805+H805</f>
        <v>0</v>
      </c>
      <c r="K805" s="141"/>
      <c r="L805" s="141"/>
      <c r="M805" s="141"/>
      <c r="N805" s="141"/>
      <c r="O805" s="141"/>
      <c r="P805" s="171">
        <f t="shared" si="66"/>
        <v>0</v>
      </c>
      <c r="Q805" s="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</row>
    <row r="806" spans="1:131" ht="12.75">
      <c r="A806" s="144" t="s">
        <v>331</v>
      </c>
      <c r="B806" s="174"/>
      <c r="C806" s="174"/>
      <c r="D806" s="141">
        <f>D802/D804</f>
        <v>32500</v>
      </c>
      <c r="E806" s="141"/>
      <c r="F806" s="141">
        <f>D806</f>
        <v>32500</v>
      </c>
      <c r="G806" s="141">
        <f>G802/G804</f>
        <v>36333.333333333336</v>
      </c>
      <c r="H806" s="141"/>
      <c r="I806" s="141"/>
      <c r="J806" s="141">
        <f>G806+H806</f>
        <v>36333.333333333336</v>
      </c>
      <c r="K806" s="141"/>
      <c r="L806" s="141"/>
      <c r="M806" s="141"/>
      <c r="N806" s="141">
        <f>N802/N804</f>
        <v>23333.333333333332</v>
      </c>
      <c r="O806" s="141"/>
      <c r="P806" s="171">
        <f t="shared" si="66"/>
        <v>23333.333333333332</v>
      </c>
      <c r="Q806" s="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</row>
    <row r="807" spans="1:131" ht="29.25" customHeight="1">
      <c r="A807" s="147" t="s">
        <v>519</v>
      </c>
      <c r="B807" s="174"/>
      <c r="C807" s="174"/>
      <c r="D807" s="9">
        <f>D809</f>
        <v>9100</v>
      </c>
      <c r="E807" s="9"/>
      <c r="F807" s="9">
        <f>D807+E807</f>
        <v>9100</v>
      </c>
      <c r="G807" s="9">
        <f>G809</f>
        <v>45000</v>
      </c>
      <c r="H807" s="9"/>
      <c r="I807" s="9"/>
      <c r="J807" s="9">
        <f aca="true" t="shared" si="67" ref="J807:J813">G807+H807</f>
        <v>45000</v>
      </c>
      <c r="K807" s="9"/>
      <c r="L807" s="9"/>
      <c r="M807" s="9"/>
      <c r="N807" s="9">
        <f>N809</f>
        <v>50000</v>
      </c>
      <c r="O807" s="9"/>
      <c r="P807" s="9">
        <f aca="true" t="shared" si="68" ref="P807:P813">N807+O807</f>
        <v>50000</v>
      </c>
      <c r="Q807" s="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</row>
    <row r="808" spans="1:131" ht="12.75">
      <c r="A808" s="143" t="s">
        <v>188</v>
      </c>
      <c r="B808" s="174"/>
      <c r="C808" s="174"/>
      <c r="D808" s="141"/>
      <c r="E808" s="141"/>
      <c r="F808" s="141">
        <f aca="true" t="shared" si="69" ref="F808:F813">D808+E808</f>
        <v>0</v>
      </c>
      <c r="G808" s="141"/>
      <c r="H808" s="141"/>
      <c r="I808" s="141"/>
      <c r="J808" s="141">
        <f t="shared" si="67"/>
        <v>0</v>
      </c>
      <c r="K808" s="141"/>
      <c r="L808" s="141"/>
      <c r="M808" s="141"/>
      <c r="N808" s="141"/>
      <c r="O808" s="141"/>
      <c r="P808" s="141">
        <f t="shared" si="68"/>
        <v>0</v>
      </c>
      <c r="Q808" s="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</row>
    <row r="809" spans="1:131" ht="12.75">
      <c r="A809" s="144" t="s">
        <v>209</v>
      </c>
      <c r="B809" s="174"/>
      <c r="C809" s="174"/>
      <c r="D809" s="141">
        <f>D811*D813</f>
        <v>9100</v>
      </c>
      <c r="E809" s="141"/>
      <c r="F809" s="141">
        <f t="shared" si="69"/>
        <v>9100</v>
      </c>
      <c r="G809" s="141">
        <f>G811*G813</f>
        <v>45000</v>
      </c>
      <c r="H809" s="141"/>
      <c r="I809" s="141"/>
      <c r="J809" s="141">
        <f t="shared" si="67"/>
        <v>45000</v>
      </c>
      <c r="K809" s="141"/>
      <c r="L809" s="141"/>
      <c r="M809" s="141"/>
      <c r="N809" s="141">
        <f>N811*N813</f>
        <v>50000</v>
      </c>
      <c r="O809" s="141"/>
      <c r="P809" s="141">
        <f t="shared" si="68"/>
        <v>50000</v>
      </c>
      <c r="Q809" s="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</row>
    <row r="810" spans="1:131" ht="12.75">
      <c r="A810" s="143" t="s">
        <v>189</v>
      </c>
      <c r="B810" s="174"/>
      <c r="C810" s="174"/>
      <c r="D810" s="141"/>
      <c r="E810" s="141"/>
      <c r="F810" s="141">
        <f t="shared" si="69"/>
        <v>0</v>
      </c>
      <c r="G810" s="141"/>
      <c r="H810" s="141"/>
      <c r="I810" s="141"/>
      <c r="J810" s="141">
        <f t="shared" si="67"/>
        <v>0</v>
      </c>
      <c r="K810" s="141"/>
      <c r="L810" s="141"/>
      <c r="M810" s="141"/>
      <c r="N810" s="141"/>
      <c r="O810" s="141"/>
      <c r="P810" s="141">
        <f t="shared" si="68"/>
        <v>0</v>
      </c>
      <c r="Q810" s="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</row>
    <row r="811" spans="1:131" ht="12.75">
      <c r="A811" s="144" t="s">
        <v>342</v>
      </c>
      <c r="B811" s="174"/>
      <c r="C811" s="174"/>
      <c r="D811" s="141">
        <v>1</v>
      </c>
      <c r="E811" s="141"/>
      <c r="F811" s="141">
        <f t="shared" si="69"/>
        <v>1</v>
      </c>
      <c r="G811" s="141">
        <v>2</v>
      </c>
      <c r="H811" s="141"/>
      <c r="I811" s="141"/>
      <c r="J811" s="141">
        <f t="shared" si="67"/>
        <v>2</v>
      </c>
      <c r="K811" s="141"/>
      <c r="L811" s="141"/>
      <c r="M811" s="141"/>
      <c r="N811" s="141">
        <v>2</v>
      </c>
      <c r="O811" s="141"/>
      <c r="P811" s="141">
        <f t="shared" si="68"/>
        <v>2</v>
      </c>
      <c r="Q811" s="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</row>
    <row r="812" spans="1:131" ht="12.75">
      <c r="A812" s="143" t="s">
        <v>191</v>
      </c>
      <c r="B812" s="174"/>
      <c r="C812" s="174"/>
      <c r="D812" s="141"/>
      <c r="E812" s="141"/>
      <c r="F812" s="141">
        <f t="shared" si="69"/>
        <v>0</v>
      </c>
      <c r="G812" s="141"/>
      <c r="H812" s="141"/>
      <c r="I812" s="141"/>
      <c r="J812" s="141">
        <f t="shared" si="67"/>
        <v>0</v>
      </c>
      <c r="K812" s="141"/>
      <c r="L812" s="141"/>
      <c r="M812" s="141"/>
      <c r="N812" s="141"/>
      <c r="O812" s="141"/>
      <c r="P812" s="141">
        <f t="shared" si="68"/>
        <v>0</v>
      </c>
      <c r="Q812" s="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</row>
    <row r="813" spans="1:131" ht="12.75">
      <c r="A813" s="144" t="s">
        <v>331</v>
      </c>
      <c r="B813" s="174"/>
      <c r="C813" s="174"/>
      <c r="D813" s="141">
        <v>9100</v>
      </c>
      <c r="E813" s="141"/>
      <c r="F813" s="141">
        <f t="shared" si="69"/>
        <v>9100</v>
      </c>
      <c r="G813" s="141">
        <v>22500</v>
      </c>
      <c r="H813" s="141"/>
      <c r="I813" s="141"/>
      <c r="J813" s="141">
        <f t="shared" si="67"/>
        <v>22500</v>
      </c>
      <c r="K813" s="141"/>
      <c r="L813" s="141"/>
      <c r="M813" s="141"/>
      <c r="N813" s="141">
        <v>25000</v>
      </c>
      <c r="O813" s="141"/>
      <c r="P813" s="141">
        <f t="shared" si="68"/>
        <v>25000</v>
      </c>
      <c r="Q813" s="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</row>
    <row r="814" spans="1:131" ht="51" customHeight="1">
      <c r="A814" s="147" t="s">
        <v>554</v>
      </c>
      <c r="B814" s="174"/>
      <c r="C814" s="174"/>
      <c r="D814" s="170">
        <v>5000000</v>
      </c>
      <c r="E814" s="170"/>
      <c r="F814" s="170">
        <f>D814</f>
        <v>5000000</v>
      </c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</row>
    <row r="815" spans="1:131" ht="12.75">
      <c r="A815" s="143" t="s">
        <v>188</v>
      </c>
      <c r="B815" s="174"/>
      <c r="C815" s="174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</row>
    <row r="816" spans="1:131" ht="12.75">
      <c r="A816" s="144" t="s">
        <v>209</v>
      </c>
      <c r="B816" s="174"/>
      <c r="C816" s="174"/>
      <c r="D816" s="141">
        <f>D814</f>
        <v>5000000</v>
      </c>
      <c r="E816" s="141"/>
      <c r="F816" s="141">
        <f>D816+E816</f>
        <v>5000000</v>
      </c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</row>
    <row r="817" spans="1:131" ht="12.75">
      <c r="A817" s="143" t="s">
        <v>189</v>
      </c>
      <c r="B817" s="174"/>
      <c r="C817" s="174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</row>
    <row r="818" spans="1:131" ht="20.25" customHeight="1">
      <c r="A818" s="144" t="s">
        <v>178</v>
      </c>
      <c r="B818" s="174"/>
      <c r="C818" s="174"/>
      <c r="D818" s="141">
        <v>1</v>
      </c>
      <c r="E818" s="141"/>
      <c r="F818" s="141">
        <f>D818</f>
        <v>1</v>
      </c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</row>
    <row r="819" spans="1:131" ht="12.75">
      <c r="A819" s="143" t="s">
        <v>191</v>
      </c>
      <c r="B819" s="174"/>
      <c r="C819" s="174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</row>
    <row r="820" spans="1:131" ht="18.75" customHeight="1">
      <c r="A820" s="144" t="s">
        <v>179</v>
      </c>
      <c r="B820" s="174"/>
      <c r="C820" s="174"/>
      <c r="D820" s="141">
        <f>D816/D818</f>
        <v>5000000</v>
      </c>
      <c r="E820" s="141"/>
      <c r="F820" s="141">
        <f>D820</f>
        <v>5000000</v>
      </c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</row>
    <row r="821" spans="1:17" s="83" customFormat="1" ht="27.75" customHeight="1">
      <c r="A821" s="80" t="s">
        <v>312</v>
      </c>
      <c r="B821" s="104"/>
      <c r="C821" s="104"/>
      <c r="D821" s="81">
        <f>D823</f>
        <v>2899999.9999989998</v>
      </c>
      <c r="E821" s="81"/>
      <c r="F821" s="81">
        <f>D821</f>
        <v>2899999.9999989998</v>
      </c>
      <c r="G821" s="81">
        <f>G823</f>
        <v>4896499.999999</v>
      </c>
      <c r="H821" s="81"/>
      <c r="I821" s="81">
        <f>I823</f>
        <v>0</v>
      </c>
      <c r="J821" s="81">
        <f>J823</f>
        <v>4896499.999999</v>
      </c>
      <c r="K821" s="81"/>
      <c r="L821" s="81"/>
      <c r="M821" s="81"/>
      <c r="N821" s="81">
        <f>N823</f>
        <v>5181299.999999</v>
      </c>
      <c r="O821" s="81"/>
      <c r="P821" s="81">
        <f>P823</f>
        <v>5181299.999999</v>
      </c>
      <c r="Q821" s="106"/>
    </row>
    <row r="822" spans="1:131" ht="51" customHeight="1">
      <c r="A822" s="144" t="s">
        <v>268</v>
      </c>
      <c r="B822" s="174"/>
      <c r="C822" s="174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  <c r="P822" s="171"/>
      <c r="Q822" s="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</row>
    <row r="823" spans="1:17" s="108" customFormat="1" ht="18.75" customHeight="1">
      <c r="A823" s="75" t="s">
        <v>87</v>
      </c>
      <c r="B823" s="76"/>
      <c r="C823" s="76"/>
      <c r="D823" s="96">
        <f>D824+D831+D838</f>
        <v>2899999.9999989998</v>
      </c>
      <c r="E823" s="96">
        <f aca="true" t="shared" si="70" ref="E823:O823">E824+E831</f>
        <v>0</v>
      </c>
      <c r="F823" s="96">
        <f>D823+E823</f>
        <v>2899999.9999989998</v>
      </c>
      <c r="G823" s="96">
        <f>G824+G831+G838</f>
        <v>4896499.999999</v>
      </c>
      <c r="H823" s="96">
        <f t="shared" si="70"/>
        <v>0</v>
      </c>
      <c r="I823" s="96">
        <f t="shared" si="70"/>
        <v>0</v>
      </c>
      <c r="J823" s="96">
        <f>G823+H823</f>
        <v>4896499.999999</v>
      </c>
      <c r="K823" s="96">
        <f t="shared" si="70"/>
        <v>0</v>
      </c>
      <c r="L823" s="96">
        <f t="shared" si="70"/>
        <v>0</v>
      </c>
      <c r="M823" s="96">
        <f t="shared" si="70"/>
        <v>0</v>
      </c>
      <c r="N823" s="96">
        <f>N824+N831+N838</f>
        <v>5181299.999999</v>
      </c>
      <c r="O823" s="96">
        <f t="shared" si="70"/>
        <v>0</v>
      </c>
      <c r="P823" s="96">
        <f>N823+O823</f>
        <v>5181299.999999</v>
      </c>
      <c r="Q823" s="107"/>
    </row>
    <row r="824" spans="1:17" s="16" customFormat="1" ht="45" customHeight="1">
      <c r="A824" s="161" t="s">
        <v>102</v>
      </c>
      <c r="B824" s="254"/>
      <c r="C824" s="254"/>
      <c r="D824" s="236">
        <f>1600500-1100500</f>
        <v>500000</v>
      </c>
      <c r="E824" s="236"/>
      <c r="F824" s="236">
        <f>D824+E824</f>
        <v>500000</v>
      </c>
      <c r="G824" s="170">
        <v>1696500</v>
      </c>
      <c r="H824" s="170"/>
      <c r="I824" s="170">
        <f>I828*I830</f>
        <v>0</v>
      </c>
      <c r="J824" s="170">
        <f>G824</f>
        <v>1696500</v>
      </c>
      <c r="K824" s="170">
        <f>K828*K830</f>
        <v>0</v>
      </c>
      <c r="L824" s="170">
        <f>L828*L830</f>
        <v>0</v>
      </c>
      <c r="M824" s="170">
        <f>M828*M830</f>
        <v>0</v>
      </c>
      <c r="N824" s="170">
        <v>1781300</v>
      </c>
      <c r="O824" s="170"/>
      <c r="P824" s="170">
        <f>N824</f>
        <v>1781300</v>
      </c>
      <c r="Q824" s="15"/>
    </row>
    <row r="825" spans="1:17" s="12" customFormat="1" ht="12.75">
      <c r="A825" s="143" t="s">
        <v>188</v>
      </c>
      <c r="B825" s="8"/>
      <c r="C825" s="8"/>
      <c r="D825" s="256"/>
      <c r="E825" s="256"/>
      <c r="F825" s="257"/>
      <c r="G825" s="178"/>
      <c r="H825" s="178"/>
      <c r="I825" s="178"/>
      <c r="J825" s="178"/>
      <c r="K825" s="178"/>
      <c r="L825" s="178"/>
      <c r="M825" s="178"/>
      <c r="N825" s="178"/>
      <c r="O825" s="178"/>
      <c r="P825" s="178"/>
      <c r="Q825" s="14"/>
    </row>
    <row r="826" spans="1:17" s="12" customFormat="1" ht="27.75" customHeight="1">
      <c r="A826" s="144" t="s">
        <v>269</v>
      </c>
      <c r="B826" s="8"/>
      <c r="C826" s="8"/>
      <c r="D826" s="217">
        <v>500</v>
      </c>
      <c r="E826" s="256"/>
      <c r="F826" s="257"/>
      <c r="G826" s="171">
        <v>500</v>
      </c>
      <c r="H826" s="178"/>
      <c r="I826" s="178"/>
      <c r="J826" s="171">
        <f>G826+H826</f>
        <v>500</v>
      </c>
      <c r="K826" s="178"/>
      <c r="L826" s="178"/>
      <c r="M826" s="178"/>
      <c r="N826" s="171">
        <f>N828</f>
        <v>500</v>
      </c>
      <c r="O826" s="171"/>
      <c r="P826" s="171">
        <f>N826+O826</f>
        <v>500</v>
      </c>
      <c r="Q826" s="14"/>
    </row>
    <row r="827" spans="1:17" s="12" customFormat="1" ht="12.75">
      <c r="A827" s="143" t="s">
        <v>189</v>
      </c>
      <c r="B827" s="8"/>
      <c r="C827" s="8"/>
      <c r="D827" s="256"/>
      <c r="E827" s="256"/>
      <c r="F827" s="257"/>
      <c r="G827" s="178"/>
      <c r="H827" s="178"/>
      <c r="I827" s="178"/>
      <c r="J827" s="171"/>
      <c r="K827" s="178"/>
      <c r="L827" s="178"/>
      <c r="M827" s="178"/>
      <c r="N827" s="178"/>
      <c r="O827" s="178"/>
      <c r="P827" s="171"/>
      <c r="Q827" s="14"/>
    </row>
    <row r="828" spans="1:17" s="12" customFormat="1" ht="12.75">
      <c r="A828" s="144" t="s">
        <v>270</v>
      </c>
      <c r="B828" s="8"/>
      <c r="C828" s="8"/>
      <c r="D828" s="217">
        <v>500</v>
      </c>
      <c r="E828" s="256"/>
      <c r="F828" s="257"/>
      <c r="G828" s="171">
        <f>G826</f>
        <v>500</v>
      </c>
      <c r="H828" s="171"/>
      <c r="I828" s="171"/>
      <c r="J828" s="171">
        <f>G828+H828</f>
        <v>500</v>
      </c>
      <c r="K828" s="171">
        <f>K826</f>
        <v>0</v>
      </c>
      <c r="L828" s="171">
        <f>L826</f>
        <v>0</v>
      </c>
      <c r="M828" s="171">
        <f>M826</f>
        <v>0</v>
      </c>
      <c r="N828" s="171">
        <v>500</v>
      </c>
      <c r="O828" s="171"/>
      <c r="P828" s="171">
        <f>N828+O828</f>
        <v>500</v>
      </c>
      <c r="Q828" s="14"/>
    </row>
    <row r="829" spans="1:17" s="12" customFormat="1" ht="12.75">
      <c r="A829" s="143" t="s">
        <v>191</v>
      </c>
      <c r="B829" s="8"/>
      <c r="C829" s="8"/>
      <c r="D829" s="256"/>
      <c r="E829" s="256"/>
      <c r="F829" s="257"/>
      <c r="G829" s="178"/>
      <c r="H829" s="178"/>
      <c r="I829" s="178"/>
      <c r="J829" s="171"/>
      <c r="K829" s="178"/>
      <c r="L829" s="178"/>
      <c r="M829" s="178"/>
      <c r="N829" s="178"/>
      <c r="O829" s="178"/>
      <c r="P829" s="171"/>
      <c r="Q829" s="14"/>
    </row>
    <row r="830" spans="1:17" s="12" customFormat="1" ht="17.25" customHeight="1">
      <c r="A830" s="144" t="s">
        <v>271</v>
      </c>
      <c r="B830" s="8"/>
      <c r="C830" s="8"/>
      <c r="D830" s="256">
        <f>D824/D826</f>
        <v>1000</v>
      </c>
      <c r="E830" s="256"/>
      <c r="F830" s="257"/>
      <c r="G830" s="171">
        <f>G824/G828</f>
        <v>3393</v>
      </c>
      <c r="H830" s="178"/>
      <c r="I830" s="178"/>
      <c r="J830" s="171">
        <f>G830+H830</f>
        <v>3393</v>
      </c>
      <c r="K830" s="178"/>
      <c r="L830" s="178"/>
      <c r="M830" s="178"/>
      <c r="N830" s="171">
        <f>N824/N828</f>
        <v>3562.6</v>
      </c>
      <c r="O830" s="171"/>
      <c r="P830" s="171">
        <f>N830+O830</f>
        <v>3562.6</v>
      </c>
      <c r="Q830" s="14"/>
    </row>
    <row r="831" spans="1:17" s="18" customFormat="1" ht="57" customHeight="1">
      <c r="A831" s="161" t="s">
        <v>141</v>
      </c>
      <c r="B831" s="142"/>
      <c r="C831" s="142"/>
      <c r="D831" s="236">
        <f>2400800-400800-600000</f>
        <v>1400000</v>
      </c>
      <c r="E831" s="236"/>
      <c r="F831" s="236">
        <f>D831+E831</f>
        <v>1400000</v>
      </c>
      <c r="G831" s="170">
        <f>2544800-344800</f>
        <v>2200000</v>
      </c>
      <c r="H831" s="170"/>
      <c r="I831" s="170">
        <f>I835*I837</f>
        <v>0</v>
      </c>
      <c r="J831" s="170">
        <f>G831</f>
        <v>2200000</v>
      </c>
      <c r="K831" s="170">
        <f>K835*K837</f>
        <v>0</v>
      </c>
      <c r="L831" s="170">
        <f>L835*L837</f>
        <v>0</v>
      </c>
      <c r="M831" s="170">
        <f>M835*M837</f>
        <v>0</v>
      </c>
      <c r="N831" s="170">
        <f>2672000-272000</f>
        <v>2400000</v>
      </c>
      <c r="O831" s="170"/>
      <c r="P831" s="170">
        <f>N831</f>
        <v>2400000</v>
      </c>
      <c r="Q831" s="17"/>
    </row>
    <row r="832" spans="1:131" ht="12.75">
      <c r="A832" s="143" t="s">
        <v>188</v>
      </c>
      <c r="B832" s="174"/>
      <c r="C832" s="174"/>
      <c r="D832" s="258"/>
      <c r="E832" s="258"/>
      <c r="F832" s="258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</row>
    <row r="833" spans="1:131" ht="33" customHeight="1">
      <c r="A833" s="144" t="s">
        <v>269</v>
      </c>
      <c r="B833" s="174"/>
      <c r="C833" s="174"/>
      <c r="D833" s="98">
        <v>30</v>
      </c>
      <c r="E833" s="98"/>
      <c r="F833" s="98">
        <f>D833</f>
        <v>30</v>
      </c>
      <c r="G833" s="98">
        <f>G835</f>
        <v>30</v>
      </c>
      <c r="H833" s="98"/>
      <c r="I833" s="98"/>
      <c r="J833" s="171">
        <f>G833+H833</f>
        <v>30</v>
      </c>
      <c r="K833" s="98">
        <f>H833</f>
        <v>0</v>
      </c>
      <c r="L833" s="98">
        <f>J833</f>
        <v>30</v>
      </c>
      <c r="M833" s="98">
        <f>K833</f>
        <v>0</v>
      </c>
      <c r="N833" s="98">
        <f>N835</f>
        <v>30</v>
      </c>
      <c r="O833" s="98"/>
      <c r="P833" s="98">
        <f>N833</f>
        <v>30</v>
      </c>
      <c r="Q833" s="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</row>
    <row r="834" spans="1:131" ht="12.75">
      <c r="A834" s="143" t="s">
        <v>189</v>
      </c>
      <c r="B834" s="174"/>
      <c r="C834" s="174"/>
      <c r="D834" s="98"/>
      <c r="E834" s="98"/>
      <c r="F834" s="98"/>
      <c r="G834" s="171"/>
      <c r="H834" s="171"/>
      <c r="I834" s="171"/>
      <c r="J834" s="171"/>
      <c r="K834" s="171"/>
      <c r="L834" s="171"/>
      <c r="M834" s="171"/>
      <c r="N834" s="171"/>
      <c r="O834" s="171"/>
      <c r="P834" s="171"/>
      <c r="Q834" s="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</row>
    <row r="835" spans="1:131" ht="22.5" customHeight="1">
      <c r="A835" s="144" t="s">
        <v>407</v>
      </c>
      <c r="B835" s="174"/>
      <c r="C835" s="174"/>
      <c r="D835" s="98">
        <v>30</v>
      </c>
      <c r="E835" s="98"/>
      <c r="F835" s="98">
        <f>D835</f>
        <v>30</v>
      </c>
      <c r="G835" s="171">
        <v>30</v>
      </c>
      <c r="H835" s="171"/>
      <c r="I835" s="171"/>
      <c r="J835" s="171">
        <f>G835+H835</f>
        <v>30</v>
      </c>
      <c r="K835" s="171"/>
      <c r="L835" s="171"/>
      <c r="M835" s="171"/>
      <c r="N835" s="171">
        <v>30</v>
      </c>
      <c r="O835" s="171"/>
      <c r="P835" s="171">
        <f>N835</f>
        <v>30</v>
      </c>
      <c r="Q835" s="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</row>
    <row r="836" spans="1:131" ht="12.75">
      <c r="A836" s="143" t="s">
        <v>191</v>
      </c>
      <c r="B836" s="174"/>
      <c r="C836" s="174"/>
      <c r="D836" s="98"/>
      <c r="E836" s="98"/>
      <c r="F836" s="98"/>
      <c r="G836" s="171"/>
      <c r="H836" s="171"/>
      <c r="I836" s="171"/>
      <c r="J836" s="171"/>
      <c r="K836" s="171"/>
      <c r="L836" s="171"/>
      <c r="M836" s="171"/>
      <c r="N836" s="171"/>
      <c r="O836" s="171"/>
      <c r="P836" s="171"/>
      <c r="Q836" s="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</row>
    <row r="837" spans="1:131" ht="12" customHeight="1">
      <c r="A837" s="144" t="s">
        <v>271</v>
      </c>
      <c r="B837" s="174"/>
      <c r="C837" s="174"/>
      <c r="D837" s="98">
        <f>D831/D835</f>
        <v>46666.666666666664</v>
      </c>
      <c r="E837" s="98"/>
      <c r="F837" s="98">
        <f>D837</f>
        <v>46666.666666666664</v>
      </c>
      <c r="G837" s="171">
        <f>G831/G833</f>
        <v>73333.33333333333</v>
      </c>
      <c r="H837" s="171"/>
      <c r="I837" s="171"/>
      <c r="J837" s="171">
        <f>G837+H837</f>
        <v>73333.33333333333</v>
      </c>
      <c r="K837" s="171"/>
      <c r="L837" s="171"/>
      <c r="M837" s="171"/>
      <c r="N837" s="171">
        <f>N831/N833</f>
        <v>80000</v>
      </c>
      <c r="O837" s="171"/>
      <c r="P837" s="171">
        <f>N837</f>
        <v>80000</v>
      </c>
      <c r="Q837" s="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</row>
    <row r="838" spans="1:17" s="123" customFormat="1" ht="47.25" customHeight="1">
      <c r="A838" s="162" t="s">
        <v>101</v>
      </c>
      <c r="B838" s="182"/>
      <c r="C838" s="182"/>
      <c r="D838" s="259">
        <f>D842*D844</f>
        <v>999999.999999</v>
      </c>
      <c r="E838" s="259"/>
      <c r="F838" s="259">
        <f>D838</f>
        <v>999999.999999</v>
      </c>
      <c r="G838" s="260">
        <f>G842*G844</f>
        <v>999999.999999</v>
      </c>
      <c r="H838" s="260"/>
      <c r="I838" s="260"/>
      <c r="J838" s="260">
        <f>G838</f>
        <v>999999.999999</v>
      </c>
      <c r="K838" s="260"/>
      <c r="L838" s="260"/>
      <c r="M838" s="260"/>
      <c r="N838" s="260">
        <f>N842*N844</f>
        <v>999999.999999</v>
      </c>
      <c r="O838" s="260"/>
      <c r="P838" s="260">
        <f>N838</f>
        <v>999999.999999</v>
      </c>
      <c r="Q838" s="122"/>
    </row>
    <row r="839" spans="1:131" ht="12.75">
      <c r="A839" s="143" t="s">
        <v>188</v>
      </c>
      <c r="B839" s="174"/>
      <c r="C839" s="174"/>
      <c r="D839" s="98"/>
      <c r="E839" s="98"/>
      <c r="F839" s="98"/>
      <c r="G839" s="171"/>
      <c r="H839" s="171"/>
      <c r="I839" s="171"/>
      <c r="J839" s="171"/>
      <c r="K839" s="171"/>
      <c r="L839" s="171"/>
      <c r="M839" s="171"/>
      <c r="N839" s="171"/>
      <c r="O839" s="171"/>
      <c r="P839" s="171"/>
      <c r="Q839" s="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</row>
    <row r="840" spans="1:131" ht="30.75" customHeight="1">
      <c r="A840" s="144" t="s">
        <v>269</v>
      </c>
      <c r="B840" s="174"/>
      <c r="C840" s="174"/>
      <c r="D840" s="98">
        <v>3</v>
      </c>
      <c r="E840" s="98"/>
      <c r="F840" s="98">
        <f>D840</f>
        <v>3</v>
      </c>
      <c r="G840" s="171">
        <v>3</v>
      </c>
      <c r="H840" s="171"/>
      <c r="I840" s="171"/>
      <c r="J840" s="171">
        <f>G840</f>
        <v>3</v>
      </c>
      <c r="K840" s="171"/>
      <c r="L840" s="171"/>
      <c r="M840" s="171"/>
      <c r="N840" s="171">
        <v>3</v>
      </c>
      <c r="O840" s="171"/>
      <c r="P840" s="171">
        <f>N840</f>
        <v>3</v>
      </c>
      <c r="Q840" s="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</row>
    <row r="841" spans="1:131" ht="12.75">
      <c r="A841" s="143" t="s">
        <v>189</v>
      </c>
      <c r="B841" s="174"/>
      <c r="C841" s="174"/>
      <c r="D841" s="98"/>
      <c r="E841" s="98"/>
      <c r="F841" s="98"/>
      <c r="G841" s="171"/>
      <c r="H841" s="171"/>
      <c r="I841" s="171"/>
      <c r="J841" s="171"/>
      <c r="K841" s="171"/>
      <c r="L841" s="171"/>
      <c r="M841" s="171"/>
      <c r="N841" s="171"/>
      <c r="O841" s="171"/>
      <c r="P841" s="171"/>
      <c r="Q841" s="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</row>
    <row r="842" spans="1:131" ht="20.25" customHeight="1">
      <c r="A842" s="144" t="s">
        <v>407</v>
      </c>
      <c r="B842" s="174"/>
      <c r="C842" s="174"/>
      <c r="D842" s="98">
        <v>3</v>
      </c>
      <c r="E842" s="98"/>
      <c r="F842" s="98">
        <f>D842</f>
        <v>3</v>
      </c>
      <c r="G842" s="171">
        <v>3</v>
      </c>
      <c r="H842" s="171"/>
      <c r="I842" s="171"/>
      <c r="J842" s="171">
        <f>G842</f>
        <v>3</v>
      </c>
      <c r="K842" s="171"/>
      <c r="L842" s="171"/>
      <c r="M842" s="171"/>
      <c r="N842" s="171">
        <v>3</v>
      </c>
      <c r="O842" s="171"/>
      <c r="P842" s="171">
        <f>N842</f>
        <v>3</v>
      </c>
      <c r="Q842" s="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</row>
    <row r="843" spans="1:131" ht="12.75">
      <c r="A843" s="143" t="s">
        <v>191</v>
      </c>
      <c r="B843" s="174"/>
      <c r="C843" s="174"/>
      <c r="D843" s="98"/>
      <c r="E843" s="98"/>
      <c r="F843" s="98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  <c r="Q843" s="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</row>
    <row r="844" spans="1:131" ht="12.75">
      <c r="A844" s="144" t="s">
        <v>271</v>
      </c>
      <c r="B844" s="174"/>
      <c r="C844" s="174"/>
      <c r="D844" s="98">
        <v>333333.333333</v>
      </c>
      <c r="E844" s="98"/>
      <c r="F844" s="98">
        <f>D844</f>
        <v>333333.333333</v>
      </c>
      <c r="G844" s="171">
        <v>333333.333333</v>
      </c>
      <c r="H844" s="171"/>
      <c r="I844" s="171"/>
      <c r="J844" s="171">
        <f>G844</f>
        <v>333333.333333</v>
      </c>
      <c r="K844" s="171"/>
      <c r="L844" s="171"/>
      <c r="M844" s="171"/>
      <c r="N844" s="171">
        <v>333333.333333</v>
      </c>
      <c r="O844" s="171"/>
      <c r="P844" s="171">
        <f>N844</f>
        <v>333333.333333</v>
      </c>
      <c r="Q844" s="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</row>
    <row r="845" spans="1:17" s="83" customFormat="1" ht="33.75" customHeight="1">
      <c r="A845" s="80" t="s">
        <v>313</v>
      </c>
      <c r="B845" s="104"/>
      <c r="C845" s="104"/>
      <c r="D845" s="81">
        <f>D847</f>
        <v>0</v>
      </c>
      <c r="E845" s="81">
        <f>E847</f>
        <v>7151600</v>
      </c>
      <c r="F845" s="81">
        <f aca="true" t="shared" si="71" ref="F845:P845">F847</f>
        <v>7151600</v>
      </c>
      <c r="G845" s="81">
        <f t="shared" si="71"/>
        <v>0</v>
      </c>
      <c r="H845" s="81">
        <f t="shared" si="71"/>
        <v>0</v>
      </c>
      <c r="I845" s="81">
        <f t="shared" si="71"/>
        <v>0</v>
      </c>
      <c r="J845" s="81">
        <f t="shared" si="71"/>
        <v>0</v>
      </c>
      <c r="K845" s="81">
        <f t="shared" si="71"/>
        <v>0</v>
      </c>
      <c r="L845" s="81">
        <f t="shared" si="71"/>
        <v>0</v>
      </c>
      <c r="M845" s="81">
        <f t="shared" si="71"/>
        <v>0</v>
      </c>
      <c r="N845" s="81">
        <f t="shared" si="71"/>
        <v>0</v>
      </c>
      <c r="O845" s="81">
        <f t="shared" si="71"/>
        <v>0</v>
      </c>
      <c r="P845" s="81">
        <f t="shared" si="71"/>
        <v>0</v>
      </c>
      <c r="Q845" s="106"/>
    </row>
    <row r="846" spans="1:131" ht="12.75">
      <c r="A846" s="144" t="s">
        <v>273</v>
      </c>
      <c r="B846" s="174"/>
      <c r="C846" s="174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</row>
    <row r="847" spans="1:17" s="78" customFormat="1" ht="32.25" customHeight="1">
      <c r="A847" s="75" t="s">
        <v>88</v>
      </c>
      <c r="B847" s="76"/>
      <c r="C847" s="76"/>
      <c r="D847" s="74"/>
      <c r="E847" s="74">
        <f>E849</f>
        <v>7151600</v>
      </c>
      <c r="F847" s="74">
        <f>D847+E847</f>
        <v>7151600</v>
      </c>
      <c r="G847" s="74"/>
      <c r="H847" s="74">
        <f>H851*H853</f>
        <v>0</v>
      </c>
      <c r="I847" s="74">
        <f>I849</f>
        <v>0</v>
      </c>
      <c r="J847" s="74">
        <f>H847+I847</f>
        <v>0</v>
      </c>
      <c r="K847" s="74"/>
      <c r="L847" s="74"/>
      <c r="M847" s="74"/>
      <c r="N847" s="74"/>
      <c r="O847" s="74">
        <f>O851*O853</f>
        <v>0</v>
      </c>
      <c r="P847" s="74">
        <f>O847</f>
        <v>0</v>
      </c>
      <c r="Q847" s="107"/>
    </row>
    <row r="848" spans="1:131" ht="12.75">
      <c r="A848" s="143" t="s">
        <v>188</v>
      </c>
      <c r="B848" s="174"/>
      <c r="C848" s="174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</row>
    <row r="849" spans="1:131" ht="12.75">
      <c r="A849" s="144" t="s">
        <v>209</v>
      </c>
      <c r="B849" s="174"/>
      <c r="C849" s="174"/>
      <c r="D849" s="141"/>
      <c r="E849" s="141">
        <f>20400000-3800000+5000000-16360000+1911600</f>
        <v>7151600</v>
      </c>
      <c r="F849" s="141">
        <f>D849+E849</f>
        <v>7151600</v>
      </c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</row>
    <row r="850" spans="1:131" ht="12.75">
      <c r="A850" s="143" t="s">
        <v>189</v>
      </c>
      <c r="B850" s="174"/>
      <c r="C850" s="174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</row>
    <row r="851" spans="1:131" ht="25.5">
      <c r="A851" s="144" t="s">
        <v>274</v>
      </c>
      <c r="B851" s="174"/>
      <c r="C851" s="174"/>
      <c r="D851" s="141"/>
      <c r="E851" s="176">
        <v>2</v>
      </c>
      <c r="F851" s="176">
        <f>D851+E851</f>
        <v>2</v>
      </c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</row>
    <row r="852" spans="1:131" ht="12.75">
      <c r="A852" s="143" t="s">
        <v>191</v>
      </c>
      <c r="B852" s="174"/>
      <c r="C852" s="174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</row>
    <row r="853" spans="1:131" ht="24.75" customHeight="1">
      <c r="A853" s="144" t="s">
        <v>275</v>
      </c>
      <c r="B853" s="174"/>
      <c r="C853" s="174"/>
      <c r="D853" s="141"/>
      <c r="E853" s="141">
        <f>E849/E851</f>
        <v>3575800</v>
      </c>
      <c r="F853" s="141">
        <f>D853+E853</f>
        <v>3575800</v>
      </c>
      <c r="G853" s="141"/>
      <c r="H853" s="141"/>
      <c r="I853" s="141"/>
      <c r="J853" s="141"/>
      <c r="K853" s="141"/>
      <c r="L853" s="141"/>
      <c r="M853" s="141"/>
      <c r="N853" s="141"/>
      <c r="O853" s="141"/>
      <c r="P853" s="261"/>
      <c r="Q853" s="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</row>
    <row r="854" spans="1:17" s="83" customFormat="1" ht="22.5" customHeight="1">
      <c r="A854" s="80" t="s">
        <v>314</v>
      </c>
      <c r="B854" s="104"/>
      <c r="C854" s="104"/>
      <c r="D854" s="81">
        <f>D856</f>
        <v>8896240</v>
      </c>
      <c r="E854" s="81">
        <f aca="true" t="shared" si="72" ref="E854:P854">E856</f>
        <v>3103760</v>
      </c>
      <c r="F854" s="81">
        <f t="shared" si="72"/>
        <v>12000000</v>
      </c>
      <c r="G854" s="81">
        <f t="shared" si="72"/>
        <v>3905746</v>
      </c>
      <c r="H854" s="81">
        <f t="shared" si="72"/>
        <v>9917787.61</v>
      </c>
      <c r="I854" s="81">
        <f t="shared" si="72"/>
        <v>13823533.61</v>
      </c>
      <c r="J854" s="81">
        <f t="shared" si="72"/>
        <v>13823533.61</v>
      </c>
      <c r="K854" s="81">
        <f t="shared" si="72"/>
        <v>0</v>
      </c>
      <c r="L854" s="81">
        <f t="shared" si="72"/>
        <v>0</v>
      </c>
      <c r="M854" s="81">
        <f t="shared" si="72"/>
        <v>0</v>
      </c>
      <c r="N854" s="81">
        <f t="shared" si="72"/>
        <v>0</v>
      </c>
      <c r="O854" s="81">
        <f t="shared" si="72"/>
        <v>15000000</v>
      </c>
      <c r="P854" s="81">
        <f t="shared" si="72"/>
        <v>15000000</v>
      </c>
      <c r="Q854" s="106"/>
    </row>
    <row r="855" spans="1:131" ht="48.75" customHeight="1">
      <c r="A855" s="144" t="s">
        <v>341</v>
      </c>
      <c r="B855" s="174"/>
      <c r="C855" s="174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</row>
    <row r="856" spans="1:17" s="78" customFormat="1" ht="33.75" customHeight="1">
      <c r="A856" s="75" t="s">
        <v>89</v>
      </c>
      <c r="B856" s="76"/>
      <c r="C856" s="76"/>
      <c r="D856" s="74">
        <f>D858</f>
        <v>8896240</v>
      </c>
      <c r="E856" s="74">
        <f>E858</f>
        <v>3103760</v>
      </c>
      <c r="F856" s="74">
        <f>D856+E856</f>
        <v>12000000</v>
      </c>
      <c r="G856" s="74">
        <f>G858</f>
        <v>3905746</v>
      </c>
      <c r="H856" s="74">
        <f>H858</f>
        <v>9917787.61</v>
      </c>
      <c r="I856" s="74">
        <f>G856+H856</f>
        <v>13823533.61</v>
      </c>
      <c r="J856" s="74">
        <f>G856+H856</f>
        <v>13823533.61</v>
      </c>
      <c r="K856" s="74"/>
      <c r="L856" s="74"/>
      <c r="M856" s="74"/>
      <c r="N856" s="74">
        <f>N860*N862</f>
        <v>0</v>
      </c>
      <c r="O856" s="74">
        <f>O860*O862</f>
        <v>15000000</v>
      </c>
      <c r="P856" s="74">
        <f>N856+O856</f>
        <v>15000000</v>
      </c>
      <c r="Q856" s="107"/>
    </row>
    <row r="857" spans="1:131" ht="12.75">
      <c r="A857" s="143" t="s">
        <v>188</v>
      </c>
      <c r="B857" s="174"/>
      <c r="C857" s="174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</row>
    <row r="858" spans="1:131" ht="12.75">
      <c r="A858" s="144" t="s">
        <v>209</v>
      </c>
      <c r="B858" s="174"/>
      <c r="C858" s="174"/>
      <c r="D858" s="141">
        <v>8896240</v>
      </c>
      <c r="E858" s="141">
        <v>3103760</v>
      </c>
      <c r="F858" s="141">
        <f>D858+E858</f>
        <v>12000000</v>
      </c>
      <c r="G858" s="141">
        <f>3192750+712996</f>
        <v>3905746</v>
      </c>
      <c r="H858" s="141">
        <f>9807250+110537.61</f>
        <v>9917787.61</v>
      </c>
      <c r="I858" s="141"/>
      <c r="J858" s="141">
        <f>G858+H858</f>
        <v>13823533.61</v>
      </c>
      <c r="K858" s="141"/>
      <c r="L858" s="141"/>
      <c r="M858" s="141"/>
      <c r="N858" s="141"/>
      <c r="O858" s="141">
        <v>15000000</v>
      </c>
      <c r="P858" s="141">
        <f>N858+O858</f>
        <v>15000000</v>
      </c>
      <c r="Q858" s="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</row>
    <row r="859" spans="1:131" ht="12.75">
      <c r="A859" s="143" t="s">
        <v>189</v>
      </c>
      <c r="B859" s="174"/>
      <c r="C859" s="174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</row>
    <row r="860" spans="1:131" ht="12.75">
      <c r="A860" s="144" t="s">
        <v>280</v>
      </c>
      <c r="B860" s="174"/>
      <c r="C860" s="174"/>
      <c r="D860" s="141">
        <v>1</v>
      </c>
      <c r="E860" s="141">
        <v>1</v>
      </c>
      <c r="F860" s="171">
        <v>1</v>
      </c>
      <c r="G860" s="171">
        <v>1</v>
      </c>
      <c r="H860" s="171">
        <v>1</v>
      </c>
      <c r="I860" s="171"/>
      <c r="J860" s="171">
        <v>1</v>
      </c>
      <c r="K860" s="171"/>
      <c r="L860" s="171"/>
      <c r="M860" s="171"/>
      <c r="N860" s="171"/>
      <c r="O860" s="171">
        <v>1</v>
      </c>
      <c r="P860" s="171">
        <f>N860+O860</f>
        <v>1</v>
      </c>
      <c r="Q860" s="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</row>
    <row r="861" spans="1:131" ht="12.75">
      <c r="A861" s="143" t="s">
        <v>191</v>
      </c>
      <c r="B861" s="174"/>
      <c r="C861" s="174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</row>
    <row r="862" spans="1:131" ht="12.75">
      <c r="A862" s="144" t="s">
        <v>281</v>
      </c>
      <c r="B862" s="174"/>
      <c r="C862" s="174"/>
      <c r="D862" s="141">
        <f>D858/D860</f>
        <v>8896240</v>
      </c>
      <c r="E862" s="141">
        <f>E858/E860</f>
        <v>3103760</v>
      </c>
      <c r="F862" s="141">
        <f>D862+E862</f>
        <v>12000000</v>
      </c>
      <c r="G862" s="141">
        <f>G858/G860</f>
        <v>3905746</v>
      </c>
      <c r="H862" s="141">
        <f>H858/H860</f>
        <v>9917787.61</v>
      </c>
      <c r="I862" s="141"/>
      <c r="J862" s="141">
        <f>G862+H862</f>
        <v>13823533.61</v>
      </c>
      <c r="K862" s="195"/>
      <c r="L862" s="195"/>
      <c r="M862" s="195"/>
      <c r="N862" s="195"/>
      <c r="O862" s="195">
        <f>O858/O860</f>
        <v>15000000</v>
      </c>
      <c r="P862" s="141">
        <f>N862+O862</f>
        <v>15000000</v>
      </c>
      <c r="Q862" s="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</row>
    <row r="863" spans="1:17" s="83" customFormat="1" ht="31.5" customHeight="1">
      <c r="A863" s="80" t="s">
        <v>332</v>
      </c>
      <c r="B863" s="104"/>
      <c r="C863" s="104"/>
      <c r="D863" s="81">
        <f>D865</f>
        <v>110000</v>
      </c>
      <c r="E863" s="81"/>
      <c r="F863" s="81">
        <f aca="true" t="shared" si="73" ref="F863:Q863">F865</f>
        <v>110000</v>
      </c>
      <c r="G863" s="81">
        <f t="shared" si="73"/>
        <v>320000</v>
      </c>
      <c r="H863" s="81"/>
      <c r="I863" s="81">
        <f t="shared" si="73"/>
        <v>0</v>
      </c>
      <c r="J863" s="81">
        <f t="shared" si="73"/>
        <v>320000</v>
      </c>
      <c r="K863" s="81">
        <f t="shared" si="73"/>
        <v>0</v>
      </c>
      <c r="L863" s="81">
        <f t="shared" si="73"/>
        <v>0</v>
      </c>
      <c r="M863" s="81">
        <f t="shared" si="73"/>
        <v>0</v>
      </c>
      <c r="N863" s="81">
        <f>N865</f>
        <v>340000</v>
      </c>
      <c r="O863" s="81"/>
      <c r="P863" s="81">
        <f t="shared" si="73"/>
        <v>340000</v>
      </c>
      <c r="Q863" s="81">
        <f t="shared" si="73"/>
        <v>0</v>
      </c>
    </row>
    <row r="864" spans="1:131" ht="12.75">
      <c r="A864" s="144" t="s">
        <v>316</v>
      </c>
      <c r="B864" s="174"/>
      <c r="C864" s="174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</row>
    <row r="865" spans="1:17" s="78" customFormat="1" ht="31.5" customHeight="1">
      <c r="A865" s="75" t="s">
        <v>90</v>
      </c>
      <c r="B865" s="76"/>
      <c r="C865" s="76"/>
      <c r="D865" s="96">
        <f>D867</f>
        <v>110000</v>
      </c>
      <c r="E865" s="96"/>
      <c r="F865" s="96">
        <f>D865+E865</f>
        <v>110000</v>
      </c>
      <c r="G865" s="74">
        <f>G867</f>
        <v>320000</v>
      </c>
      <c r="H865" s="74"/>
      <c r="I865" s="74"/>
      <c r="J865" s="74">
        <f>J867</f>
        <v>320000</v>
      </c>
      <c r="K865" s="74"/>
      <c r="L865" s="74"/>
      <c r="M865" s="74"/>
      <c r="N865" s="74">
        <f>N867</f>
        <v>340000</v>
      </c>
      <c r="O865" s="74"/>
      <c r="P865" s="74">
        <f>N865</f>
        <v>340000</v>
      </c>
      <c r="Q865" s="107"/>
    </row>
    <row r="866" spans="1:131" ht="12.75">
      <c r="A866" s="143" t="s">
        <v>188</v>
      </c>
      <c r="B866" s="174"/>
      <c r="C866" s="174"/>
      <c r="D866" s="262"/>
      <c r="E866" s="262"/>
      <c r="F866" s="262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</row>
    <row r="867" spans="1:131" ht="10.5" customHeight="1">
      <c r="A867" s="144" t="s">
        <v>209</v>
      </c>
      <c r="B867" s="174"/>
      <c r="C867" s="174"/>
      <c r="D867" s="262">
        <f>300000-190000</f>
        <v>110000</v>
      </c>
      <c r="E867" s="262"/>
      <c r="F867" s="262">
        <f>D867+E867</f>
        <v>110000</v>
      </c>
      <c r="G867" s="141">
        <v>320000</v>
      </c>
      <c r="H867" s="141"/>
      <c r="I867" s="141"/>
      <c r="J867" s="141">
        <f>G867+H867</f>
        <v>320000</v>
      </c>
      <c r="K867" s="141"/>
      <c r="L867" s="141"/>
      <c r="M867" s="141"/>
      <c r="N867" s="141">
        <v>340000</v>
      </c>
      <c r="O867" s="141"/>
      <c r="P867" s="141">
        <f>P870*P872</f>
        <v>340000</v>
      </c>
      <c r="Q867" s="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</row>
    <row r="868" spans="1:131" ht="13.5" customHeight="1">
      <c r="A868" s="143" t="s">
        <v>189</v>
      </c>
      <c r="B868" s="174"/>
      <c r="C868" s="174"/>
      <c r="D868" s="262"/>
      <c r="E868" s="262"/>
      <c r="F868" s="262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</row>
    <row r="869" spans="1:131" ht="1.5" customHeight="1">
      <c r="A869" s="144" t="s">
        <v>272</v>
      </c>
      <c r="B869" s="174"/>
      <c r="C869" s="174"/>
      <c r="D869" s="262"/>
      <c r="E869" s="262"/>
      <c r="F869" s="262">
        <f>D869+E869</f>
        <v>0</v>
      </c>
      <c r="G869" s="262"/>
      <c r="H869" s="262"/>
      <c r="I869" s="262"/>
      <c r="J869" s="262"/>
      <c r="K869" s="141"/>
      <c r="L869" s="141"/>
      <c r="M869" s="141"/>
      <c r="N869" s="141"/>
      <c r="O869" s="141"/>
      <c r="P869" s="141"/>
      <c r="Q869" s="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</row>
    <row r="870" spans="1:131" ht="15" customHeight="1">
      <c r="A870" s="144" t="s">
        <v>276</v>
      </c>
      <c r="B870" s="174"/>
      <c r="C870" s="174"/>
      <c r="D870" s="262">
        <v>7</v>
      </c>
      <c r="E870" s="262"/>
      <c r="F870" s="262">
        <f>D870+E870</f>
        <v>7</v>
      </c>
      <c r="G870" s="262">
        <v>20</v>
      </c>
      <c r="H870" s="262"/>
      <c r="I870" s="262"/>
      <c r="J870" s="262">
        <f>G870+H870</f>
        <v>20</v>
      </c>
      <c r="K870" s="141"/>
      <c r="L870" s="141"/>
      <c r="M870" s="141"/>
      <c r="N870" s="176">
        <v>20</v>
      </c>
      <c r="O870" s="141"/>
      <c r="P870" s="176">
        <f>N870</f>
        <v>20</v>
      </c>
      <c r="Q870" s="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</row>
    <row r="871" spans="1:131" ht="10.5" customHeight="1">
      <c r="A871" s="143" t="s">
        <v>191</v>
      </c>
      <c r="B871" s="174"/>
      <c r="C871" s="174"/>
      <c r="D871" s="262"/>
      <c r="E871" s="262"/>
      <c r="F871" s="262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</row>
    <row r="872" spans="1:131" ht="22.5" customHeight="1">
      <c r="A872" s="144" t="s">
        <v>277</v>
      </c>
      <c r="B872" s="174"/>
      <c r="C872" s="174"/>
      <c r="D872" s="141">
        <f>D867/D870</f>
        <v>15714.285714285714</v>
      </c>
      <c r="E872" s="141"/>
      <c r="F872" s="262">
        <f>D872+E872</f>
        <v>15714.285714285714</v>
      </c>
      <c r="G872" s="141">
        <f>G867/G870</f>
        <v>16000</v>
      </c>
      <c r="H872" s="141"/>
      <c r="I872" s="141"/>
      <c r="J872" s="141">
        <f>G872+H872</f>
        <v>16000</v>
      </c>
      <c r="K872" s="141"/>
      <c r="L872" s="141"/>
      <c r="M872" s="141"/>
      <c r="N872" s="141">
        <f>N867/N870</f>
        <v>17000</v>
      </c>
      <c r="O872" s="141"/>
      <c r="P872" s="141">
        <f>N872</f>
        <v>17000</v>
      </c>
      <c r="Q872" s="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</row>
    <row r="873" spans="1:17" s="83" customFormat="1" ht="29.25" customHeight="1">
      <c r="A873" s="109" t="s">
        <v>333</v>
      </c>
      <c r="B873" s="104"/>
      <c r="C873" s="104"/>
      <c r="D873" s="81">
        <f>D874</f>
        <v>124000</v>
      </c>
      <c r="E873" s="81"/>
      <c r="F873" s="81">
        <f>F874</f>
        <v>124000</v>
      </c>
      <c r="G873" s="81">
        <f>G874</f>
        <v>252600</v>
      </c>
      <c r="H873" s="81"/>
      <c r="I873" s="81">
        <f>I874</f>
        <v>0</v>
      </c>
      <c r="J873" s="81">
        <f>G873</f>
        <v>252600</v>
      </c>
      <c r="K873" s="110"/>
      <c r="L873" s="110"/>
      <c r="M873" s="110"/>
      <c r="N873" s="81">
        <f>N874</f>
        <v>255300</v>
      </c>
      <c r="O873" s="81"/>
      <c r="P873" s="81">
        <f>N873</f>
        <v>255300</v>
      </c>
      <c r="Q873" s="106"/>
    </row>
    <row r="874" spans="1:17" s="78" customFormat="1" ht="19.5" customHeight="1">
      <c r="A874" s="75" t="s">
        <v>91</v>
      </c>
      <c r="B874" s="76"/>
      <c r="C874" s="76"/>
      <c r="D874" s="74">
        <f>D876</f>
        <v>124000</v>
      </c>
      <c r="E874" s="74"/>
      <c r="F874" s="111">
        <f>D874</f>
        <v>124000</v>
      </c>
      <c r="G874" s="74">
        <f>G878*G880</f>
        <v>252600</v>
      </c>
      <c r="H874" s="74"/>
      <c r="I874" s="74"/>
      <c r="J874" s="74">
        <f>G874</f>
        <v>252600</v>
      </c>
      <c r="K874" s="74"/>
      <c r="L874" s="74"/>
      <c r="M874" s="74"/>
      <c r="N874" s="74">
        <f>N878*N880</f>
        <v>255300</v>
      </c>
      <c r="O874" s="74"/>
      <c r="P874" s="74">
        <f>N874</f>
        <v>255300</v>
      </c>
      <c r="Q874" s="107"/>
    </row>
    <row r="875" spans="1:131" ht="12.75">
      <c r="A875" s="143" t="s">
        <v>188</v>
      </c>
      <c r="B875" s="174"/>
      <c r="C875" s="174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  <c r="P875" s="171"/>
      <c r="Q875" s="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</row>
    <row r="876" spans="1:131" ht="25.5">
      <c r="A876" s="144" t="s">
        <v>211</v>
      </c>
      <c r="B876" s="174"/>
      <c r="C876" s="174"/>
      <c r="D876" s="171">
        <f>781700+50000-581700-50000-76000</f>
        <v>124000</v>
      </c>
      <c r="E876" s="171"/>
      <c r="F876" s="171">
        <f>D876</f>
        <v>124000</v>
      </c>
      <c r="G876" s="171">
        <f>828600+52600-628600</f>
        <v>252600</v>
      </c>
      <c r="H876" s="171"/>
      <c r="I876" s="171"/>
      <c r="J876" s="171">
        <f>G876</f>
        <v>252600</v>
      </c>
      <c r="K876" s="171"/>
      <c r="L876" s="171"/>
      <c r="M876" s="171"/>
      <c r="N876" s="171">
        <f>870000+55300-670000</f>
        <v>255300</v>
      </c>
      <c r="O876" s="171"/>
      <c r="P876" s="171">
        <f>N876</f>
        <v>255300</v>
      </c>
      <c r="Q876" s="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</row>
    <row r="877" spans="1:131" ht="12.75">
      <c r="A877" s="143" t="s">
        <v>189</v>
      </c>
      <c r="B877" s="174"/>
      <c r="C877" s="174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  <c r="P877" s="171"/>
      <c r="Q877" s="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</row>
    <row r="878" spans="1:131" ht="27.75" customHeight="1">
      <c r="A878" s="144" t="s">
        <v>127</v>
      </c>
      <c r="B878" s="174"/>
      <c r="C878" s="174"/>
      <c r="D878" s="171">
        <v>8</v>
      </c>
      <c r="E878" s="171"/>
      <c r="F878" s="171">
        <f>D878</f>
        <v>8</v>
      </c>
      <c r="G878" s="171">
        <v>8</v>
      </c>
      <c r="H878" s="171"/>
      <c r="I878" s="171"/>
      <c r="J878" s="171">
        <f>G878</f>
        <v>8</v>
      </c>
      <c r="K878" s="171"/>
      <c r="L878" s="171"/>
      <c r="M878" s="171"/>
      <c r="N878" s="171">
        <v>8</v>
      </c>
      <c r="O878" s="171"/>
      <c r="P878" s="171">
        <f>N878</f>
        <v>8</v>
      </c>
      <c r="Q878" s="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</row>
    <row r="879" spans="1:131" ht="12.75">
      <c r="A879" s="143" t="s">
        <v>191</v>
      </c>
      <c r="B879" s="174"/>
      <c r="C879" s="174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  <c r="P879" s="171"/>
      <c r="Q879" s="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</row>
    <row r="880" spans="1:131" ht="29.25" customHeight="1">
      <c r="A880" s="144" t="s">
        <v>212</v>
      </c>
      <c r="B880" s="174"/>
      <c r="C880" s="174"/>
      <c r="D880" s="171">
        <f>D876/D878</f>
        <v>15500</v>
      </c>
      <c r="E880" s="171"/>
      <c r="F880" s="171">
        <f>D880</f>
        <v>15500</v>
      </c>
      <c r="G880" s="171">
        <f>G876/G878</f>
        <v>31575</v>
      </c>
      <c r="H880" s="171"/>
      <c r="I880" s="171"/>
      <c r="J880" s="171">
        <f>G880</f>
        <v>31575</v>
      </c>
      <c r="K880" s="171"/>
      <c r="L880" s="171"/>
      <c r="M880" s="171"/>
      <c r="N880" s="171">
        <f>N876/N878</f>
        <v>31912.5</v>
      </c>
      <c r="O880" s="171"/>
      <c r="P880" s="171">
        <f>N880</f>
        <v>31912.5</v>
      </c>
      <c r="Q880" s="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</row>
    <row r="881" spans="1:17" s="83" customFormat="1" ht="12.75">
      <c r="A881" s="80" t="s">
        <v>408</v>
      </c>
      <c r="B881" s="104"/>
      <c r="C881" s="104"/>
      <c r="D881" s="81"/>
      <c r="E881" s="81">
        <f>E883</f>
        <v>12983283</v>
      </c>
      <c r="F881" s="81">
        <f>D881+E881</f>
        <v>12983283</v>
      </c>
      <c r="G881" s="81"/>
      <c r="H881" s="81">
        <f>H883</f>
        <v>68900000</v>
      </c>
      <c r="I881" s="81" t="e">
        <f>I883+#REF!</f>
        <v>#REF!</v>
      </c>
      <c r="J881" s="81">
        <f>J883</f>
        <v>68900000</v>
      </c>
      <c r="K881" s="81" t="e">
        <f>K883+#REF!</f>
        <v>#REF!</v>
      </c>
      <c r="L881" s="81" t="e">
        <f>L883+#REF!</f>
        <v>#REF!</v>
      </c>
      <c r="M881" s="81" t="e">
        <f>M883+#REF!</f>
        <v>#REF!</v>
      </c>
      <c r="N881" s="81"/>
      <c r="O881" s="81">
        <f>O883</f>
        <v>70570000</v>
      </c>
      <c r="P881" s="81">
        <f>P883</f>
        <v>70570000</v>
      </c>
      <c r="Q881" s="106"/>
    </row>
    <row r="882" spans="1:131" ht="12.75">
      <c r="A882" s="148" t="s">
        <v>294</v>
      </c>
      <c r="B882" s="172"/>
      <c r="C882" s="172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  <c r="Q882" s="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</row>
    <row r="883" spans="1:17" s="78" customFormat="1" ht="30.75" customHeight="1">
      <c r="A883" s="75" t="s">
        <v>92</v>
      </c>
      <c r="B883" s="76"/>
      <c r="C883" s="76"/>
      <c r="D883" s="112"/>
      <c r="E883" s="112">
        <f>E885</f>
        <v>12983283</v>
      </c>
      <c r="F883" s="112">
        <f>D883+E883</f>
        <v>12983283</v>
      </c>
      <c r="G883" s="74"/>
      <c r="H883" s="74">
        <f>SUM(H885)</f>
        <v>68900000</v>
      </c>
      <c r="I883" s="74"/>
      <c r="J883" s="74">
        <f>G883+H883+I883</f>
        <v>68900000</v>
      </c>
      <c r="K883" s="74"/>
      <c r="L883" s="74"/>
      <c r="M883" s="74"/>
      <c r="N883" s="74"/>
      <c r="O883" s="74">
        <f>O885</f>
        <v>70570000</v>
      </c>
      <c r="P883" s="74">
        <f>N883+O883</f>
        <v>70570000</v>
      </c>
      <c r="Q883" s="107"/>
    </row>
    <row r="884" spans="1:17" s="11" customFormat="1" ht="13.5">
      <c r="A884" s="147" t="s">
        <v>188</v>
      </c>
      <c r="B884" s="169"/>
      <c r="C884" s="169"/>
      <c r="D884" s="263"/>
      <c r="E884" s="263"/>
      <c r="F884" s="263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5"/>
    </row>
    <row r="885" spans="1:17" s="11" customFormat="1" ht="12.75">
      <c r="A885" s="163" t="s">
        <v>209</v>
      </c>
      <c r="B885" s="264"/>
      <c r="C885" s="264"/>
      <c r="D885" s="256"/>
      <c r="E885" s="256">
        <f>70233800-56410000-400-240117-600000</f>
        <v>12983283</v>
      </c>
      <c r="F885" s="256">
        <f>E885</f>
        <v>12983283</v>
      </c>
      <c r="G885" s="191"/>
      <c r="H885" s="191">
        <v>68900000</v>
      </c>
      <c r="I885" s="191"/>
      <c r="J885" s="191">
        <f>H885</f>
        <v>68900000</v>
      </c>
      <c r="K885" s="191"/>
      <c r="L885" s="191"/>
      <c r="M885" s="191"/>
      <c r="N885" s="191"/>
      <c r="O885" s="191">
        <v>70570000</v>
      </c>
      <c r="P885" s="191">
        <f>O885</f>
        <v>70570000</v>
      </c>
      <c r="Q885" s="15"/>
    </row>
    <row r="886" spans="1:17" s="11" customFormat="1" ht="13.5">
      <c r="A886" s="147" t="s">
        <v>189</v>
      </c>
      <c r="B886" s="169"/>
      <c r="C886" s="169"/>
      <c r="D886" s="263"/>
      <c r="E886" s="263"/>
      <c r="F886" s="263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5"/>
    </row>
    <row r="887" spans="1:17" s="11" customFormat="1" ht="12.75">
      <c r="A887" s="163" t="s">
        <v>285</v>
      </c>
      <c r="B887" s="264"/>
      <c r="C887" s="264"/>
      <c r="D887" s="256"/>
      <c r="E887" s="256">
        <v>5</v>
      </c>
      <c r="F887" s="256">
        <f>E887</f>
        <v>5</v>
      </c>
      <c r="G887" s="191"/>
      <c r="H887" s="191">
        <v>17</v>
      </c>
      <c r="I887" s="191"/>
      <c r="J887" s="191">
        <f>H887</f>
        <v>17</v>
      </c>
      <c r="K887" s="191">
        <f>H887</f>
        <v>17</v>
      </c>
      <c r="L887" s="191">
        <f>J887</f>
        <v>17</v>
      </c>
      <c r="M887" s="191">
        <f>K887</f>
        <v>17</v>
      </c>
      <c r="N887" s="191"/>
      <c r="O887" s="191">
        <v>17</v>
      </c>
      <c r="P887" s="191">
        <f>O887</f>
        <v>17</v>
      </c>
      <c r="Q887" s="15"/>
    </row>
    <row r="888" spans="1:17" s="11" customFormat="1" ht="12.75">
      <c r="A888" s="163" t="s">
        <v>191</v>
      </c>
      <c r="B888" s="264"/>
      <c r="C888" s="264"/>
      <c r="D888" s="256"/>
      <c r="E888" s="256"/>
      <c r="F888" s="256"/>
      <c r="G888" s="191"/>
      <c r="H888" s="191"/>
      <c r="I888" s="191"/>
      <c r="J888" s="191"/>
      <c r="K888" s="191"/>
      <c r="L888" s="191"/>
      <c r="M888" s="191"/>
      <c r="N888" s="191"/>
      <c r="O888" s="191"/>
      <c r="P888" s="191"/>
      <c r="Q888" s="15"/>
    </row>
    <row r="889" spans="1:17" s="11" customFormat="1" ht="25.5">
      <c r="A889" s="163" t="s">
        <v>350</v>
      </c>
      <c r="B889" s="264"/>
      <c r="C889" s="264"/>
      <c r="D889" s="256"/>
      <c r="E889" s="191">
        <f>E885/E887</f>
        <v>2596656.6</v>
      </c>
      <c r="F889" s="191">
        <f>E889</f>
        <v>2596656.6</v>
      </c>
      <c r="G889" s="191"/>
      <c r="H889" s="191">
        <f>SUM(H885)/H887</f>
        <v>4052941.1764705884</v>
      </c>
      <c r="I889" s="191"/>
      <c r="J889" s="191">
        <f>SUM(J885)/J887</f>
        <v>4052941.1764705884</v>
      </c>
      <c r="K889" s="191"/>
      <c r="L889" s="191"/>
      <c r="M889" s="191"/>
      <c r="N889" s="191"/>
      <c r="O889" s="191">
        <f>SUM(O885)/O887</f>
        <v>4151176.470588235</v>
      </c>
      <c r="P889" s="191">
        <f>SUM(P885)/P887</f>
        <v>4151176.470588235</v>
      </c>
      <c r="Q889" s="15"/>
    </row>
    <row r="890" spans="1:17" s="91" customFormat="1" ht="27" customHeight="1">
      <c r="A890" s="80" t="s">
        <v>409</v>
      </c>
      <c r="B890" s="104"/>
      <c r="C890" s="104"/>
      <c r="D890" s="113"/>
      <c r="E890" s="81">
        <f>E892</f>
        <v>4778000</v>
      </c>
      <c r="F890" s="81">
        <f>E890</f>
        <v>4778000</v>
      </c>
      <c r="G890" s="81"/>
      <c r="H890" s="81">
        <f>H892</f>
        <v>101400000</v>
      </c>
      <c r="I890" s="81"/>
      <c r="J890" s="81">
        <f>H890</f>
        <v>101400000</v>
      </c>
      <c r="K890" s="81"/>
      <c r="L890" s="81"/>
      <c r="M890" s="81"/>
      <c r="N890" s="81"/>
      <c r="O890" s="81">
        <f>O892</f>
        <v>49300000</v>
      </c>
      <c r="P890" s="81">
        <f>O890</f>
        <v>49300000</v>
      </c>
      <c r="Q890" s="114"/>
    </row>
    <row r="891" spans="1:17" s="11" customFormat="1" ht="12.75">
      <c r="A891" s="148" t="s">
        <v>412</v>
      </c>
      <c r="B891" s="264"/>
      <c r="C891" s="264"/>
      <c r="D891" s="256"/>
      <c r="E891" s="191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5"/>
    </row>
    <row r="892" spans="1:17" s="78" customFormat="1" ht="25.5">
      <c r="A892" s="75" t="s">
        <v>93</v>
      </c>
      <c r="B892" s="76"/>
      <c r="C892" s="76"/>
      <c r="D892" s="112"/>
      <c r="E892" s="74">
        <f>E894</f>
        <v>4778000</v>
      </c>
      <c r="F892" s="74">
        <f>E892</f>
        <v>4778000</v>
      </c>
      <c r="G892" s="74"/>
      <c r="H892" s="74">
        <f>H894</f>
        <v>101400000</v>
      </c>
      <c r="I892" s="74"/>
      <c r="J892" s="74">
        <f>H892</f>
        <v>101400000</v>
      </c>
      <c r="K892" s="74"/>
      <c r="L892" s="74"/>
      <c r="M892" s="74"/>
      <c r="N892" s="74"/>
      <c r="O892" s="74">
        <f>O894</f>
        <v>49300000</v>
      </c>
      <c r="P892" s="74">
        <f>O892</f>
        <v>49300000</v>
      </c>
      <c r="Q892" s="107"/>
    </row>
    <row r="893" spans="1:17" s="11" customFormat="1" ht="13.5">
      <c r="A893" s="147" t="s">
        <v>188</v>
      </c>
      <c r="B893" s="264"/>
      <c r="C893" s="264"/>
      <c r="D893" s="256"/>
      <c r="E893" s="191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5"/>
    </row>
    <row r="894" spans="1:17" s="11" customFormat="1" ht="12.75">
      <c r="A894" s="163" t="s">
        <v>209</v>
      </c>
      <c r="B894" s="264"/>
      <c r="C894" s="264"/>
      <c r="D894" s="256"/>
      <c r="E894" s="191">
        <f>64650000-59872000</f>
        <v>4778000</v>
      </c>
      <c r="F894" s="191">
        <f>E894</f>
        <v>4778000</v>
      </c>
      <c r="G894" s="191"/>
      <c r="H894" s="191">
        <v>101400000</v>
      </c>
      <c r="I894" s="191"/>
      <c r="J894" s="191">
        <f>H894</f>
        <v>101400000</v>
      </c>
      <c r="K894" s="191"/>
      <c r="L894" s="191"/>
      <c r="M894" s="191"/>
      <c r="N894" s="191"/>
      <c r="O894" s="191">
        <v>49300000</v>
      </c>
      <c r="P894" s="191">
        <f>O894</f>
        <v>49300000</v>
      </c>
      <c r="Q894" s="15"/>
    </row>
    <row r="895" spans="1:17" s="11" customFormat="1" ht="13.5">
      <c r="A895" s="147" t="s">
        <v>189</v>
      </c>
      <c r="B895" s="264"/>
      <c r="C895" s="264"/>
      <c r="D895" s="256"/>
      <c r="E895" s="191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5"/>
    </row>
    <row r="896" spans="1:17" s="11" customFormat="1" ht="12.75">
      <c r="A896" s="163" t="s">
        <v>285</v>
      </c>
      <c r="B896" s="264"/>
      <c r="C896" s="264"/>
      <c r="D896" s="256"/>
      <c r="E896" s="191">
        <v>8</v>
      </c>
      <c r="F896" s="191">
        <f>E896</f>
        <v>8</v>
      </c>
      <c r="G896" s="191"/>
      <c r="H896" s="191">
        <f>14+1</f>
        <v>15</v>
      </c>
      <c r="I896" s="191"/>
      <c r="J896" s="191">
        <f>H896</f>
        <v>15</v>
      </c>
      <c r="K896" s="191"/>
      <c r="L896" s="191"/>
      <c r="M896" s="191"/>
      <c r="N896" s="191"/>
      <c r="O896" s="191">
        <f>14+1</f>
        <v>15</v>
      </c>
      <c r="P896" s="191">
        <f>O896</f>
        <v>15</v>
      </c>
      <c r="Q896" s="15"/>
    </row>
    <row r="897" spans="1:17" s="11" customFormat="1" ht="13.5">
      <c r="A897" s="147" t="s">
        <v>191</v>
      </c>
      <c r="B897" s="264"/>
      <c r="C897" s="264"/>
      <c r="D897" s="256"/>
      <c r="E897" s="191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5"/>
    </row>
    <row r="898" spans="1:17" s="11" customFormat="1" ht="25.5">
      <c r="A898" s="163" t="s">
        <v>350</v>
      </c>
      <c r="B898" s="264"/>
      <c r="C898" s="264"/>
      <c r="D898" s="256"/>
      <c r="E898" s="191">
        <f>E894/E896</f>
        <v>597250</v>
      </c>
      <c r="F898" s="191">
        <f>E898</f>
        <v>597250</v>
      </c>
      <c r="G898" s="191"/>
      <c r="H898" s="191">
        <v>6760000</v>
      </c>
      <c r="I898" s="191"/>
      <c r="J898" s="191">
        <f>H898</f>
        <v>6760000</v>
      </c>
      <c r="K898" s="191"/>
      <c r="L898" s="191"/>
      <c r="M898" s="191"/>
      <c r="N898" s="191"/>
      <c r="O898" s="191">
        <f>O894/O896</f>
        <v>3286666.6666666665</v>
      </c>
      <c r="P898" s="191">
        <f>O898</f>
        <v>3286666.6666666665</v>
      </c>
      <c r="Q898" s="15"/>
    </row>
    <row r="899" spans="1:17" s="91" customFormat="1" ht="23.25" customHeight="1">
      <c r="A899" s="80" t="s">
        <v>410</v>
      </c>
      <c r="B899" s="80"/>
      <c r="C899" s="80"/>
      <c r="D899" s="116"/>
      <c r="E899" s="81">
        <f>E901</f>
        <v>0</v>
      </c>
      <c r="F899" s="81">
        <f>E899</f>
        <v>0</v>
      </c>
      <c r="G899" s="81"/>
      <c r="H899" s="81">
        <f>H901</f>
        <v>10000000</v>
      </c>
      <c r="I899" s="81"/>
      <c r="J899" s="81">
        <f>H899</f>
        <v>10000000</v>
      </c>
      <c r="K899" s="81"/>
      <c r="L899" s="81"/>
      <c r="M899" s="81"/>
      <c r="N899" s="81"/>
      <c r="O899" s="81">
        <f>O901</f>
        <v>10000000</v>
      </c>
      <c r="P899" s="81">
        <f>P901</f>
        <v>10000000</v>
      </c>
      <c r="Q899" s="114"/>
    </row>
    <row r="900" spans="1:17" s="11" customFormat="1" ht="12.75">
      <c r="A900" s="148" t="s">
        <v>411</v>
      </c>
      <c r="B900" s="264"/>
      <c r="C900" s="264"/>
      <c r="D900" s="256"/>
      <c r="E900" s="191"/>
      <c r="F900" s="191"/>
      <c r="G900" s="191"/>
      <c r="H900" s="191"/>
      <c r="I900" s="191"/>
      <c r="J900" s="191"/>
      <c r="K900" s="191"/>
      <c r="L900" s="191"/>
      <c r="M900" s="191"/>
      <c r="N900" s="191"/>
      <c r="O900" s="191"/>
      <c r="P900" s="191"/>
      <c r="Q900" s="15"/>
    </row>
    <row r="901" spans="1:17" s="78" customFormat="1" ht="36.75" customHeight="1">
      <c r="A901" s="75" t="s">
        <v>94</v>
      </c>
      <c r="B901" s="76"/>
      <c r="C901" s="76"/>
      <c r="D901" s="112"/>
      <c r="E901" s="74">
        <f>E903</f>
        <v>0</v>
      </c>
      <c r="F901" s="74">
        <f>E901</f>
        <v>0</v>
      </c>
      <c r="G901" s="74"/>
      <c r="H901" s="74">
        <f>H903</f>
        <v>10000000</v>
      </c>
      <c r="I901" s="74"/>
      <c r="J901" s="74">
        <f>H901</f>
        <v>10000000</v>
      </c>
      <c r="K901" s="74"/>
      <c r="L901" s="74"/>
      <c r="M901" s="74"/>
      <c r="N901" s="74"/>
      <c r="O901" s="74">
        <f>O903</f>
        <v>10000000</v>
      </c>
      <c r="P901" s="74">
        <f>O901</f>
        <v>10000000</v>
      </c>
      <c r="Q901" s="107">
        <f>O901</f>
        <v>10000000</v>
      </c>
    </row>
    <row r="902" spans="1:17" s="11" customFormat="1" ht="13.5">
      <c r="A902" s="147" t="s">
        <v>188</v>
      </c>
      <c r="B902" s="264"/>
      <c r="C902" s="264"/>
      <c r="D902" s="256"/>
      <c r="E902" s="191"/>
      <c r="F902" s="191"/>
      <c r="G902" s="191"/>
      <c r="H902" s="191"/>
      <c r="I902" s="191"/>
      <c r="J902" s="191"/>
      <c r="K902" s="191"/>
      <c r="L902" s="191"/>
      <c r="M902" s="191"/>
      <c r="N902" s="191"/>
      <c r="O902" s="191"/>
      <c r="P902" s="191"/>
      <c r="Q902" s="15"/>
    </row>
    <row r="903" spans="1:17" s="11" customFormat="1" ht="12.75">
      <c r="A903" s="163" t="s">
        <v>209</v>
      </c>
      <c r="B903" s="264"/>
      <c r="C903" s="264"/>
      <c r="D903" s="256"/>
      <c r="E903" s="191">
        <f>10000000-10000000</f>
        <v>0</v>
      </c>
      <c r="F903" s="191">
        <f>E903</f>
        <v>0</v>
      </c>
      <c r="G903" s="191"/>
      <c r="H903" s="191">
        <v>10000000</v>
      </c>
      <c r="I903" s="191"/>
      <c r="J903" s="191">
        <f>H903</f>
        <v>10000000</v>
      </c>
      <c r="K903" s="191"/>
      <c r="L903" s="191"/>
      <c r="M903" s="191"/>
      <c r="N903" s="191"/>
      <c r="O903" s="191">
        <v>10000000</v>
      </c>
      <c r="P903" s="191">
        <f>O903</f>
        <v>10000000</v>
      </c>
      <c r="Q903" s="15">
        <f>O903</f>
        <v>10000000</v>
      </c>
    </row>
    <row r="904" spans="1:17" s="11" customFormat="1" ht="13.5">
      <c r="A904" s="147" t="s">
        <v>189</v>
      </c>
      <c r="B904" s="264"/>
      <c r="C904" s="264"/>
      <c r="D904" s="256"/>
      <c r="E904" s="191"/>
      <c r="F904" s="191"/>
      <c r="G904" s="191"/>
      <c r="H904" s="191"/>
      <c r="I904" s="191"/>
      <c r="J904" s="191"/>
      <c r="K904" s="191"/>
      <c r="L904" s="191"/>
      <c r="M904" s="191"/>
      <c r="N904" s="191"/>
      <c r="O904" s="191"/>
      <c r="P904" s="191">
        <f>O904</f>
        <v>0</v>
      </c>
      <c r="Q904" s="15"/>
    </row>
    <row r="905" spans="1:17" s="11" customFormat="1" ht="12.75">
      <c r="A905" s="163" t="s">
        <v>285</v>
      </c>
      <c r="B905" s="264"/>
      <c r="C905" s="264"/>
      <c r="D905" s="256"/>
      <c r="E905" s="191">
        <v>0</v>
      </c>
      <c r="F905" s="191">
        <f>E905</f>
        <v>0</v>
      </c>
      <c r="G905" s="191"/>
      <c r="H905" s="191">
        <v>1</v>
      </c>
      <c r="I905" s="191"/>
      <c r="J905" s="191">
        <f>H905</f>
        <v>1</v>
      </c>
      <c r="K905" s="191"/>
      <c r="L905" s="191"/>
      <c r="M905" s="191"/>
      <c r="N905" s="191"/>
      <c r="O905" s="191">
        <v>1</v>
      </c>
      <c r="P905" s="191">
        <f>O905</f>
        <v>1</v>
      </c>
      <c r="Q905" s="15">
        <f>O905</f>
        <v>1</v>
      </c>
    </row>
    <row r="906" spans="1:17" s="11" customFormat="1" ht="12.75">
      <c r="A906" s="163" t="s">
        <v>191</v>
      </c>
      <c r="B906" s="264"/>
      <c r="C906" s="264"/>
      <c r="D906" s="256"/>
      <c r="E906" s="191"/>
      <c r="F906" s="191"/>
      <c r="G906" s="191"/>
      <c r="H906" s="191"/>
      <c r="I906" s="191"/>
      <c r="J906" s="191"/>
      <c r="K906" s="191"/>
      <c r="L906" s="191"/>
      <c r="M906" s="191"/>
      <c r="N906" s="191"/>
      <c r="O906" s="191"/>
      <c r="P906" s="191">
        <f>O906</f>
        <v>0</v>
      </c>
      <c r="Q906" s="15"/>
    </row>
    <row r="907" spans="1:17" s="11" customFormat="1" ht="25.5">
      <c r="A907" s="163" t="s">
        <v>350</v>
      </c>
      <c r="B907" s="264"/>
      <c r="C907" s="264"/>
      <c r="D907" s="256"/>
      <c r="E907" s="191" t="e">
        <f>E903/E905</f>
        <v>#DIV/0!</v>
      </c>
      <c r="F907" s="191" t="e">
        <f>E907</f>
        <v>#DIV/0!</v>
      </c>
      <c r="G907" s="191"/>
      <c r="H907" s="191">
        <f>H903/H905</f>
        <v>10000000</v>
      </c>
      <c r="I907" s="191"/>
      <c r="J907" s="191">
        <f>H907</f>
        <v>10000000</v>
      </c>
      <c r="K907" s="191"/>
      <c r="L907" s="191"/>
      <c r="M907" s="191"/>
      <c r="N907" s="191"/>
      <c r="O907" s="191">
        <f>O903/O905</f>
        <v>10000000</v>
      </c>
      <c r="P907" s="191">
        <f>O907</f>
        <v>10000000</v>
      </c>
      <c r="Q907" s="15">
        <f>O907</f>
        <v>10000000</v>
      </c>
    </row>
    <row r="908" spans="1:17" s="83" customFormat="1" ht="23.25" customHeight="1">
      <c r="A908" s="80" t="s">
        <v>315</v>
      </c>
      <c r="B908" s="104"/>
      <c r="C908" s="104"/>
      <c r="D908" s="116"/>
      <c r="E908" s="116">
        <f>E910</f>
        <v>-7654092</v>
      </c>
      <c r="F908" s="116">
        <f>F910</f>
        <v>-7654092</v>
      </c>
      <c r="G908" s="116"/>
      <c r="H908" s="116">
        <f>H910</f>
        <v>-7654092</v>
      </c>
      <c r="I908" s="116">
        <f>I910</f>
        <v>0</v>
      </c>
      <c r="J908" s="116">
        <f>J910</f>
        <v>-7654092</v>
      </c>
      <c r="K908" s="116"/>
      <c r="L908" s="116"/>
      <c r="M908" s="116"/>
      <c r="N908" s="116"/>
      <c r="O908" s="116"/>
      <c r="P908" s="116"/>
      <c r="Q908" s="116">
        <f>Q910</f>
        <v>0</v>
      </c>
    </row>
    <row r="909" spans="1:131" ht="17.25" customHeight="1">
      <c r="A909" s="144" t="s">
        <v>291</v>
      </c>
      <c r="B909" s="174"/>
      <c r="C909" s="174"/>
      <c r="D909" s="262"/>
      <c r="E909" s="258"/>
      <c r="F909" s="258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</row>
    <row r="910" spans="1:17" s="78" customFormat="1" ht="12.75">
      <c r="A910" s="75" t="s">
        <v>50</v>
      </c>
      <c r="B910" s="76"/>
      <c r="C910" s="76"/>
      <c r="D910" s="112"/>
      <c r="E910" s="112">
        <f>E912</f>
        <v>-7654092</v>
      </c>
      <c r="F910" s="112">
        <f>D910+E910</f>
        <v>-7654092</v>
      </c>
      <c r="G910" s="74"/>
      <c r="H910" s="112">
        <f>H912</f>
        <v>-7654092</v>
      </c>
      <c r="I910" s="74"/>
      <c r="J910" s="74">
        <f>H910</f>
        <v>-7654092</v>
      </c>
      <c r="K910" s="74"/>
      <c r="L910" s="74"/>
      <c r="M910" s="74"/>
      <c r="N910" s="74"/>
      <c r="O910" s="74"/>
      <c r="P910" s="74"/>
      <c r="Q910" s="107"/>
    </row>
    <row r="911" spans="1:131" ht="12.75">
      <c r="A911" s="143" t="s">
        <v>188</v>
      </c>
      <c r="B911" s="174"/>
      <c r="C911" s="174"/>
      <c r="D911" s="262"/>
      <c r="E911" s="258"/>
      <c r="F911" s="258"/>
      <c r="G911" s="141"/>
      <c r="H911" s="258"/>
      <c r="I911" s="141"/>
      <c r="J911" s="184"/>
      <c r="K911" s="141"/>
      <c r="L911" s="141"/>
      <c r="M911" s="141"/>
      <c r="N911" s="141"/>
      <c r="O911" s="141"/>
      <c r="P911" s="141"/>
      <c r="Q911" s="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</row>
    <row r="912" spans="1:131" ht="18.75" customHeight="1">
      <c r="A912" s="144" t="s">
        <v>293</v>
      </c>
      <c r="B912" s="174"/>
      <c r="C912" s="174"/>
      <c r="D912" s="218"/>
      <c r="E912" s="217">
        <f>E914*E916</f>
        <v>-7654092</v>
      </c>
      <c r="F912" s="217">
        <f>F914*F916</f>
        <v>-7654092</v>
      </c>
      <c r="G912" s="255"/>
      <c r="H912" s="217">
        <f>H914*H916</f>
        <v>-7654092</v>
      </c>
      <c r="I912" s="255"/>
      <c r="J912" s="315">
        <f>H912</f>
        <v>-7654092</v>
      </c>
      <c r="K912" s="255"/>
      <c r="L912" s="255"/>
      <c r="M912" s="255"/>
      <c r="N912" s="255"/>
      <c r="O912" s="255"/>
      <c r="P912" s="255"/>
      <c r="Q912" s="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</row>
    <row r="913" spans="1:131" ht="12.75">
      <c r="A913" s="143" t="s">
        <v>189</v>
      </c>
      <c r="B913" s="174"/>
      <c r="C913" s="174"/>
      <c r="D913" s="218"/>
      <c r="E913" s="217"/>
      <c r="F913" s="217"/>
      <c r="G913" s="255"/>
      <c r="H913" s="217"/>
      <c r="I913" s="255"/>
      <c r="J913" s="315"/>
      <c r="K913" s="255"/>
      <c r="L913" s="255"/>
      <c r="M913" s="255"/>
      <c r="N913" s="255"/>
      <c r="O913" s="255"/>
      <c r="P913" s="255"/>
      <c r="Q913" s="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</row>
    <row r="914" spans="1:131" ht="16.5" customHeight="1">
      <c r="A914" s="144" t="s">
        <v>292</v>
      </c>
      <c r="B914" s="174"/>
      <c r="C914" s="174"/>
      <c r="D914" s="218"/>
      <c r="E914" s="265">
        <v>1</v>
      </c>
      <c r="F914" s="265">
        <f>D914+E914</f>
        <v>1</v>
      </c>
      <c r="G914" s="255"/>
      <c r="H914" s="265">
        <v>1</v>
      </c>
      <c r="I914" s="255"/>
      <c r="J914" s="315">
        <f>H914</f>
        <v>1</v>
      </c>
      <c r="K914" s="255"/>
      <c r="L914" s="255"/>
      <c r="M914" s="255"/>
      <c r="N914" s="255"/>
      <c r="O914" s="266"/>
      <c r="P914" s="266"/>
      <c r="Q914" s="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</row>
    <row r="915" spans="1:131" ht="13.5">
      <c r="A915" s="142" t="s">
        <v>191</v>
      </c>
      <c r="B915" s="174"/>
      <c r="C915" s="174"/>
      <c r="D915" s="218"/>
      <c r="E915" s="217"/>
      <c r="F915" s="217"/>
      <c r="G915" s="255"/>
      <c r="H915" s="217"/>
      <c r="I915" s="255"/>
      <c r="J915" s="315"/>
      <c r="K915" s="255"/>
      <c r="L915" s="255"/>
      <c r="M915" s="255"/>
      <c r="N915" s="255"/>
      <c r="O915" s="266"/>
      <c r="P915" s="266"/>
      <c r="Q915" s="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</row>
    <row r="916" spans="1:131" ht="19.5" customHeight="1">
      <c r="A916" s="164" t="s">
        <v>335</v>
      </c>
      <c r="B916" s="174"/>
      <c r="C916" s="174"/>
      <c r="D916" s="218"/>
      <c r="E916" s="217">
        <f>-2054092-5700000+100000</f>
        <v>-7654092</v>
      </c>
      <c r="F916" s="217">
        <f>E916</f>
        <v>-7654092</v>
      </c>
      <c r="G916" s="255"/>
      <c r="H916" s="217">
        <f>-2054092-5700000+100000</f>
        <v>-7654092</v>
      </c>
      <c r="I916" s="255"/>
      <c r="J916" s="315">
        <f>H916</f>
        <v>-7654092</v>
      </c>
      <c r="K916" s="255"/>
      <c r="L916" s="255"/>
      <c r="M916" s="255"/>
      <c r="N916" s="255"/>
      <c r="O916" s="266"/>
      <c r="P916" s="266"/>
      <c r="Q916" s="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</row>
    <row r="917" spans="1:17" s="83" customFormat="1" ht="12.75">
      <c r="A917" s="80" t="s">
        <v>326</v>
      </c>
      <c r="B917" s="104"/>
      <c r="C917" s="104"/>
      <c r="D917" s="92"/>
      <c r="E917" s="93">
        <f>E919</f>
        <v>-525000</v>
      </c>
      <c r="F917" s="93">
        <f>E917</f>
        <v>-525000</v>
      </c>
      <c r="G917" s="116"/>
      <c r="H917" s="116">
        <f>H919</f>
        <v>-480000</v>
      </c>
      <c r="I917" s="116"/>
      <c r="J917" s="116">
        <f>H917</f>
        <v>-480000</v>
      </c>
      <c r="K917" s="117"/>
      <c r="L917" s="117"/>
      <c r="M917" s="117"/>
      <c r="N917" s="117"/>
      <c r="O917" s="118"/>
      <c r="P917" s="118"/>
      <c r="Q917" s="106"/>
    </row>
    <row r="918" spans="1:131" ht="12.75">
      <c r="A918" s="144" t="s">
        <v>291</v>
      </c>
      <c r="B918" s="174"/>
      <c r="C918" s="174"/>
      <c r="D918" s="218"/>
      <c r="E918" s="217"/>
      <c r="F918" s="217"/>
      <c r="G918" s="141"/>
      <c r="H918" s="141"/>
      <c r="I918" s="141"/>
      <c r="J918" s="141"/>
      <c r="K918" s="255"/>
      <c r="L918" s="255"/>
      <c r="M918" s="255"/>
      <c r="N918" s="255"/>
      <c r="O918" s="266"/>
      <c r="P918" s="266"/>
      <c r="Q918" s="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</row>
    <row r="919" spans="1:17" s="73" customFormat="1" ht="25.5" customHeight="1">
      <c r="A919" s="75" t="s">
        <v>95</v>
      </c>
      <c r="B919" s="71"/>
      <c r="C919" s="71"/>
      <c r="D919" s="95"/>
      <c r="E919" s="96">
        <f>E921</f>
        <v>-525000</v>
      </c>
      <c r="F919" s="96">
        <f>E919</f>
        <v>-525000</v>
      </c>
      <c r="G919" s="74"/>
      <c r="H919" s="96">
        <f>H921</f>
        <v>-480000</v>
      </c>
      <c r="I919" s="96">
        <f>H919</f>
        <v>-480000</v>
      </c>
      <c r="J919" s="74">
        <f>H919</f>
        <v>-480000</v>
      </c>
      <c r="K919" s="111"/>
      <c r="L919" s="111"/>
      <c r="M919" s="111"/>
      <c r="N919" s="111"/>
      <c r="O919" s="119"/>
      <c r="P919" s="119"/>
      <c r="Q919" s="115"/>
    </row>
    <row r="920" spans="1:131" ht="12.75">
      <c r="A920" s="143" t="s">
        <v>188</v>
      </c>
      <c r="B920" s="174"/>
      <c r="C920" s="174"/>
      <c r="D920" s="218"/>
      <c r="E920" s="217"/>
      <c r="F920" s="217"/>
      <c r="G920" s="141"/>
      <c r="H920" s="217"/>
      <c r="I920" s="217"/>
      <c r="J920" s="220"/>
      <c r="K920" s="255"/>
      <c r="L920" s="255"/>
      <c r="M920" s="255"/>
      <c r="N920" s="255"/>
      <c r="O920" s="266"/>
      <c r="P920" s="266"/>
      <c r="Q920" s="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</row>
    <row r="921" spans="1:131" ht="12.75">
      <c r="A921" s="144" t="s">
        <v>293</v>
      </c>
      <c r="B921" s="174"/>
      <c r="C921" s="174"/>
      <c r="D921" s="218"/>
      <c r="E921" s="98">
        <f>-740000+215000</f>
        <v>-525000</v>
      </c>
      <c r="F921" s="98">
        <f>E921</f>
        <v>-525000</v>
      </c>
      <c r="G921" s="255"/>
      <c r="H921" s="98">
        <f>-740000+215000+45000</f>
        <v>-480000</v>
      </c>
      <c r="I921" s="98">
        <f>H921</f>
        <v>-480000</v>
      </c>
      <c r="J921" s="184">
        <f>H921</f>
        <v>-480000</v>
      </c>
      <c r="K921" s="255"/>
      <c r="L921" s="255"/>
      <c r="M921" s="255"/>
      <c r="N921" s="255"/>
      <c r="O921" s="266"/>
      <c r="P921" s="266"/>
      <c r="Q921" s="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</row>
    <row r="922" spans="1:131" ht="12.75">
      <c r="A922" s="143" t="s">
        <v>189</v>
      </c>
      <c r="B922" s="174"/>
      <c r="C922" s="174"/>
      <c r="D922" s="218"/>
      <c r="E922" s="98"/>
      <c r="F922" s="98"/>
      <c r="G922" s="255"/>
      <c r="H922" s="98"/>
      <c r="I922" s="98"/>
      <c r="J922" s="184"/>
      <c r="K922" s="255"/>
      <c r="L922" s="255"/>
      <c r="M922" s="255"/>
      <c r="N922" s="255"/>
      <c r="O922" s="266"/>
      <c r="P922" s="266"/>
      <c r="Q922" s="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</row>
    <row r="923" spans="1:131" ht="12.75">
      <c r="A923" s="144" t="s">
        <v>292</v>
      </c>
      <c r="B923" s="174"/>
      <c r="C923" s="174"/>
      <c r="D923" s="218"/>
      <c r="E923" s="267">
        <v>1</v>
      </c>
      <c r="F923" s="230">
        <f>E923</f>
        <v>1</v>
      </c>
      <c r="G923" s="255"/>
      <c r="H923" s="267">
        <v>1</v>
      </c>
      <c r="I923" s="230">
        <f>H923</f>
        <v>1</v>
      </c>
      <c r="J923" s="184">
        <f>H923</f>
        <v>1</v>
      </c>
      <c r="K923" s="255"/>
      <c r="L923" s="255"/>
      <c r="M923" s="255"/>
      <c r="N923" s="255"/>
      <c r="O923" s="266"/>
      <c r="P923" s="266"/>
      <c r="Q923" s="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</row>
    <row r="924" spans="1:131" ht="13.5">
      <c r="A924" s="142" t="s">
        <v>191</v>
      </c>
      <c r="B924" s="174"/>
      <c r="C924" s="174"/>
      <c r="D924" s="218"/>
      <c r="E924" s="217"/>
      <c r="F924" s="217"/>
      <c r="G924" s="255"/>
      <c r="H924" s="217"/>
      <c r="I924" s="217"/>
      <c r="J924" s="184"/>
      <c r="K924" s="255"/>
      <c r="L924" s="255"/>
      <c r="M924" s="255"/>
      <c r="N924" s="255"/>
      <c r="O924" s="266"/>
      <c r="P924" s="266"/>
      <c r="Q924" s="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</row>
    <row r="925" spans="1:131" ht="12.75">
      <c r="A925" s="164" t="s">
        <v>349</v>
      </c>
      <c r="B925" s="174"/>
      <c r="C925" s="174"/>
      <c r="D925" s="218"/>
      <c r="E925" s="217">
        <f>-740000+215000</f>
        <v>-525000</v>
      </c>
      <c r="F925" s="217">
        <f>D925+E925</f>
        <v>-525000</v>
      </c>
      <c r="G925" s="255"/>
      <c r="H925" s="217">
        <f>-740000+215000+45000</f>
        <v>-480000</v>
      </c>
      <c r="I925" s="217">
        <f>G925+H925</f>
        <v>-480000</v>
      </c>
      <c r="J925" s="184">
        <f>H925</f>
        <v>-480000</v>
      </c>
      <c r="K925" s="255"/>
      <c r="L925" s="255"/>
      <c r="M925" s="255"/>
      <c r="N925" s="255"/>
      <c r="O925" s="266"/>
      <c r="P925" s="266"/>
      <c r="Q925" s="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</row>
    <row r="926" spans="1:131" ht="12.75" hidden="1">
      <c r="A926" s="80" t="s">
        <v>117</v>
      </c>
      <c r="B926" s="104"/>
      <c r="C926" s="104"/>
      <c r="D926" s="92"/>
      <c r="E926" s="93">
        <f>E928+E935</f>
        <v>0</v>
      </c>
      <c r="F926" s="93">
        <f>E926</f>
        <v>0</v>
      </c>
      <c r="G926" s="116"/>
      <c r="H926" s="116"/>
      <c r="I926" s="116"/>
      <c r="J926" s="116"/>
      <c r="K926" s="117"/>
      <c r="L926" s="117"/>
      <c r="M926" s="117"/>
      <c r="N926" s="117"/>
      <c r="O926" s="118"/>
      <c r="P926" s="118"/>
      <c r="Q926" s="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</row>
    <row r="927" spans="1:131" ht="12.75" hidden="1">
      <c r="A927" s="144" t="s">
        <v>120</v>
      </c>
      <c r="B927" s="174"/>
      <c r="C927" s="174"/>
      <c r="D927" s="218"/>
      <c r="E927" s="217"/>
      <c r="F927" s="217"/>
      <c r="G927" s="141"/>
      <c r="H927" s="141"/>
      <c r="I927" s="141"/>
      <c r="J927" s="141"/>
      <c r="K927" s="255"/>
      <c r="L927" s="255"/>
      <c r="M927" s="255"/>
      <c r="N927" s="255"/>
      <c r="O927" s="266"/>
      <c r="P927" s="266"/>
      <c r="Q927" s="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</row>
    <row r="928" spans="1:17" s="134" customFormat="1" ht="38.25" hidden="1">
      <c r="A928" s="126" t="s">
        <v>121</v>
      </c>
      <c r="B928" s="127"/>
      <c r="C928" s="127"/>
      <c r="D928" s="128"/>
      <c r="E928" s="129">
        <f>E930</f>
        <v>0</v>
      </c>
      <c r="F928" s="129">
        <f>E928</f>
        <v>0</v>
      </c>
      <c r="G928" s="130"/>
      <c r="H928" s="130"/>
      <c r="I928" s="130"/>
      <c r="J928" s="130"/>
      <c r="K928" s="131"/>
      <c r="L928" s="131"/>
      <c r="M928" s="131"/>
      <c r="N928" s="131"/>
      <c r="O928" s="132"/>
      <c r="P928" s="132"/>
      <c r="Q928" s="133"/>
    </row>
    <row r="929" spans="1:17" s="134" customFormat="1" ht="12.75" hidden="1">
      <c r="A929" s="126" t="s">
        <v>188</v>
      </c>
      <c r="B929" s="127"/>
      <c r="C929" s="127"/>
      <c r="D929" s="268"/>
      <c r="E929" s="268"/>
      <c r="F929" s="268"/>
      <c r="G929" s="131"/>
      <c r="H929" s="131"/>
      <c r="I929" s="131"/>
      <c r="J929" s="131"/>
      <c r="K929" s="269"/>
      <c r="L929" s="269"/>
      <c r="M929" s="269"/>
      <c r="N929" s="269"/>
      <c r="O929" s="270"/>
      <c r="P929" s="270"/>
      <c r="Q929" s="133"/>
    </row>
    <row r="930" spans="1:17" s="134" customFormat="1" ht="12.75" hidden="1">
      <c r="A930" s="165" t="s">
        <v>209</v>
      </c>
      <c r="B930" s="127"/>
      <c r="C930" s="127"/>
      <c r="D930" s="268"/>
      <c r="E930" s="128">
        <f>E932*E934</f>
        <v>0</v>
      </c>
      <c r="F930" s="128">
        <f>E930</f>
        <v>0</v>
      </c>
      <c r="G930" s="269"/>
      <c r="H930" s="269"/>
      <c r="I930" s="269"/>
      <c r="J930" s="269"/>
      <c r="K930" s="269"/>
      <c r="L930" s="269"/>
      <c r="M930" s="269"/>
      <c r="N930" s="269"/>
      <c r="O930" s="270"/>
      <c r="P930" s="270"/>
      <c r="Q930" s="133"/>
    </row>
    <row r="931" spans="1:17" s="134" customFormat="1" ht="12.75" hidden="1">
      <c r="A931" s="126" t="s">
        <v>189</v>
      </c>
      <c r="B931" s="127"/>
      <c r="C931" s="127"/>
      <c r="D931" s="268"/>
      <c r="E931" s="128"/>
      <c r="F931" s="128"/>
      <c r="G931" s="269"/>
      <c r="H931" s="269"/>
      <c r="I931" s="269"/>
      <c r="J931" s="269"/>
      <c r="K931" s="269"/>
      <c r="L931" s="269"/>
      <c r="M931" s="269"/>
      <c r="N931" s="269"/>
      <c r="O931" s="270"/>
      <c r="P931" s="270"/>
      <c r="Q931" s="133"/>
    </row>
    <row r="932" spans="1:17" s="134" customFormat="1" ht="12.75" hidden="1">
      <c r="A932" s="165" t="s">
        <v>118</v>
      </c>
      <c r="B932" s="127"/>
      <c r="C932" s="127"/>
      <c r="D932" s="268"/>
      <c r="E932" s="271"/>
      <c r="F932" s="272">
        <f>E932</f>
        <v>0</v>
      </c>
      <c r="G932" s="269"/>
      <c r="H932" s="270"/>
      <c r="I932" s="269"/>
      <c r="J932" s="270"/>
      <c r="K932" s="269"/>
      <c r="L932" s="269"/>
      <c r="M932" s="269"/>
      <c r="N932" s="269"/>
      <c r="O932" s="270"/>
      <c r="P932" s="270"/>
      <c r="Q932" s="133"/>
    </row>
    <row r="933" spans="1:17" s="134" customFormat="1" ht="13.5" hidden="1">
      <c r="A933" s="166" t="s">
        <v>191</v>
      </c>
      <c r="B933" s="127"/>
      <c r="C933" s="127"/>
      <c r="D933" s="268"/>
      <c r="E933" s="268"/>
      <c r="F933" s="268"/>
      <c r="G933" s="269"/>
      <c r="H933" s="270"/>
      <c r="I933" s="269"/>
      <c r="J933" s="270"/>
      <c r="K933" s="269"/>
      <c r="L933" s="269"/>
      <c r="M933" s="269"/>
      <c r="N933" s="269"/>
      <c r="O933" s="270"/>
      <c r="P933" s="270"/>
      <c r="Q933" s="133"/>
    </row>
    <row r="934" spans="1:17" s="134" customFormat="1" ht="12.75" hidden="1">
      <c r="A934" s="167" t="s">
        <v>119</v>
      </c>
      <c r="B934" s="127"/>
      <c r="C934" s="127"/>
      <c r="D934" s="268"/>
      <c r="E934" s="268"/>
      <c r="F934" s="268">
        <f>D934+E934</f>
        <v>0</v>
      </c>
      <c r="G934" s="269"/>
      <c r="H934" s="269"/>
      <c r="I934" s="269"/>
      <c r="J934" s="269"/>
      <c r="K934" s="269"/>
      <c r="L934" s="269"/>
      <c r="M934" s="269"/>
      <c r="N934" s="269"/>
      <c r="O934" s="270"/>
      <c r="P934" s="270"/>
      <c r="Q934" s="133"/>
    </row>
    <row r="935" spans="1:17" s="134" customFormat="1" ht="12.75" hidden="1">
      <c r="A935" s="126" t="s">
        <v>122</v>
      </c>
      <c r="B935" s="127"/>
      <c r="C935" s="127"/>
      <c r="D935" s="128"/>
      <c r="E935" s="129">
        <f>E937</f>
        <v>0</v>
      </c>
      <c r="F935" s="129">
        <f>E935</f>
        <v>0</v>
      </c>
      <c r="G935" s="130"/>
      <c r="H935" s="130"/>
      <c r="I935" s="130"/>
      <c r="J935" s="130"/>
      <c r="K935" s="131"/>
      <c r="L935" s="131"/>
      <c r="M935" s="131"/>
      <c r="N935" s="131"/>
      <c r="O935" s="132"/>
      <c r="P935" s="132"/>
      <c r="Q935" s="133"/>
    </row>
    <row r="936" spans="1:17" s="134" customFormat="1" ht="12.75" hidden="1">
      <c r="A936" s="126" t="s">
        <v>188</v>
      </c>
      <c r="B936" s="127"/>
      <c r="C936" s="127"/>
      <c r="D936" s="268"/>
      <c r="E936" s="268"/>
      <c r="F936" s="268"/>
      <c r="G936" s="131"/>
      <c r="H936" s="131"/>
      <c r="I936" s="131"/>
      <c r="J936" s="131"/>
      <c r="K936" s="269"/>
      <c r="L936" s="269"/>
      <c r="M936" s="269"/>
      <c r="N936" s="269"/>
      <c r="O936" s="270"/>
      <c r="P936" s="270"/>
      <c r="Q936" s="133"/>
    </row>
    <row r="937" spans="1:17" s="134" customFormat="1" ht="12.75" hidden="1">
      <c r="A937" s="165" t="s">
        <v>209</v>
      </c>
      <c r="B937" s="127"/>
      <c r="C937" s="127"/>
      <c r="D937" s="268"/>
      <c r="E937" s="128">
        <f>E939*E941</f>
        <v>0</v>
      </c>
      <c r="F937" s="128">
        <f>E937</f>
        <v>0</v>
      </c>
      <c r="G937" s="269"/>
      <c r="H937" s="269"/>
      <c r="I937" s="269"/>
      <c r="J937" s="269"/>
      <c r="K937" s="269"/>
      <c r="L937" s="269"/>
      <c r="M937" s="269"/>
      <c r="N937" s="269"/>
      <c r="O937" s="270"/>
      <c r="P937" s="270"/>
      <c r="Q937" s="133"/>
    </row>
    <row r="938" spans="1:17" s="134" customFormat="1" ht="12.75" hidden="1">
      <c r="A938" s="126" t="s">
        <v>189</v>
      </c>
      <c r="B938" s="127"/>
      <c r="C938" s="127"/>
      <c r="D938" s="268"/>
      <c r="E938" s="128"/>
      <c r="F938" s="128"/>
      <c r="G938" s="269"/>
      <c r="H938" s="269"/>
      <c r="I938" s="269"/>
      <c r="J938" s="269"/>
      <c r="K938" s="269"/>
      <c r="L938" s="269"/>
      <c r="M938" s="269"/>
      <c r="N938" s="269"/>
      <c r="O938" s="270"/>
      <c r="P938" s="270"/>
      <c r="Q938" s="133"/>
    </row>
    <row r="939" spans="1:17" s="134" customFormat="1" ht="12.75" hidden="1">
      <c r="A939" s="165" t="s">
        <v>118</v>
      </c>
      <c r="B939" s="127"/>
      <c r="C939" s="127"/>
      <c r="D939" s="268"/>
      <c r="E939" s="271"/>
      <c r="F939" s="272">
        <f>E939</f>
        <v>0</v>
      </c>
      <c r="G939" s="269"/>
      <c r="H939" s="270"/>
      <c r="I939" s="269"/>
      <c r="J939" s="270"/>
      <c r="K939" s="269"/>
      <c r="L939" s="269"/>
      <c r="M939" s="269"/>
      <c r="N939" s="269"/>
      <c r="O939" s="270"/>
      <c r="P939" s="270"/>
      <c r="Q939" s="133"/>
    </row>
    <row r="940" spans="1:17" s="134" customFormat="1" ht="13.5" hidden="1">
      <c r="A940" s="166" t="s">
        <v>191</v>
      </c>
      <c r="B940" s="127"/>
      <c r="C940" s="127"/>
      <c r="D940" s="268"/>
      <c r="E940" s="268"/>
      <c r="F940" s="268"/>
      <c r="G940" s="269"/>
      <c r="H940" s="270"/>
      <c r="I940" s="269"/>
      <c r="J940" s="270"/>
      <c r="K940" s="269"/>
      <c r="L940" s="269"/>
      <c r="M940" s="269"/>
      <c r="N940" s="269"/>
      <c r="O940" s="270"/>
      <c r="P940" s="270"/>
      <c r="Q940" s="133"/>
    </row>
    <row r="941" spans="1:17" s="134" customFormat="1" ht="12.75" hidden="1">
      <c r="A941" s="167" t="s">
        <v>119</v>
      </c>
      <c r="B941" s="127"/>
      <c r="C941" s="127"/>
      <c r="D941" s="268"/>
      <c r="E941" s="268"/>
      <c r="F941" s="268">
        <f>D941+E941</f>
        <v>0</v>
      </c>
      <c r="G941" s="269"/>
      <c r="H941" s="269"/>
      <c r="I941" s="269"/>
      <c r="J941" s="269"/>
      <c r="K941" s="269"/>
      <c r="L941" s="269"/>
      <c r="M941" s="269"/>
      <c r="N941" s="269"/>
      <c r="O941" s="270"/>
      <c r="P941" s="270"/>
      <c r="Q941" s="133"/>
    </row>
    <row r="942" spans="1:131" ht="12.75">
      <c r="A942" s="80" t="s">
        <v>183</v>
      </c>
      <c r="B942" s="104"/>
      <c r="C942" s="104"/>
      <c r="D942" s="92">
        <f>D943</f>
        <v>500000</v>
      </c>
      <c r="E942" s="93"/>
      <c r="F942" s="93">
        <f>D942+E942</f>
        <v>500000</v>
      </c>
      <c r="G942" s="116"/>
      <c r="H942" s="116"/>
      <c r="I942" s="116"/>
      <c r="J942" s="116"/>
      <c r="K942" s="117"/>
      <c r="L942" s="117"/>
      <c r="M942" s="117"/>
      <c r="N942" s="117"/>
      <c r="O942" s="118"/>
      <c r="P942" s="118"/>
      <c r="Q942" s="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</row>
    <row r="943" spans="1:131" ht="25.5">
      <c r="A943" s="75" t="s">
        <v>525</v>
      </c>
      <c r="B943" s="273"/>
      <c r="C943" s="273"/>
      <c r="D943" s="274">
        <f>D944</f>
        <v>500000</v>
      </c>
      <c r="E943" s="274"/>
      <c r="F943" s="96">
        <f aca="true" t="shared" si="74" ref="F943:F949">D943+E943</f>
        <v>500000</v>
      </c>
      <c r="G943" s="275"/>
      <c r="H943" s="275"/>
      <c r="I943" s="275"/>
      <c r="J943" s="275"/>
      <c r="K943" s="275"/>
      <c r="L943" s="275"/>
      <c r="M943" s="275"/>
      <c r="N943" s="275"/>
      <c r="O943" s="276"/>
      <c r="P943" s="276"/>
      <c r="Q943" s="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</row>
    <row r="944" spans="1:131" ht="12.75">
      <c r="A944" s="143" t="s">
        <v>188</v>
      </c>
      <c r="B944" s="277"/>
      <c r="C944" s="277"/>
      <c r="D944" s="218">
        <v>500000</v>
      </c>
      <c r="E944" s="217"/>
      <c r="F944" s="125">
        <f t="shared" si="74"/>
        <v>500000</v>
      </c>
      <c r="G944" s="255"/>
      <c r="H944" s="255"/>
      <c r="I944" s="255"/>
      <c r="J944" s="255"/>
      <c r="K944" s="255"/>
      <c r="L944" s="255"/>
      <c r="M944" s="255"/>
      <c r="N944" s="255"/>
      <c r="O944" s="266"/>
      <c r="P944" s="266"/>
      <c r="Q944" s="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</row>
    <row r="945" spans="1:131" ht="12.75">
      <c r="A945" s="144" t="s">
        <v>209</v>
      </c>
      <c r="B945" s="277"/>
      <c r="C945" s="277"/>
      <c r="D945" s="218">
        <v>500000</v>
      </c>
      <c r="E945" s="217"/>
      <c r="F945" s="125">
        <f t="shared" si="74"/>
        <v>500000</v>
      </c>
      <c r="G945" s="255"/>
      <c r="H945" s="255"/>
      <c r="I945" s="255"/>
      <c r="J945" s="255"/>
      <c r="K945" s="255"/>
      <c r="L945" s="255"/>
      <c r="M945" s="255"/>
      <c r="N945" s="255"/>
      <c r="O945" s="266"/>
      <c r="P945" s="266"/>
      <c r="Q945" s="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</row>
    <row r="946" spans="1:131" ht="12.75">
      <c r="A946" s="143" t="s">
        <v>189</v>
      </c>
      <c r="B946" s="277"/>
      <c r="C946" s="277"/>
      <c r="D946" s="218"/>
      <c r="E946" s="217"/>
      <c r="F946" s="125">
        <f t="shared" si="74"/>
        <v>0</v>
      </c>
      <c r="G946" s="255"/>
      <c r="H946" s="255"/>
      <c r="I946" s="255"/>
      <c r="J946" s="255"/>
      <c r="K946" s="255"/>
      <c r="L946" s="255"/>
      <c r="M946" s="255"/>
      <c r="N946" s="255"/>
      <c r="O946" s="266"/>
      <c r="P946" s="266"/>
      <c r="Q946" s="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</row>
    <row r="947" spans="1:131" ht="12.75">
      <c r="A947" s="144" t="s">
        <v>184</v>
      </c>
      <c r="B947" s="277"/>
      <c r="C947" s="277"/>
      <c r="D947" s="218">
        <v>3210</v>
      </c>
      <c r="E947" s="217"/>
      <c r="F947" s="125">
        <f t="shared" si="74"/>
        <v>3210</v>
      </c>
      <c r="G947" s="255"/>
      <c r="H947" s="255"/>
      <c r="I947" s="255"/>
      <c r="J947" s="255"/>
      <c r="K947" s="255"/>
      <c r="L947" s="255"/>
      <c r="M947" s="255"/>
      <c r="N947" s="255"/>
      <c r="O947" s="266"/>
      <c r="P947" s="266"/>
      <c r="Q947" s="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</row>
    <row r="948" spans="1:131" ht="9.75" customHeight="1">
      <c r="A948" s="142" t="s">
        <v>191</v>
      </c>
      <c r="B948" s="278"/>
      <c r="C948" s="278"/>
      <c r="D948" s="279"/>
      <c r="E948" s="280"/>
      <c r="F948" s="125"/>
      <c r="G948" s="280"/>
      <c r="H948" s="280"/>
      <c r="I948" s="280"/>
      <c r="J948" s="9"/>
      <c r="K948" s="9"/>
      <c r="L948" s="9"/>
      <c r="M948" s="9"/>
      <c r="N948" s="9"/>
      <c r="O948" s="9"/>
      <c r="P948" s="9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</row>
    <row r="949" spans="1:131" ht="12.75">
      <c r="A949" s="164" t="s">
        <v>185</v>
      </c>
      <c r="B949" s="278"/>
      <c r="C949" s="278"/>
      <c r="D949" s="141">
        <f>D944/D947</f>
        <v>155.76323987538942</v>
      </c>
      <c r="E949" s="280"/>
      <c r="F949" s="125">
        <f t="shared" si="74"/>
        <v>155.76323987538942</v>
      </c>
      <c r="G949" s="280"/>
      <c r="H949" s="280"/>
      <c r="I949" s="280"/>
      <c r="J949" s="9"/>
      <c r="K949" s="9"/>
      <c r="L949" s="9"/>
      <c r="M949" s="9"/>
      <c r="N949" s="9"/>
      <c r="O949" s="9"/>
      <c r="P949" s="9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</row>
    <row r="950" spans="1:131" ht="12.75">
      <c r="A950" s="80" t="s">
        <v>117</v>
      </c>
      <c r="B950" s="104"/>
      <c r="C950" s="104"/>
      <c r="D950" s="92">
        <f>D951</f>
        <v>0</v>
      </c>
      <c r="E950" s="93">
        <f>E951</f>
        <v>6000000</v>
      </c>
      <c r="F950" s="93">
        <f>D950+E950</f>
        <v>6000000</v>
      </c>
      <c r="G950" s="116"/>
      <c r="H950" s="116"/>
      <c r="I950" s="116"/>
      <c r="J950" s="116"/>
      <c r="K950" s="117"/>
      <c r="L950" s="117"/>
      <c r="M950" s="117"/>
      <c r="N950" s="117"/>
      <c r="O950" s="118"/>
      <c r="P950" s="118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</row>
    <row r="951" spans="1:131" ht="25.5">
      <c r="A951" s="75" t="s">
        <v>530</v>
      </c>
      <c r="B951" s="76"/>
      <c r="C951" s="76"/>
      <c r="D951" s="74"/>
      <c r="E951" s="74">
        <f>0+6000000</f>
        <v>6000000</v>
      </c>
      <c r="F951" s="74">
        <f>E951</f>
        <v>6000000</v>
      </c>
      <c r="G951" s="74">
        <f>G955*G957</f>
        <v>0</v>
      </c>
      <c r="H951" s="74">
        <f>22379100-6000000</f>
        <v>16379100</v>
      </c>
      <c r="I951" s="74">
        <f>I955*I957</f>
        <v>0</v>
      </c>
      <c r="J951" s="74">
        <f>G951+H951</f>
        <v>16379100</v>
      </c>
      <c r="K951" s="74">
        <f>K955*K957</f>
        <v>0</v>
      </c>
      <c r="L951" s="74">
        <f>L955*L957</f>
        <v>0</v>
      </c>
      <c r="M951" s="74">
        <f>M955*M957</f>
        <v>0</v>
      </c>
      <c r="N951" s="74">
        <f>N955*N957</f>
        <v>0</v>
      </c>
      <c r="O951" s="74">
        <f>23498000-6000000</f>
        <v>17498000</v>
      </c>
      <c r="P951" s="74">
        <f>N951+O951</f>
        <v>17498000</v>
      </c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</row>
    <row r="952" spans="1:17" s="285" customFormat="1" ht="12.75">
      <c r="A952" s="143" t="s">
        <v>188</v>
      </c>
      <c r="B952" s="283"/>
      <c r="C952" s="283"/>
      <c r="D952" s="220"/>
      <c r="E952" s="220"/>
      <c r="F952" s="220"/>
      <c r="G952" s="220"/>
      <c r="H952" s="220"/>
      <c r="I952" s="220"/>
      <c r="J952" s="220"/>
      <c r="K952" s="220"/>
      <c r="L952" s="220"/>
      <c r="M952" s="220"/>
      <c r="N952" s="220"/>
      <c r="O952" s="220"/>
      <c r="P952" s="220"/>
      <c r="Q952" s="284"/>
    </row>
    <row r="953" spans="1:17" s="285" customFormat="1" ht="12.75">
      <c r="A953" s="144" t="s">
        <v>209</v>
      </c>
      <c r="B953" s="283"/>
      <c r="C953" s="283"/>
      <c r="D953" s="220"/>
      <c r="E953" s="184">
        <f>0+6000000</f>
        <v>6000000</v>
      </c>
      <c r="F953" s="184">
        <f>D953+E953</f>
        <v>6000000</v>
      </c>
      <c r="G953" s="220"/>
      <c r="H953" s="220"/>
      <c r="I953" s="220"/>
      <c r="J953" s="220"/>
      <c r="K953" s="220"/>
      <c r="L953" s="220"/>
      <c r="M953" s="220"/>
      <c r="N953" s="220"/>
      <c r="O953" s="220"/>
      <c r="P953" s="220"/>
      <c r="Q953" s="284"/>
    </row>
    <row r="954" spans="1:131" ht="12.75">
      <c r="A954" s="143" t="s">
        <v>189</v>
      </c>
      <c r="B954" s="8"/>
      <c r="C954" s="8"/>
      <c r="D954" s="9"/>
      <c r="E954" s="9"/>
      <c r="F954" s="141"/>
      <c r="G954" s="9"/>
      <c r="H954" s="9"/>
      <c r="I954" s="9"/>
      <c r="J954" s="141"/>
      <c r="K954" s="141"/>
      <c r="L954" s="141"/>
      <c r="M954" s="141"/>
      <c r="N954" s="9"/>
      <c r="O954" s="9"/>
      <c r="P954" s="141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</row>
    <row r="955" spans="1:131" ht="16.5" customHeight="1">
      <c r="A955" s="144" t="s">
        <v>244</v>
      </c>
      <c r="B955" s="174"/>
      <c r="C955" s="174"/>
      <c r="D955" s="141"/>
      <c r="E955" s="141">
        <v>1</v>
      </c>
      <c r="F955" s="141">
        <f>E955</f>
        <v>1</v>
      </c>
      <c r="G955" s="141"/>
      <c r="H955" s="141">
        <v>16</v>
      </c>
      <c r="I955" s="141"/>
      <c r="J955" s="141">
        <f>G955+H955</f>
        <v>16</v>
      </c>
      <c r="K955" s="141"/>
      <c r="L955" s="141"/>
      <c r="M955" s="141"/>
      <c r="N955" s="141"/>
      <c r="O955" s="141">
        <v>15</v>
      </c>
      <c r="P955" s="141">
        <f>O955</f>
        <v>15</v>
      </c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</row>
    <row r="956" spans="1:131" ht="12.75">
      <c r="A956" s="143" t="s">
        <v>191</v>
      </c>
      <c r="B956" s="8"/>
      <c r="C956" s="8"/>
      <c r="D956" s="9"/>
      <c r="E956" s="9"/>
      <c r="F956" s="141"/>
      <c r="G956" s="9"/>
      <c r="H956" s="9"/>
      <c r="I956" s="9"/>
      <c r="J956" s="141"/>
      <c r="K956" s="141"/>
      <c r="L956" s="141"/>
      <c r="M956" s="141"/>
      <c r="N956" s="9"/>
      <c r="O956" s="9"/>
      <c r="P956" s="141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</row>
    <row r="957" spans="1:131" ht="18.75" customHeight="1">
      <c r="A957" s="144" t="s">
        <v>245</v>
      </c>
      <c r="B957" s="174"/>
      <c r="C957" s="174"/>
      <c r="D957" s="141"/>
      <c r="E957" s="141">
        <v>6000000</v>
      </c>
      <c r="F957" s="141">
        <f>E957</f>
        <v>6000000</v>
      </c>
      <c r="G957" s="141"/>
      <c r="H957" s="141">
        <f>H951/H955</f>
        <v>1023693.75</v>
      </c>
      <c r="I957" s="141"/>
      <c r="J957" s="141">
        <f>G957+H957</f>
        <v>1023693.75</v>
      </c>
      <c r="K957" s="141"/>
      <c r="L957" s="141"/>
      <c r="M957" s="141"/>
      <c r="N957" s="141"/>
      <c r="O957" s="141">
        <f>O951/O955</f>
        <v>1166533.3333333333</v>
      </c>
      <c r="P957" s="141">
        <f>O957</f>
        <v>1166533.3333333333</v>
      </c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</row>
    <row r="958" spans="1:131" ht="12.75">
      <c r="A958" s="143" t="s">
        <v>190</v>
      </c>
      <c r="B958" s="174"/>
      <c r="C958" s="174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</row>
    <row r="959" spans="1:131" ht="29.25" customHeight="1">
      <c r="A959" s="144" t="s">
        <v>246</v>
      </c>
      <c r="B959" s="174"/>
      <c r="C959" s="174"/>
      <c r="D959" s="141"/>
      <c r="E959" s="141">
        <v>0</v>
      </c>
      <c r="F959" s="141">
        <v>0</v>
      </c>
      <c r="G959" s="141"/>
      <c r="H959" s="141">
        <f>H957/E957*100</f>
        <v>17.0615625</v>
      </c>
      <c r="I959" s="141"/>
      <c r="J959" s="141">
        <f>G959+H959</f>
        <v>17.0615625</v>
      </c>
      <c r="K959" s="141"/>
      <c r="L959" s="141"/>
      <c r="M959" s="141"/>
      <c r="N959" s="141"/>
      <c r="O959" s="141">
        <f>O957/H957*100</f>
        <v>113.95335112022842</v>
      </c>
      <c r="P959" s="141">
        <f>O959</f>
        <v>113.95335112022842</v>
      </c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</row>
    <row r="960" spans="1:131" ht="29.25" customHeight="1">
      <c r="A960" s="292" t="s">
        <v>555</v>
      </c>
      <c r="B960" s="219"/>
      <c r="C960" s="219"/>
      <c r="D960" s="293">
        <f>D961</f>
        <v>0</v>
      </c>
      <c r="E960" s="293">
        <f>E961</f>
        <v>263876700</v>
      </c>
      <c r="F960" s="293">
        <f>F961</f>
        <v>263876700</v>
      </c>
      <c r="G960" s="294"/>
      <c r="H960" s="294"/>
      <c r="I960" s="294"/>
      <c r="J960" s="294"/>
      <c r="K960" s="295"/>
      <c r="L960" s="295"/>
      <c r="M960" s="295"/>
      <c r="N960" s="295"/>
      <c r="O960" s="296"/>
      <c r="P960" s="296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</row>
    <row r="961" spans="1:131" ht="63.75">
      <c r="A961" s="297" t="s">
        <v>557</v>
      </c>
      <c r="B961" s="298"/>
      <c r="C961" s="298"/>
      <c r="D961" s="299">
        <f>D963</f>
        <v>0</v>
      </c>
      <c r="E961" s="299">
        <f>E963</f>
        <v>263876700</v>
      </c>
      <c r="F961" s="299">
        <f>E961+D961</f>
        <v>263876700</v>
      </c>
      <c r="G961" s="300"/>
      <c r="H961" s="300"/>
      <c r="I961" s="300"/>
      <c r="J961" s="300"/>
      <c r="K961" s="300"/>
      <c r="L961" s="300"/>
      <c r="M961" s="300"/>
      <c r="N961" s="300"/>
      <c r="O961" s="301"/>
      <c r="P961" s="301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</row>
    <row r="962" spans="1:131" ht="11.25">
      <c r="A962" s="302" t="s">
        <v>188</v>
      </c>
      <c r="B962" s="303"/>
      <c r="C962" s="303"/>
      <c r="D962" s="304"/>
      <c r="E962" s="305"/>
      <c r="F962" s="306"/>
      <c r="G962" s="307"/>
      <c r="H962" s="307"/>
      <c r="I962" s="307"/>
      <c r="J962" s="307"/>
      <c r="K962" s="307"/>
      <c r="L962" s="307"/>
      <c r="M962" s="307"/>
      <c r="N962" s="307"/>
      <c r="O962" s="308"/>
      <c r="P962" s="308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</row>
    <row r="963" spans="1:131" ht="11.25">
      <c r="A963" s="309" t="s">
        <v>209</v>
      </c>
      <c r="B963" s="303"/>
      <c r="C963" s="303"/>
      <c r="D963" s="310"/>
      <c r="E963" s="306">
        <v>263876700</v>
      </c>
      <c r="F963" s="306">
        <f>E963+D963</f>
        <v>263876700</v>
      </c>
      <c r="G963" s="307"/>
      <c r="H963" s="307"/>
      <c r="I963" s="307"/>
      <c r="J963" s="307"/>
      <c r="K963" s="307"/>
      <c r="L963" s="307"/>
      <c r="M963" s="307"/>
      <c r="N963" s="307"/>
      <c r="O963" s="308"/>
      <c r="P963" s="308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</row>
    <row r="964" spans="1:131" ht="11.25">
      <c r="A964" s="302" t="s">
        <v>189</v>
      </c>
      <c r="B964" s="303"/>
      <c r="C964" s="303"/>
      <c r="D964" s="304"/>
      <c r="E964" s="306"/>
      <c r="F964" s="306"/>
      <c r="G964" s="307"/>
      <c r="H964" s="307"/>
      <c r="I964" s="307"/>
      <c r="J964" s="307"/>
      <c r="K964" s="307"/>
      <c r="L964" s="307"/>
      <c r="M964" s="307"/>
      <c r="N964" s="307"/>
      <c r="O964" s="308"/>
      <c r="P964" s="308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</row>
    <row r="965" spans="1:131" ht="11.25">
      <c r="A965" s="309" t="s">
        <v>556</v>
      </c>
      <c r="B965" s="303"/>
      <c r="C965" s="303"/>
      <c r="D965" s="304"/>
      <c r="E965" s="311" t="s">
        <v>558</v>
      </c>
      <c r="F965" s="312" t="str">
        <f>E965</f>
        <v>2</v>
      </c>
      <c r="G965" s="307"/>
      <c r="H965" s="307"/>
      <c r="I965" s="307"/>
      <c r="J965" s="307"/>
      <c r="K965" s="307"/>
      <c r="L965" s="307"/>
      <c r="M965" s="307"/>
      <c r="N965" s="307"/>
      <c r="O965" s="308"/>
      <c r="P965" s="308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</row>
    <row r="966" spans="1:131" ht="11.25">
      <c r="A966" s="313" t="s">
        <v>191</v>
      </c>
      <c r="B966" s="303"/>
      <c r="C966" s="303"/>
      <c r="D966" s="304"/>
      <c r="E966" s="305"/>
      <c r="F966" s="305"/>
      <c r="G966" s="307"/>
      <c r="H966" s="307"/>
      <c r="I966" s="307"/>
      <c r="J966" s="307"/>
      <c r="K966" s="307"/>
      <c r="L966" s="307"/>
      <c r="M966" s="307"/>
      <c r="N966" s="307"/>
      <c r="O966" s="308"/>
      <c r="P966" s="308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</row>
    <row r="967" spans="1:131" ht="11.25">
      <c r="A967" s="314" t="s">
        <v>559</v>
      </c>
      <c r="B967" s="303"/>
      <c r="C967" s="303"/>
      <c r="D967" s="306"/>
      <c r="E967" s="306">
        <f>E963/E965</f>
        <v>131938350</v>
      </c>
      <c r="F967" s="306">
        <f>D967+E967</f>
        <v>131938350</v>
      </c>
      <c r="G967" s="307"/>
      <c r="H967" s="307"/>
      <c r="I967" s="307"/>
      <c r="J967" s="307"/>
      <c r="K967" s="307"/>
      <c r="L967" s="307"/>
      <c r="M967" s="307"/>
      <c r="N967" s="307"/>
      <c r="O967" s="308"/>
      <c r="P967" s="308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</row>
    <row r="968" spans="1:131" ht="18.75">
      <c r="A968" s="136"/>
      <c r="B968" s="20"/>
      <c r="C968" s="20"/>
      <c r="D968" s="19"/>
      <c r="E968" s="137"/>
      <c r="F968" s="138"/>
      <c r="G968" s="137"/>
      <c r="H968" s="137"/>
      <c r="I968" s="137"/>
      <c r="J968" s="139"/>
      <c r="K968" s="139"/>
      <c r="L968" s="139"/>
      <c r="M968" s="139"/>
      <c r="N968" s="139"/>
      <c r="O968" s="139"/>
      <c r="P968" s="139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</row>
    <row r="969" spans="1:131" ht="18.75">
      <c r="A969" s="136"/>
      <c r="B969" s="20"/>
      <c r="C969" s="20"/>
      <c r="D969" s="19"/>
      <c r="E969" s="137"/>
      <c r="F969" s="138"/>
      <c r="G969" s="137"/>
      <c r="H969" s="137"/>
      <c r="I969" s="137"/>
      <c r="J969" s="139"/>
      <c r="K969" s="139"/>
      <c r="L969" s="139"/>
      <c r="M969" s="139"/>
      <c r="N969" s="139"/>
      <c r="O969" s="139"/>
      <c r="P969" s="139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</row>
    <row r="970" spans="1:131" ht="20.25" customHeight="1">
      <c r="A970" s="325" t="s">
        <v>347</v>
      </c>
      <c r="B970" s="325"/>
      <c r="C970" s="325"/>
      <c r="D970" s="325"/>
      <c r="E970" s="22"/>
      <c r="F970" s="23"/>
      <c r="G970" s="24"/>
      <c r="H970" s="24"/>
      <c r="I970" s="24"/>
      <c r="J970" s="25"/>
      <c r="K970" s="25"/>
      <c r="L970" s="25"/>
      <c r="M970" s="25"/>
      <c r="N970" s="24"/>
      <c r="O970" s="328" t="s">
        <v>548</v>
      </c>
      <c r="P970" s="328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</row>
    <row r="971" spans="1:131" ht="8.25" customHeight="1">
      <c r="A971" s="21"/>
      <c r="B971" s="21"/>
      <c r="C971" s="21"/>
      <c r="D971" s="22"/>
      <c r="E971" s="22"/>
      <c r="F971" s="23"/>
      <c r="G971" s="24"/>
      <c r="H971" s="24"/>
      <c r="I971" s="24"/>
      <c r="J971" s="25"/>
      <c r="K971" s="25"/>
      <c r="L971" s="25"/>
      <c r="M971" s="25"/>
      <c r="N971" s="24"/>
      <c r="O971" s="26"/>
      <c r="P971" s="26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</row>
    <row r="972" spans="1:131" ht="6.75" customHeight="1">
      <c r="A972" s="21"/>
      <c r="B972" s="21"/>
      <c r="C972" s="21"/>
      <c r="D972" s="22"/>
      <c r="E972" s="22"/>
      <c r="F972" s="23"/>
      <c r="G972" s="24"/>
      <c r="H972" s="24"/>
      <c r="I972" s="24"/>
      <c r="J972" s="25"/>
      <c r="K972" s="25"/>
      <c r="L972" s="25"/>
      <c r="M972" s="25"/>
      <c r="N972" s="24"/>
      <c r="O972" s="26"/>
      <c r="P972" s="26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</row>
    <row r="973" spans="1:131" ht="18.75" customHeight="1">
      <c r="A973" s="318" t="s">
        <v>103</v>
      </c>
      <c r="B973" s="318"/>
      <c r="C973" s="27"/>
      <c r="D973" s="28"/>
      <c r="E973" s="22"/>
      <c r="F973" s="24"/>
      <c r="G973" s="22"/>
      <c r="H973" s="22"/>
      <c r="I973" s="22"/>
      <c r="J973" s="29"/>
      <c r="K973" s="29"/>
      <c r="L973" s="29"/>
      <c r="M973" s="29"/>
      <c r="N973" s="29"/>
      <c r="O973" s="29"/>
      <c r="P973" s="29"/>
      <c r="Q973" s="30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</row>
    <row r="974" spans="1:131" ht="0.75" customHeight="1">
      <c r="A974" s="6" t="s">
        <v>259</v>
      </c>
      <c r="B974" s="6"/>
      <c r="C974" s="31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</row>
    <row r="975" spans="1:131" ht="28.5" customHeight="1">
      <c r="A975" s="32"/>
      <c r="B975" s="33"/>
      <c r="C975" s="34"/>
      <c r="D975" s="35"/>
      <c r="E975" s="35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</row>
    <row r="976" spans="1:131" ht="11.25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</row>
    <row r="977" spans="1:131" ht="11.25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</row>
    <row r="978" spans="1:131" ht="11.25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</row>
    <row r="979" spans="1:131" ht="11.25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</row>
    <row r="980" spans="1:131" ht="11.25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</row>
    <row r="981" spans="1:131" ht="11.25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</row>
    <row r="982" spans="1:131" ht="11.25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</row>
    <row r="983" spans="1:131" ht="11.25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</row>
    <row r="984" spans="1:131" ht="11.25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</row>
    <row r="985" spans="1:131" ht="11.25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</row>
    <row r="986" spans="1:131" ht="11.25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</row>
    <row r="987" spans="1:131" ht="11.25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</row>
    <row r="988" spans="1:131" ht="11.25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4"/>
      <c r="O988" s="24"/>
      <c r="P988" s="24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</row>
    <row r="989" spans="1:131" ht="11.25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4"/>
      <c r="O989" s="24"/>
      <c r="P989" s="24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</row>
    <row r="990" spans="1:131" ht="11.25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4"/>
      <c r="O990" s="24"/>
      <c r="P990" s="24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</row>
    <row r="991" spans="1:131" ht="11.25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4"/>
      <c r="O991" s="24"/>
      <c r="P991" s="24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</row>
    <row r="992" spans="1:131" ht="11.25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4"/>
      <c r="O992" s="24"/>
      <c r="P992" s="24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</row>
    <row r="993" spans="1:131" ht="11.25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4"/>
      <c r="O993" s="24"/>
      <c r="P993" s="24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</row>
    <row r="994" spans="1:131" ht="11.25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4"/>
      <c r="O994" s="24"/>
      <c r="P994" s="24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</row>
    <row r="995" spans="1:131" ht="11.25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4"/>
      <c r="O995" s="24"/>
      <c r="P995" s="24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</row>
    <row r="996" spans="1:131" ht="11.25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4"/>
      <c r="O996" s="24"/>
      <c r="P996" s="24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</row>
    <row r="997" spans="1:131" ht="11.25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4"/>
      <c r="O997" s="24"/>
      <c r="P997" s="24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</row>
    <row r="998" spans="1:131" ht="11.25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4"/>
      <c r="O998" s="24"/>
      <c r="P998" s="24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</row>
    <row r="999" spans="1:131" ht="11.25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4"/>
      <c r="O999" s="24"/>
      <c r="P999" s="24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</row>
    <row r="1000" spans="1:131" ht="11.25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4"/>
      <c r="O1000" s="24"/>
      <c r="P1000" s="24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</row>
    <row r="1001" spans="1:131" ht="11.25">
      <c r="A1001" s="1"/>
      <c r="B1001" s="1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4"/>
      <c r="O1001" s="24"/>
      <c r="P1001" s="24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</row>
    <row r="1002" spans="1:131" ht="11.25">
      <c r="A1002" s="1"/>
      <c r="B1002" s="1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4"/>
      <c r="O1002" s="24"/>
      <c r="P1002" s="24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</row>
    <row r="1003" spans="1:131" ht="11.25">
      <c r="A1003" s="1"/>
      <c r="B1003" s="1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4"/>
      <c r="O1003" s="24"/>
      <c r="P1003" s="24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4"/>
      <c r="O1004" s="24"/>
      <c r="P1004" s="24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4"/>
      <c r="O1005" s="24"/>
      <c r="P1005" s="24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4"/>
      <c r="O1006" s="24"/>
      <c r="P1006" s="24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4"/>
      <c r="O1007" s="24"/>
      <c r="P1007" s="24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4"/>
      <c r="O1008" s="24"/>
      <c r="P1008" s="24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4"/>
      <c r="O1009" s="24"/>
      <c r="P1009" s="24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4"/>
      <c r="O1010" s="24"/>
      <c r="P1010" s="24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4"/>
      <c r="O1011" s="24"/>
      <c r="P1011" s="24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4"/>
      <c r="O1012" s="24"/>
      <c r="P1012" s="24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4"/>
      <c r="O1013" s="24"/>
      <c r="P1013" s="24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4"/>
      <c r="O1014" s="24"/>
      <c r="P1014" s="24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4"/>
      <c r="O1015" s="24"/>
      <c r="P1015" s="24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4"/>
      <c r="O1016" s="24"/>
      <c r="P1016" s="24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4"/>
      <c r="O1017" s="24"/>
      <c r="P1017" s="24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4"/>
      <c r="O1018" s="24"/>
      <c r="P1018" s="24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4"/>
      <c r="O1019" s="24"/>
      <c r="P1019" s="24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4"/>
      <c r="O1020" s="24"/>
      <c r="P1020" s="24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4"/>
      <c r="O1021" s="24"/>
      <c r="P1021" s="24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4"/>
      <c r="O1022" s="24"/>
      <c r="P1022" s="24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4"/>
      <c r="O1023" s="24"/>
      <c r="P1023" s="24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4"/>
      <c r="O1024" s="24"/>
      <c r="P1024" s="24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4"/>
      <c r="O1025" s="24"/>
      <c r="P1025" s="24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4"/>
      <c r="O1026" s="24"/>
      <c r="P1026" s="24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4"/>
      <c r="O1027" s="24"/>
      <c r="P1027" s="24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4"/>
      <c r="O1028" s="24"/>
      <c r="P1028" s="24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4"/>
      <c r="O1029" s="24"/>
      <c r="P1029" s="24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4"/>
      <c r="O1030" s="24"/>
      <c r="P1030" s="24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4"/>
      <c r="O1031" s="24"/>
      <c r="P1031" s="24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4"/>
      <c r="O1032" s="24"/>
      <c r="P1032" s="24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4"/>
      <c r="O1033" s="24"/>
      <c r="P1033" s="24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4"/>
      <c r="O1034" s="24"/>
      <c r="P1034" s="24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4"/>
      <c r="O1035" s="24"/>
      <c r="P1035" s="24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4"/>
      <c r="O1036" s="24"/>
      <c r="P1036" s="24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4"/>
      <c r="O1037" s="24"/>
      <c r="P1037" s="24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4"/>
      <c r="O1038" s="24"/>
      <c r="P1038" s="24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4"/>
      <c r="O1039" s="24"/>
      <c r="P1039" s="24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4"/>
      <c r="O1040" s="24"/>
      <c r="P1040" s="24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4"/>
      <c r="O1041" s="24"/>
      <c r="P1041" s="24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4"/>
      <c r="O1042" s="24"/>
      <c r="P1042" s="24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4"/>
      <c r="O1043" s="24"/>
      <c r="P1043" s="24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4"/>
      <c r="O1044" s="24"/>
      <c r="P1044" s="24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4"/>
      <c r="O1045" s="24"/>
      <c r="P1045" s="24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4"/>
      <c r="O1046" s="24"/>
      <c r="P1046" s="24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4"/>
      <c r="O1047" s="24"/>
      <c r="P1047" s="24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4"/>
      <c r="O1048" s="24"/>
      <c r="P1048" s="24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4"/>
      <c r="O1049" s="24"/>
      <c r="P1049" s="24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4"/>
      <c r="O1050" s="24"/>
      <c r="P1050" s="24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4"/>
      <c r="O1051" s="24"/>
      <c r="P1051" s="24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4"/>
      <c r="O1052" s="24"/>
      <c r="P1052" s="24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4"/>
      <c r="O1053" s="24"/>
      <c r="P1053" s="24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  <c r="DU1053" s="13"/>
      <c r="DV1053" s="13"/>
      <c r="DW1053" s="13"/>
      <c r="DX1053" s="13"/>
      <c r="DY1053" s="13"/>
      <c r="DZ1053" s="13"/>
      <c r="EA1053" s="13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4"/>
      <c r="O1054" s="24"/>
      <c r="P1054" s="24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/>
      <c r="EA1054" s="13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4"/>
      <c r="O1055" s="24"/>
      <c r="P1055" s="24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  <c r="DU1055" s="13"/>
      <c r="DV1055" s="13"/>
      <c r="DW1055" s="13"/>
      <c r="DX1055" s="13"/>
      <c r="DY1055" s="13"/>
      <c r="DZ1055" s="13"/>
      <c r="EA1055" s="13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4"/>
      <c r="O1056" s="24"/>
      <c r="P1056" s="24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4"/>
      <c r="O1057" s="24"/>
      <c r="P1057" s="24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4"/>
      <c r="O1058" s="24"/>
      <c r="P1058" s="24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4"/>
      <c r="O1059" s="24"/>
      <c r="P1059" s="24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4"/>
      <c r="O1060" s="24"/>
      <c r="P1060" s="24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4"/>
      <c r="O1061" s="24"/>
      <c r="P1061" s="24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4"/>
      <c r="O1062" s="24"/>
      <c r="P1062" s="24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4"/>
      <c r="O1063" s="24"/>
      <c r="P1063" s="24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  <c r="DU1063" s="13"/>
      <c r="DV1063" s="13"/>
      <c r="DW1063" s="13"/>
      <c r="DX1063" s="13"/>
      <c r="DY1063" s="13"/>
      <c r="DZ1063" s="13"/>
      <c r="EA1063" s="13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4"/>
      <c r="O1064" s="24"/>
      <c r="P1064" s="24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4"/>
      <c r="O1065" s="24"/>
      <c r="P1065" s="24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  <c r="DU1065" s="13"/>
      <c r="DV1065" s="13"/>
      <c r="DW1065" s="13"/>
      <c r="DX1065" s="13"/>
      <c r="DY1065" s="13"/>
      <c r="DZ1065" s="13"/>
      <c r="EA1065" s="13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4"/>
      <c r="O1066" s="24"/>
      <c r="P1066" s="24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4"/>
      <c r="O1067" s="24"/>
      <c r="P1067" s="24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  <c r="DU1067" s="13"/>
      <c r="DV1067" s="13"/>
      <c r="DW1067" s="13"/>
      <c r="DX1067" s="13"/>
      <c r="DY1067" s="13"/>
      <c r="DZ1067" s="13"/>
      <c r="EA1067" s="13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4"/>
      <c r="O1068" s="24"/>
      <c r="P1068" s="24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  <c r="DU1068" s="13"/>
      <c r="DV1068" s="13"/>
      <c r="DW1068" s="13"/>
      <c r="DX1068" s="13"/>
      <c r="DY1068" s="13"/>
      <c r="DZ1068" s="13"/>
      <c r="EA1068" s="13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4"/>
      <c r="O1069" s="24"/>
      <c r="P1069" s="24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  <c r="DU1069" s="13"/>
      <c r="DV1069" s="13"/>
      <c r="DW1069" s="13"/>
      <c r="DX1069" s="13"/>
      <c r="DY1069" s="13"/>
      <c r="DZ1069" s="13"/>
      <c r="EA1069" s="13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4"/>
      <c r="O1070" s="24"/>
      <c r="P1070" s="24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4"/>
      <c r="O1071" s="24"/>
      <c r="P1071" s="24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  <c r="DU1071" s="13"/>
      <c r="DV1071" s="13"/>
      <c r="DW1071" s="13"/>
      <c r="DX1071" s="13"/>
      <c r="DY1071" s="13"/>
      <c r="DZ1071" s="13"/>
      <c r="EA1071" s="13"/>
    </row>
  </sheetData>
  <sheetProtection/>
  <mergeCells count="21">
    <mergeCell ref="D3:G10"/>
    <mergeCell ref="F14:G14"/>
    <mergeCell ref="J2:L2"/>
    <mergeCell ref="A13:P13"/>
    <mergeCell ref="J16:J17"/>
    <mergeCell ref="G15:J15"/>
    <mergeCell ref="A15:A17"/>
    <mergeCell ref="B15:B17"/>
    <mergeCell ref="C15:C17"/>
    <mergeCell ref="O970:P970"/>
    <mergeCell ref="N15:P15"/>
    <mergeCell ref="N16:O16"/>
    <mergeCell ref="P16:P17"/>
    <mergeCell ref="K16:M16"/>
    <mergeCell ref="N2:P2"/>
    <mergeCell ref="A973:B973"/>
    <mergeCell ref="F16:F17"/>
    <mergeCell ref="D15:F15"/>
    <mergeCell ref="G16:I16"/>
    <mergeCell ref="A970:D970"/>
    <mergeCell ref="D16:E16"/>
  </mergeCells>
  <printOptions horizontalCentered="1"/>
  <pageMargins left="0" right="0" top="0.35433070866141736" bottom="0" header="0" footer="0"/>
  <pageSetup fitToHeight="23" fitToWidth="1" horizontalDpi="600" verticalDpi="600" orientation="landscape" paperSize="9" scale="69" r:id="rId1"/>
  <rowBreaks count="2" manualBreakCount="2">
    <brk id="907" max="16" man="1"/>
    <brk id="9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2023-01-26T13:52:40Z</cp:lastPrinted>
  <dcterms:created xsi:type="dcterms:W3CDTF">2014-04-22T08:24:49Z</dcterms:created>
  <dcterms:modified xsi:type="dcterms:W3CDTF">2023-01-26T14:09:27Z</dcterms:modified>
  <cp:category/>
  <cp:version/>
  <cp:contentType/>
  <cp:contentStatus/>
</cp:coreProperties>
</file>